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24/MeetResults/"/>
    </mc:Choice>
  </mc:AlternateContent>
  <xr:revisionPtr revIDLastSave="0" documentId="13_ncr:20001_{98A1D924-94F2-4461-8994-CCF0A52F477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MeetParticipants" sheetId="1" r:id="rId1"/>
    <sheet name="MeetResults" sheetId="2" r:id="rId2"/>
    <sheet name="Lookup-DiverRoster" sheetId="3" r:id="rId3"/>
    <sheet name="Lookup-Generic" sheetId="4" state="hidden" r:id="rId4"/>
  </sheets>
  <definedNames>
    <definedName name="D1_Participants12YOUB">#REF!</definedName>
    <definedName name="D1_Participants12YOUG">#REF!</definedName>
    <definedName name="D1_Participants13YOA">#REF!</definedName>
    <definedName name="D1_Participants13YOOB">#REF!</definedName>
    <definedName name="D1_Participants13YOOG">#REF!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82" i="4" l="1"/>
  <c r="AE181" i="4"/>
  <c r="AD181" i="4"/>
  <c r="AC181" i="4"/>
  <c r="AB181" i="4"/>
  <c r="AA181" i="4"/>
  <c r="AE180" i="4"/>
  <c r="AD180" i="4"/>
  <c r="AC180" i="4"/>
  <c r="AB180" i="4"/>
  <c r="AA180" i="4"/>
  <c r="AE179" i="4"/>
  <c r="AD179" i="4"/>
  <c r="AC179" i="4"/>
  <c r="AB179" i="4"/>
  <c r="AA179" i="4"/>
  <c r="AE178" i="4"/>
  <c r="AD178" i="4"/>
  <c r="AC178" i="4"/>
  <c r="AB178" i="4"/>
  <c r="AA178" i="4"/>
  <c r="AE177" i="4"/>
  <c r="AD177" i="4"/>
  <c r="AC177" i="4"/>
  <c r="AB177" i="4"/>
  <c r="AA177" i="4"/>
  <c r="AE176" i="4"/>
  <c r="AD176" i="4"/>
  <c r="AC176" i="4"/>
  <c r="AB176" i="4"/>
  <c r="AA176" i="4"/>
  <c r="AE175" i="4"/>
  <c r="AD175" i="4"/>
  <c r="AC175" i="4"/>
  <c r="AB175" i="4"/>
  <c r="AA175" i="4"/>
  <c r="AE174" i="4"/>
  <c r="AD174" i="4"/>
  <c r="AC174" i="4"/>
  <c r="AB174" i="4"/>
  <c r="AA174" i="4"/>
  <c r="AE173" i="4"/>
  <c r="AD173" i="4"/>
  <c r="AC173" i="4"/>
  <c r="AB173" i="4"/>
  <c r="AA173" i="4"/>
  <c r="AE172" i="4"/>
  <c r="AD172" i="4"/>
  <c r="AC172" i="4"/>
  <c r="AB172" i="4"/>
  <c r="AA172" i="4"/>
  <c r="AE171" i="4"/>
  <c r="AD171" i="4"/>
  <c r="AC171" i="4"/>
  <c r="AB171" i="4"/>
  <c r="AA171" i="4"/>
  <c r="AE170" i="4"/>
  <c r="AD170" i="4"/>
  <c r="AC170" i="4"/>
  <c r="AB170" i="4"/>
  <c r="AA170" i="4"/>
  <c r="AE169" i="4"/>
  <c r="AD169" i="4"/>
  <c r="AC169" i="4"/>
  <c r="AB169" i="4"/>
  <c r="AA169" i="4"/>
  <c r="AE168" i="4"/>
  <c r="AD168" i="4"/>
  <c r="AC168" i="4"/>
  <c r="AB168" i="4"/>
  <c r="AA168" i="4"/>
  <c r="AE167" i="4"/>
  <c r="AD167" i="4"/>
  <c r="AC167" i="4"/>
  <c r="AB167" i="4"/>
  <c r="AA167" i="4"/>
  <c r="AE166" i="4"/>
  <c r="AD166" i="4"/>
  <c r="AC166" i="4"/>
  <c r="AB166" i="4"/>
  <c r="AA166" i="4"/>
  <c r="Y166" i="4"/>
  <c r="X166" i="4"/>
  <c r="W166" i="4"/>
  <c r="V166" i="4"/>
  <c r="U166" i="4"/>
  <c r="AE165" i="4"/>
  <c r="AD165" i="4"/>
  <c r="AC165" i="4"/>
  <c r="AB165" i="4"/>
  <c r="AA165" i="4"/>
  <c r="Y165" i="4"/>
  <c r="X165" i="4"/>
  <c r="W165" i="4"/>
  <c r="V165" i="4"/>
  <c r="U165" i="4"/>
  <c r="AE164" i="4"/>
  <c r="AD164" i="4"/>
  <c r="AC164" i="4"/>
  <c r="AB164" i="4"/>
  <c r="AA164" i="4"/>
  <c r="Y164" i="4"/>
  <c r="X164" i="4"/>
  <c r="W164" i="4"/>
  <c r="V164" i="4"/>
  <c r="U164" i="4"/>
  <c r="AE163" i="4"/>
  <c r="AD163" i="4"/>
  <c r="AC163" i="4"/>
  <c r="AB163" i="4"/>
  <c r="AA163" i="4"/>
  <c r="U163" i="4"/>
  <c r="AE162" i="4"/>
  <c r="AD162" i="4"/>
  <c r="AC162" i="4"/>
  <c r="AB162" i="4"/>
  <c r="AA162" i="4"/>
  <c r="Y162" i="4"/>
  <c r="X162" i="4"/>
  <c r="W162" i="4"/>
  <c r="V162" i="4"/>
  <c r="U162" i="4"/>
  <c r="AE161" i="4"/>
  <c r="AD161" i="4"/>
  <c r="AC161" i="4"/>
  <c r="AB161" i="4"/>
  <c r="AA161" i="4"/>
  <c r="Y161" i="4"/>
  <c r="X161" i="4"/>
  <c r="W161" i="4"/>
  <c r="V161" i="4"/>
  <c r="U161" i="4"/>
  <c r="AE160" i="4"/>
  <c r="AD160" i="4"/>
  <c r="AC160" i="4"/>
  <c r="AB160" i="4"/>
  <c r="AA160" i="4"/>
  <c r="Y160" i="4"/>
  <c r="X160" i="4"/>
  <c r="W160" i="4"/>
  <c r="V160" i="4"/>
  <c r="U160" i="4"/>
  <c r="AE159" i="4"/>
  <c r="AD159" i="4"/>
  <c r="AC159" i="4"/>
  <c r="AB159" i="4"/>
  <c r="AA159" i="4"/>
  <c r="U159" i="4"/>
  <c r="AE158" i="4"/>
  <c r="AD158" i="4"/>
  <c r="AC158" i="4"/>
  <c r="AB158" i="4"/>
  <c r="AA158" i="4"/>
  <c r="Y158" i="4"/>
  <c r="X158" i="4"/>
  <c r="W158" i="4"/>
  <c r="V158" i="4"/>
  <c r="U158" i="4"/>
  <c r="AE157" i="4"/>
  <c r="AD157" i="4"/>
  <c r="AC157" i="4"/>
  <c r="AB157" i="4"/>
  <c r="AA157" i="4"/>
  <c r="Y157" i="4"/>
  <c r="X157" i="4"/>
  <c r="W157" i="4"/>
  <c r="V157" i="4"/>
  <c r="U157" i="4"/>
  <c r="AE156" i="4"/>
  <c r="AD156" i="4"/>
  <c r="AC156" i="4"/>
  <c r="AB156" i="4"/>
  <c r="AA156" i="4"/>
  <c r="Y156" i="4"/>
  <c r="X156" i="4"/>
  <c r="W156" i="4"/>
  <c r="V156" i="4"/>
  <c r="U156" i="4"/>
  <c r="AE155" i="4"/>
  <c r="AD155" i="4"/>
  <c r="AC155" i="4"/>
  <c r="AB155" i="4"/>
  <c r="AA155" i="4"/>
  <c r="U155" i="4"/>
  <c r="AE154" i="4"/>
  <c r="AD154" i="4"/>
  <c r="AC154" i="4"/>
  <c r="AB154" i="4"/>
  <c r="AA154" i="4"/>
  <c r="Y154" i="4"/>
  <c r="X154" i="4"/>
  <c r="W154" i="4"/>
  <c r="V154" i="4"/>
  <c r="U154" i="4"/>
  <c r="AE153" i="4"/>
  <c r="AD153" i="4"/>
  <c r="AC153" i="4"/>
  <c r="AB153" i="4"/>
  <c r="AA153" i="4"/>
  <c r="Y153" i="4"/>
  <c r="X153" i="4"/>
  <c r="W153" i="4"/>
  <c r="V153" i="4"/>
  <c r="U153" i="4"/>
  <c r="AE152" i="4"/>
  <c r="AD152" i="4"/>
  <c r="AC152" i="4"/>
  <c r="AB152" i="4"/>
  <c r="AA152" i="4"/>
  <c r="Y152" i="4"/>
  <c r="X152" i="4"/>
  <c r="W152" i="4"/>
  <c r="V152" i="4"/>
  <c r="U152" i="4"/>
  <c r="AE151" i="4"/>
  <c r="AD151" i="4"/>
  <c r="AC151" i="4"/>
  <c r="AB151" i="4"/>
  <c r="AA151" i="4"/>
  <c r="U151" i="4"/>
  <c r="AE150" i="4"/>
  <c r="AD150" i="4"/>
  <c r="AC150" i="4"/>
  <c r="AB150" i="4"/>
  <c r="AA150" i="4"/>
  <c r="Y150" i="4"/>
  <c r="X150" i="4"/>
  <c r="W150" i="4"/>
  <c r="V150" i="4"/>
  <c r="U150" i="4"/>
  <c r="AE149" i="4"/>
  <c r="AD149" i="4"/>
  <c r="AC149" i="4"/>
  <c r="AB149" i="4"/>
  <c r="AA149" i="4"/>
  <c r="Y149" i="4"/>
  <c r="X149" i="4"/>
  <c r="W149" i="4"/>
  <c r="V149" i="4"/>
  <c r="U149" i="4"/>
  <c r="AE148" i="4"/>
  <c r="AD148" i="4"/>
  <c r="AC148" i="4"/>
  <c r="AB148" i="4"/>
  <c r="AA148" i="4"/>
  <c r="Y148" i="4"/>
  <c r="X148" i="4"/>
  <c r="W148" i="4"/>
  <c r="V148" i="4"/>
  <c r="U148" i="4"/>
  <c r="AE147" i="4"/>
  <c r="AD147" i="4"/>
  <c r="AC147" i="4"/>
  <c r="AB147" i="4"/>
  <c r="AA147" i="4"/>
  <c r="U147" i="4"/>
  <c r="AE146" i="4"/>
  <c r="AD146" i="4"/>
  <c r="AC146" i="4"/>
  <c r="AB146" i="4"/>
  <c r="AA146" i="4"/>
  <c r="Y146" i="4"/>
  <c r="X146" i="4"/>
  <c r="W146" i="4"/>
  <c r="V146" i="4"/>
  <c r="U146" i="4"/>
  <c r="AE145" i="4"/>
  <c r="AD145" i="4"/>
  <c r="AC145" i="4"/>
  <c r="AB145" i="4"/>
  <c r="AA145" i="4"/>
  <c r="Y145" i="4"/>
  <c r="X145" i="4"/>
  <c r="W145" i="4"/>
  <c r="V145" i="4"/>
  <c r="U145" i="4"/>
  <c r="AE144" i="4"/>
  <c r="AD144" i="4"/>
  <c r="AC144" i="4"/>
  <c r="AB144" i="4"/>
  <c r="AA144" i="4"/>
  <c r="Y144" i="4"/>
  <c r="X144" i="4"/>
  <c r="W144" i="4"/>
  <c r="V144" i="4"/>
  <c r="U144" i="4"/>
  <c r="AE143" i="4"/>
  <c r="AD143" i="4"/>
  <c r="AC143" i="4"/>
  <c r="AB143" i="4"/>
  <c r="AA143" i="4"/>
  <c r="U143" i="4"/>
  <c r="AE142" i="4"/>
  <c r="AD142" i="4"/>
  <c r="AC142" i="4"/>
  <c r="AB142" i="4"/>
  <c r="AA142" i="4"/>
  <c r="Y142" i="4"/>
  <c r="X142" i="4"/>
  <c r="W142" i="4"/>
  <c r="V142" i="4"/>
  <c r="U142" i="4"/>
  <c r="AE141" i="4"/>
  <c r="AD141" i="4"/>
  <c r="AC141" i="4"/>
  <c r="AB141" i="4"/>
  <c r="AA141" i="4"/>
  <c r="Y141" i="4"/>
  <c r="X141" i="4"/>
  <c r="W141" i="4"/>
  <c r="V141" i="4"/>
  <c r="U141" i="4"/>
  <c r="AE140" i="4"/>
  <c r="AD140" i="4"/>
  <c r="AC140" i="4"/>
  <c r="AB140" i="4"/>
  <c r="AA140" i="4"/>
  <c r="Y140" i="4"/>
  <c r="X140" i="4"/>
  <c r="W140" i="4"/>
  <c r="V140" i="4"/>
  <c r="U140" i="4"/>
  <c r="AE139" i="4"/>
  <c r="AD139" i="4"/>
  <c r="AC139" i="4"/>
  <c r="AB139" i="4"/>
  <c r="AA139" i="4"/>
  <c r="U139" i="4"/>
  <c r="AE138" i="4"/>
  <c r="AD138" i="4"/>
  <c r="AC138" i="4"/>
  <c r="AB138" i="4"/>
  <c r="AA138" i="4"/>
  <c r="Y138" i="4"/>
  <c r="X138" i="4"/>
  <c r="W138" i="4"/>
  <c r="V138" i="4"/>
  <c r="U138" i="4"/>
  <c r="AE137" i="4"/>
  <c r="AD137" i="4"/>
  <c r="AC137" i="4"/>
  <c r="AB137" i="4"/>
  <c r="AA137" i="4"/>
  <c r="Y137" i="4"/>
  <c r="X137" i="4"/>
  <c r="W137" i="4"/>
  <c r="V137" i="4"/>
  <c r="U137" i="4"/>
  <c r="AE136" i="4"/>
  <c r="AD136" i="4"/>
  <c r="AC136" i="4"/>
  <c r="AB136" i="4"/>
  <c r="AA136" i="4"/>
  <c r="Y136" i="4"/>
  <c r="X136" i="4"/>
  <c r="W136" i="4"/>
  <c r="V136" i="4"/>
  <c r="U136" i="4"/>
  <c r="AE135" i="4"/>
  <c r="AD135" i="4"/>
  <c r="AC135" i="4"/>
  <c r="AB135" i="4"/>
  <c r="AA135" i="4"/>
  <c r="U135" i="4"/>
  <c r="AE134" i="4"/>
  <c r="AD134" i="4"/>
  <c r="AC134" i="4"/>
  <c r="AB134" i="4"/>
  <c r="AA134" i="4"/>
  <c r="Y134" i="4"/>
  <c r="X134" i="4"/>
  <c r="W134" i="4"/>
  <c r="V134" i="4"/>
  <c r="U134" i="4"/>
  <c r="AE133" i="4"/>
  <c r="AD133" i="4"/>
  <c r="AC133" i="4"/>
  <c r="AB133" i="4"/>
  <c r="AA133" i="4"/>
  <c r="Y133" i="4"/>
  <c r="X133" i="4"/>
  <c r="W133" i="4"/>
  <c r="V133" i="4"/>
  <c r="U133" i="4"/>
  <c r="AE132" i="4"/>
  <c r="AD132" i="4"/>
  <c r="AC132" i="4"/>
  <c r="AB132" i="4"/>
  <c r="AA132" i="4"/>
  <c r="Y132" i="4"/>
  <c r="X132" i="4"/>
  <c r="W132" i="4"/>
  <c r="V132" i="4"/>
  <c r="U132" i="4"/>
  <c r="AE131" i="4"/>
  <c r="AD131" i="4"/>
  <c r="AC131" i="4"/>
  <c r="AB131" i="4"/>
  <c r="AA131" i="4"/>
  <c r="U131" i="4"/>
  <c r="AE130" i="4"/>
  <c r="AD130" i="4"/>
  <c r="AC130" i="4"/>
  <c r="AB130" i="4"/>
  <c r="AA130" i="4"/>
  <c r="Y130" i="4"/>
  <c r="X130" i="4"/>
  <c r="W130" i="4"/>
  <c r="V130" i="4"/>
  <c r="U130" i="4"/>
  <c r="AE129" i="4"/>
  <c r="AD129" i="4"/>
  <c r="AC129" i="4"/>
  <c r="AB129" i="4"/>
  <c r="AA129" i="4"/>
  <c r="Y129" i="4"/>
  <c r="X129" i="4"/>
  <c r="W129" i="4"/>
  <c r="V129" i="4"/>
  <c r="U129" i="4"/>
  <c r="AE128" i="4"/>
  <c r="AD128" i="4"/>
  <c r="AC128" i="4"/>
  <c r="AB128" i="4"/>
  <c r="AA128" i="4"/>
  <c r="Y128" i="4"/>
  <c r="X128" i="4"/>
  <c r="W128" i="4"/>
  <c r="V128" i="4"/>
  <c r="U128" i="4"/>
  <c r="AE127" i="4"/>
  <c r="AD127" i="4"/>
  <c r="AC127" i="4"/>
  <c r="AB127" i="4"/>
  <c r="AA127" i="4"/>
  <c r="U127" i="4"/>
  <c r="AE126" i="4"/>
  <c r="AD126" i="4"/>
  <c r="AC126" i="4"/>
  <c r="AB126" i="4"/>
  <c r="AA126" i="4"/>
  <c r="Y126" i="4"/>
  <c r="X126" i="4"/>
  <c r="W126" i="4"/>
  <c r="V126" i="4"/>
  <c r="U126" i="4"/>
  <c r="AE125" i="4"/>
  <c r="AD125" i="4"/>
  <c r="AC125" i="4"/>
  <c r="AB125" i="4"/>
  <c r="AA125" i="4"/>
  <c r="Y125" i="4"/>
  <c r="X125" i="4"/>
  <c r="W125" i="4"/>
  <c r="V125" i="4"/>
  <c r="U125" i="4"/>
  <c r="AE124" i="4"/>
  <c r="AD124" i="4"/>
  <c r="AC124" i="4"/>
  <c r="AB124" i="4"/>
  <c r="AA124" i="4"/>
  <c r="Y124" i="4"/>
  <c r="X124" i="4"/>
  <c r="W124" i="4"/>
  <c r="V124" i="4"/>
  <c r="U124" i="4"/>
  <c r="AE123" i="4"/>
  <c r="AD123" i="4"/>
  <c r="AC123" i="4"/>
  <c r="AB123" i="4"/>
  <c r="AA123" i="4"/>
  <c r="U123" i="4"/>
  <c r="AE122" i="4"/>
  <c r="AD122" i="4"/>
  <c r="AC122" i="4"/>
  <c r="AB122" i="4"/>
  <c r="AA122" i="4"/>
  <c r="Y122" i="4"/>
  <c r="X122" i="4"/>
  <c r="W122" i="4"/>
  <c r="V122" i="4"/>
  <c r="U122" i="4"/>
  <c r="AE121" i="4"/>
  <c r="AD121" i="4"/>
  <c r="AC121" i="4"/>
  <c r="AB121" i="4"/>
  <c r="AA121" i="4"/>
  <c r="Y121" i="4"/>
  <c r="X121" i="4"/>
  <c r="W121" i="4"/>
  <c r="V121" i="4"/>
  <c r="U121" i="4"/>
  <c r="AE120" i="4"/>
  <c r="AD120" i="4"/>
  <c r="AC120" i="4"/>
  <c r="AB120" i="4"/>
  <c r="AA120" i="4"/>
  <c r="Y120" i="4"/>
  <c r="X120" i="4"/>
  <c r="W120" i="4"/>
  <c r="V120" i="4"/>
  <c r="U120" i="4"/>
  <c r="AE119" i="4"/>
  <c r="AD119" i="4"/>
  <c r="AC119" i="4"/>
  <c r="AB119" i="4"/>
  <c r="AA119" i="4"/>
  <c r="U119" i="4"/>
  <c r="AE118" i="4"/>
  <c r="AD118" i="4"/>
  <c r="AC118" i="4"/>
  <c r="AB118" i="4"/>
  <c r="AA118" i="4"/>
  <c r="Y118" i="4"/>
  <c r="X118" i="4"/>
  <c r="W118" i="4"/>
  <c r="V118" i="4"/>
  <c r="U118" i="4"/>
  <c r="AE117" i="4"/>
  <c r="AD117" i="4"/>
  <c r="AC117" i="4"/>
  <c r="AB117" i="4"/>
  <c r="AA117" i="4"/>
  <c r="Y117" i="4"/>
  <c r="X117" i="4"/>
  <c r="W117" i="4"/>
  <c r="V117" i="4"/>
  <c r="U117" i="4"/>
  <c r="AE116" i="4"/>
  <c r="AD116" i="4"/>
  <c r="AC116" i="4"/>
  <c r="AB116" i="4"/>
  <c r="AA116" i="4"/>
  <c r="Y116" i="4"/>
  <c r="X116" i="4"/>
  <c r="W116" i="4"/>
  <c r="V116" i="4"/>
  <c r="U116" i="4"/>
  <c r="AE115" i="4"/>
  <c r="AD115" i="4"/>
  <c r="AC115" i="4"/>
  <c r="AB115" i="4"/>
  <c r="AA115" i="4"/>
  <c r="U115" i="4"/>
  <c r="AE114" i="4"/>
  <c r="AD114" i="4"/>
  <c r="AC114" i="4"/>
  <c r="AB114" i="4"/>
  <c r="AA114" i="4"/>
  <c r="Y114" i="4"/>
  <c r="X114" i="4"/>
  <c r="W114" i="4"/>
  <c r="V114" i="4"/>
  <c r="U114" i="4"/>
  <c r="AE113" i="4"/>
  <c r="AD113" i="4"/>
  <c r="AC113" i="4"/>
  <c r="AB113" i="4"/>
  <c r="AA113" i="4"/>
  <c r="Y113" i="4"/>
  <c r="X113" i="4"/>
  <c r="W113" i="4"/>
  <c r="V113" i="4"/>
  <c r="U113" i="4"/>
  <c r="AE112" i="4"/>
  <c r="AD112" i="4"/>
  <c r="AC112" i="4"/>
  <c r="AB112" i="4"/>
  <c r="AA112" i="4"/>
  <c r="Y112" i="4"/>
  <c r="X112" i="4"/>
  <c r="W112" i="4"/>
  <c r="V112" i="4"/>
  <c r="U112" i="4"/>
  <c r="AE111" i="4"/>
  <c r="AD111" i="4"/>
  <c r="AC111" i="4"/>
  <c r="AB111" i="4"/>
  <c r="AA111" i="4"/>
  <c r="U111" i="4"/>
  <c r="AE110" i="4"/>
  <c r="AD110" i="4"/>
  <c r="AC110" i="4"/>
  <c r="AB110" i="4"/>
  <c r="AA110" i="4"/>
  <c r="Y110" i="4"/>
  <c r="X110" i="4"/>
  <c r="W110" i="4"/>
  <c r="V110" i="4"/>
  <c r="U110" i="4"/>
  <c r="AE109" i="4"/>
  <c r="AD109" i="4"/>
  <c r="AC109" i="4"/>
  <c r="AB109" i="4"/>
  <c r="AA109" i="4"/>
  <c r="Y109" i="4"/>
  <c r="X109" i="4"/>
  <c r="W109" i="4"/>
  <c r="V109" i="4"/>
  <c r="U109" i="4"/>
  <c r="AE108" i="4"/>
  <c r="AD108" i="4"/>
  <c r="AC108" i="4"/>
  <c r="AB108" i="4"/>
  <c r="AA108" i="4"/>
  <c r="Y108" i="4"/>
  <c r="X108" i="4"/>
  <c r="W108" i="4"/>
  <c r="V108" i="4"/>
  <c r="U108" i="4"/>
  <c r="AE107" i="4"/>
  <c r="AD107" i="4"/>
  <c r="AC107" i="4"/>
  <c r="AB107" i="4"/>
  <c r="AA107" i="4"/>
  <c r="U107" i="4"/>
  <c r="AE106" i="4"/>
  <c r="AD106" i="4"/>
  <c r="AC106" i="4"/>
  <c r="AB106" i="4"/>
  <c r="AA106" i="4"/>
  <c r="Y106" i="4"/>
  <c r="X106" i="4"/>
  <c r="W106" i="4"/>
  <c r="V106" i="4"/>
  <c r="U106" i="4"/>
  <c r="AE105" i="4"/>
  <c r="AD105" i="4"/>
  <c r="AC105" i="4"/>
  <c r="AB105" i="4"/>
  <c r="AA105" i="4"/>
  <c r="Y105" i="4"/>
  <c r="X105" i="4"/>
  <c r="W105" i="4"/>
  <c r="V105" i="4"/>
  <c r="U105" i="4"/>
  <c r="AE104" i="4"/>
  <c r="AD104" i="4"/>
  <c r="AC104" i="4"/>
  <c r="AB104" i="4"/>
  <c r="AA104" i="4"/>
  <c r="Y104" i="4"/>
  <c r="X104" i="4"/>
  <c r="W104" i="4"/>
  <c r="V104" i="4"/>
  <c r="U104" i="4"/>
  <c r="AE103" i="4"/>
  <c r="AD103" i="4"/>
  <c r="AC103" i="4"/>
  <c r="AB103" i="4"/>
  <c r="AA103" i="4"/>
  <c r="U103" i="4"/>
  <c r="AE102" i="4"/>
  <c r="AD102" i="4"/>
  <c r="AC102" i="4"/>
  <c r="AB102" i="4"/>
  <c r="AA102" i="4"/>
  <c r="Y102" i="4"/>
  <c r="X102" i="4"/>
  <c r="W102" i="4"/>
  <c r="V102" i="4"/>
  <c r="U102" i="4"/>
  <c r="AE101" i="4"/>
  <c r="AD101" i="4"/>
  <c r="AC101" i="4"/>
  <c r="AB101" i="4"/>
  <c r="AA101" i="4"/>
  <c r="Y101" i="4"/>
  <c r="X101" i="4"/>
  <c r="W101" i="4"/>
  <c r="V101" i="4"/>
  <c r="U101" i="4"/>
  <c r="AE100" i="4"/>
  <c r="AD100" i="4"/>
  <c r="AC100" i="4"/>
  <c r="AB100" i="4"/>
  <c r="AA100" i="4"/>
  <c r="Y100" i="4"/>
  <c r="X100" i="4"/>
  <c r="W100" i="4"/>
  <c r="V100" i="4"/>
  <c r="U100" i="4"/>
  <c r="AE99" i="4"/>
  <c r="AD99" i="4"/>
  <c r="AC99" i="4"/>
  <c r="AB99" i="4"/>
  <c r="AA99" i="4"/>
  <c r="U99" i="4"/>
  <c r="AE98" i="4"/>
  <c r="AD98" i="4"/>
  <c r="AC98" i="4"/>
  <c r="AB98" i="4"/>
  <c r="AA98" i="4"/>
  <c r="Y98" i="4"/>
  <c r="X98" i="4"/>
  <c r="W98" i="4"/>
  <c r="V98" i="4"/>
  <c r="U98" i="4"/>
  <c r="AE97" i="4"/>
  <c r="AD97" i="4"/>
  <c r="AC97" i="4"/>
  <c r="AB97" i="4"/>
  <c r="AA97" i="4"/>
  <c r="Y97" i="4"/>
  <c r="X97" i="4"/>
  <c r="W97" i="4"/>
  <c r="V97" i="4"/>
  <c r="U97" i="4"/>
  <c r="AE96" i="4"/>
  <c r="AD96" i="4"/>
  <c r="AC96" i="4"/>
  <c r="AB96" i="4"/>
  <c r="AA96" i="4"/>
  <c r="Y96" i="4"/>
  <c r="X96" i="4"/>
  <c r="W96" i="4"/>
  <c r="V96" i="4"/>
  <c r="U96" i="4"/>
  <c r="AE95" i="4"/>
  <c r="AD95" i="4"/>
  <c r="AC95" i="4"/>
  <c r="AB95" i="4"/>
  <c r="AA95" i="4"/>
  <c r="U95" i="4"/>
  <c r="AE94" i="4"/>
  <c r="AD94" i="4"/>
  <c r="AC94" i="4"/>
  <c r="AB94" i="4"/>
  <c r="AA94" i="4"/>
  <c r="Y94" i="4"/>
  <c r="X94" i="4"/>
  <c r="W94" i="4"/>
  <c r="V94" i="4"/>
  <c r="U94" i="4"/>
  <c r="AE93" i="4"/>
  <c r="AD93" i="4"/>
  <c r="AC93" i="4"/>
  <c r="AB93" i="4"/>
  <c r="AA93" i="4"/>
  <c r="Y93" i="4"/>
  <c r="X93" i="4"/>
  <c r="W93" i="4"/>
  <c r="V93" i="4"/>
  <c r="U93" i="4"/>
  <c r="AE92" i="4"/>
  <c r="AD92" i="4"/>
  <c r="AC92" i="4"/>
  <c r="AB92" i="4"/>
  <c r="AA92" i="4"/>
  <c r="Y92" i="4"/>
  <c r="X92" i="4"/>
  <c r="W92" i="4"/>
  <c r="V92" i="4"/>
  <c r="U92" i="4"/>
  <c r="AE91" i="4"/>
  <c r="AD91" i="4"/>
  <c r="AC91" i="4"/>
  <c r="AB91" i="4"/>
  <c r="AA91" i="4"/>
  <c r="U91" i="4"/>
  <c r="AE90" i="4"/>
  <c r="AD90" i="4"/>
  <c r="AC90" i="4"/>
  <c r="AB90" i="4"/>
  <c r="AA90" i="4"/>
  <c r="Y90" i="4"/>
  <c r="X90" i="4"/>
  <c r="W90" i="4"/>
  <c r="V90" i="4"/>
  <c r="U90" i="4"/>
  <c r="AE89" i="4"/>
  <c r="AD89" i="4"/>
  <c r="AC89" i="4"/>
  <c r="AB89" i="4"/>
  <c r="AA89" i="4"/>
  <c r="Y89" i="4"/>
  <c r="X89" i="4"/>
  <c r="W89" i="4"/>
  <c r="V89" i="4"/>
  <c r="U89" i="4"/>
  <c r="AE88" i="4"/>
  <c r="AD88" i="4"/>
  <c r="AC88" i="4"/>
  <c r="AB88" i="4"/>
  <c r="AA88" i="4"/>
  <c r="Y88" i="4"/>
  <c r="X88" i="4"/>
  <c r="W88" i="4"/>
  <c r="V88" i="4"/>
  <c r="U88" i="4"/>
  <c r="AE87" i="4"/>
  <c r="AD87" i="4"/>
  <c r="AC87" i="4"/>
  <c r="AB87" i="4"/>
  <c r="AA87" i="4"/>
  <c r="U87" i="4"/>
  <c r="AE86" i="4"/>
  <c r="AD86" i="4"/>
  <c r="AC86" i="4"/>
  <c r="AB86" i="4"/>
  <c r="AA86" i="4"/>
  <c r="Y86" i="4"/>
  <c r="X86" i="4"/>
  <c r="W86" i="4"/>
  <c r="V86" i="4"/>
  <c r="U86" i="4"/>
  <c r="AE85" i="4"/>
  <c r="AD85" i="4"/>
  <c r="AC85" i="4"/>
  <c r="AB85" i="4"/>
  <c r="AA85" i="4"/>
  <c r="Y85" i="4"/>
  <c r="X85" i="4"/>
  <c r="W85" i="4"/>
  <c r="V85" i="4"/>
  <c r="U85" i="4"/>
  <c r="AE84" i="4"/>
  <c r="AD84" i="4"/>
  <c r="AC84" i="4"/>
  <c r="AB84" i="4"/>
  <c r="AA84" i="4"/>
  <c r="Y84" i="4"/>
  <c r="X84" i="4"/>
  <c r="W84" i="4"/>
  <c r="V84" i="4"/>
  <c r="U84" i="4"/>
  <c r="AE83" i="4"/>
  <c r="AD83" i="4"/>
  <c r="AC83" i="4"/>
  <c r="AB83" i="4"/>
  <c r="AA83" i="4"/>
  <c r="U83" i="4"/>
  <c r="AE82" i="4"/>
  <c r="AD82" i="4"/>
  <c r="AC82" i="4"/>
  <c r="AB82" i="4"/>
  <c r="AA82" i="4"/>
  <c r="Y82" i="4"/>
  <c r="X82" i="4"/>
  <c r="W82" i="4"/>
  <c r="V82" i="4"/>
  <c r="U82" i="4"/>
  <c r="AE81" i="4"/>
  <c r="AD81" i="4"/>
  <c r="AC81" i="4"/>
  <c r="AB81" i="4"/>
  <c r="AA81" i="4"/>
  <c r="Y81" i="4"/>
  <c r="X81" i="4"/>
  <c r="W81" i="4"/>
  <c r="V81" i="4"/>
  <c r="U81" i="4"/>
  <c r="AE80" i="4"/>
  <c r="AD80" i="4"/>
  <c r="AC80" i="4"/>
  <c r="AB80" i="4"/>
  <c r="AA80" i="4"/>
  <c r="Y80" i="4"/>
  <c r="X80" i="4"/>
  <c r="W80" i="4"/>
  <c r="V80" i="4"/>
  <c r="U80" i="4"/>
  <c r="AE79" i="4"/>
  <c r="AD79" i="4"/>
  <c r="AC79" i="4"/>
  <c r="AB79" i="4"/>
  <c r="AA79" i="4"/>
  <c r="U79" i="4"/>
  <c r="AE78" i="4"/>
  <c r="AD78" i="4"/>
  <c r="AC78" i="4"/>
  <c r="AB78" i="4"/>
  <c r="AA78" i="4"/>
  <c r="Y78" i="4"/>
  <c r="X78" i="4"/>
  <c r="W78" i="4"/>
  <c r="V78" i="4"/>
  <c r="U78" i="4"/>
  <c r="AE77" i="4"/>
  <c r="AD77" i="4"/>
  <c r="AC77" i="4"/>
  <c r="AB77" i="4"/>
  <c r="AA77" i="4"/>
  <c r="Y77" i="4"/>
  <c r="X77" i="4"/>
  <c r="W77" i="4"/>
  <c r="V77" i="4"/>
  <c r="U77" i="4"/>
  <c r="AE76" i="4"/>
  <c r="AD76" i="4"/>
  <c r="AC76" i="4"/>
  <c r="AB76" i="4"/>
  <c r="AA76" i="4"/>
  <c r="Y76" i="4"/>
  <c r="X76" i="4"/>
  <c r="W76" i="4"/>
  <c r="V76" i="4"/>
  <c r="U76" i="4"/>
  <c r="AE75" i="4"/>
  <c r="AD75" i="4"/>
  <c r="AC75" i="4"/>
  <c r="AB75" i="4"/>
  <c r="AA75" i="4"/>
  <c r="U75" i="4"/>
  <c r="AE74" i="4"/>
  <c r="AD74" i="4"/>
  <c r="AC74" i="4"/>
  <c r="AB74" i="4"/>
  <c r="AA74" i="4"/>
  <c r="Y74" i="4"/>
  <c r="X74" i="4"/>
  <c r="W74" i="4"/>
  <c r="V74" i="4"/>
  <c r="U74" i="4"/>
  <c r="AE73" i="4"/>
  <c r="AD73" i="4"/>
  <c r="AC73" i="4"/>
  <c r="AB73" i="4"/>
  <c r="AA73" i="4"/>
  <c r="Y73" i="4"/>
  <c r="X73" i="4"/>
  <c r="W73" i="4"/>
  <c r="V73" i="4"/>
  <c r="U73" i="4"/>
  <c r="AE72" i="4"/>
  <c r="AD72" i="4"/>
  <c r="AC72" i="4"/>
  <c r="AB72" i="4"/>
  <c r="AA72" i="4"/>
  <c r="Y72" i="4"/>
  <c r="X72" i="4"/>
  <c r="W72" i="4"/>
  <c r="V72" i="4"/>
  <c r="U72" i="4"/>
  <c r="AE71" i="4"/>
  <c r="AD71" i="4"/>
  <c r="AC71" i="4"/>
  <c r="AB71" i="4"/>
  <c r="AA71" i="4"/>
  <c r="U71" i="4"/>
  <c r="AE70" i="4"/>
  <c r="AD70" i="4"/>
  <c r="AC70" i="4"/>
  <c r="AB70" i="4"/>
  <c r="AA70" i="4"/>
  <c r="Y70" i="4"/>
  <c r="X70" i="4"/>
  <c r="W70" i="4"/>
  <c r="V70" i="4"/>
  <c r="U70" i="4"/>
  <c r="AE69" i="4"/>
  <c r="AD69" i="4"/>
  <c r="AC69" i="4"/>
  <c r="AB69" i="4"/>
  <c r="AA69" i="4"/>
  <c r="Y69" i="4"/>
  <c r="X69" i="4"/>
  <c r="W69" i="4"/>
  <c r="V69" i="4"/>
  <c r="U69" i="4"/>
  <c r="AE68" i="4"/>
  <c r="AD68" i="4"/>
  <c r="AC68" i="4"/>
  <c r="AB68" i="4"/>
  <c r="AA68" i="4"/>
  <c r="Y68" i="4"/>
  <c r="X68" i="4"/>
  <c r="W68" i="4"/>
  <c r="V68" i="4"/>
  <c r="U68" i="4"/>
  <c r="AE67" i="4"/>
  <c r="AD67" i="4"/>
  <c r="AC67" i="4"/>
  <c r="AB67" i="4"/>
  <c r="AA67" i="4"/>
  <c r="U67" i="4"/>
  <c r="AE66" i="4"/>
  <c r="AD66" i="4"/>
  <c r="AC66" i="4"/>
  <c r="AB66" i="4"/>
  <c r="AA66" i="4"/>
  <c r="Y66" i="4"/>
  <c r="X66" i="4"/>
  <c r="W66" i="4"/>
  <c r="V66" i="4"/>
  <c r="U66" i="4"/>
  <c r="AE65" i="4"/>
  <c r="AD65" i="4"/>
  <c r="AC65" i="4"/>
  <c r="AB65" i="4"/>
  <c r="AA65" i="4"/>
  <c r="Y65" i="4"/>
  <c r="X65" i="4"/>
  <c r="W65" i="4"/>
  <c r="V65" i="4"/>
  <c r="U65" i="4"/>
  <c r="AE64" i="4"/>
  <c r="AD64" i="4"/>
  <c r="AC64" i="4"/>
  <c r="AB64" i="4"/>
  <c r="AA64" i="4"/>
  <c r="Y64" i="4"/>
  <c r="X64" i="4"/>
  <c r="W64" i="4"/>
  <c r="V64" i="4"/>
  <c r="U64" i="4"/>
  <c r="AE63" i="4"/>
  <c r="AD63" i="4"/>
  <c r="AC63" i="4"/>
  <c r="AB63" i="4"/>
  <c r="AA63" i="4"/>
  <c r="U63" i="4"/>
  <c r="AE62" i="4"/>
  <c r="AD62" i="4"/>
  <c r="AC62" i="4"/>
  <c r="AB62" i="4"/>
  <c r="AA62" i="4"/>
  <c r="Y62" i="4"/>
  <c r="X62" i="4"/>
  <c r="W62" i="4"/>
  <c r="V62" i="4"/>
  <c r="U62" i="4"/>
  <c r="AE61" i="4"/>
  <c r="AD61" i="4"/>
  <c r="AC61" i="4"/>
  <c r="AB61" i="4"/>
  <c r="AA61" i="4"/>
  <c r="Y61" i="4"/>
  <c r="X61" i="4"/>
  <c r="W61" i="4"/>
  <c r="V61" i="4"/>
  <c r="U61" i="4"/>
  <c r="AE60" i="4"/>
  <c r="AD60" i="4"/>
  <c r="AC60" i="4"/>
  <c r="AB60" i="4"/>
  <c r="AA60" i="4"/>
  <c r="Y60" i="4"/>
  <c r="X60" i="4"/>
  <c r="W60" i="4"/>
  <c r="V60" i="4"/>
  <c r="U60" i="4"/>
  <c r="AE59" i="4"/>
  <c r="AD59" i="4"/>
  <c r="AC59" i="4"/>
  <c r="AB59" i="4"/>
  <c r="AA59" i="4"/>
  <c r="U59" i="4"/>
  <c r="AE58" i="4"/>
  <c r="AD58" i="4"/>
  <c r="AC58" i="4"/>
  <c r="AB58" i="4"/>
  <c r="AA58" i="4"/>
  <c r="Y58" i="4"/>
  <c r="X58" i="4"/>
  <c r="W58" i="4"/>
  <c r="V58" i="4"/>
  <c r="U58" i="4"/>
  <c r="AE57" i="4"/>
  <c r="AD57" i="4"/>
  <c r="AC57" i="4"/>
  <c r="AB57" i="4"/>
  <c r="AA57" i="4"/>
  <c r="Y57" i="4"/>
  <c r="X57" i="4"/>
  <c r="W57" i="4"/>
  <c r="V57" i="4"/>
  <c r="U57" i="4"/>
  <c r="AE56" i="4"/>
  <c r="AD56" i="4"/>
  <c r="AC56" i="4"/>
  <c r="AB56" i="4"/>
  <c r="AA56" i="4"/>
  <c r="Y56" i="4"/>
  <c r="X56" i="4"/>
  <c r="W56" i="4"/>
  <c r="V56" i="4"/>
  <c r="U56" i="4"/>
  <c r="AE55" i="4"/>
  <c r="AD55" i="4"/>
  <c r="AC55" i="4"/>
  <c r="AB55" i="4"/>
  <c r="AA55" i="4"/>
  <c r="U55" i="4"/>
  <c r="AE54" i="4"/>
  <c r="AD54" i="4"/>
  <c r="AC54" i="4"/>
  <c r="AB54" i="4"/>
  <c r="AA54" i="4"/>
  <c r="Y54" i="4"/>
  <c r="X54" i="4"/>
  <c r="W54" i="4"/>
  <c r="V54" i="4"/>
  <c r="U54" i="4"/>
  <c r="E54" i="4"/>
  <c r="AE53" i="4"/>
  <c r="AD53" i="4"/>
  <c r="AC53" i="4"/>
  <c r="AB53" i="4"/>
  <c r="AA53" i="4"/>
  <c r="Y53" i="4"/>
  <c r="X53" i="4"/>
  <c r="W53" i="4"/>
  <c r="V53" i="4"/>
  <c r="U53" i="4"/>
  <c r="E53" i="4"/>
  <c r="AH52" i="4"/>
  <c r="AG52" i="4"/>
  <c r="AE52" i="4"/>
  <c r="AD52" i="4"/>
  <c r="AC52" i="4"/>
  <c r="AB52" i="4"/>
  <c r="AA52" i="4"/>
  <c r="Y52" i="4"/>
  <c r="X52" i="4"/>
  <c r="W52" i="4"/>
  <c r="V52" i="4"/>
  <c r="U52" i="4"/>
  <c r="E52" i="4"/>
  <c r="AH51" i="4"/>
  <c r="AG51" i="4"/>
  <c r="AE51" i="4"/>
  <c r="AD51" i="4"/>
  <c r="AC51" i="4"/>
  <c r="AB51" i="4"/>
  <c r="AA51" i="4"/>
  <c r="U51" i="4"/>
  <c r="E51" i="4"/>
  <c r="AH50" i="4"/>
  <c r="AG50" i="4"/>
  <c r="AE50" i="4"/>
  <c r="AD50" i="4"/>
  <c r="AC50" i="4"/>
  <c r="AB50" i="4"/>
  <c r="AA50" i="4"/>
  <c r="Y50" i="4"/>
  <c r="X50" i="4"/>
  <c r="W50" i="4"/>
  <c r="V50" i="4"/>
  <c r="U50" i="4"/>
  <c r="E50" i="4"/>
  <c r="AH49" i="4"/>
  <c r="AG49" i="4"/>
  <c r="AE49" i="4"/>
  <c r="AD49" i="4"/>
  <c r="AC49" i="4"/>
  <c r="AB49" i="4"/>
  <c r="AA49" i="4"/>
  <c r="Y49" i="4"/>
  <c r="X49" i="4"/>
  <c r="W49" i="4"/>
  <c r="V49" i="4"/>
  <c r="U49" i="4"/>
  <c r="E49" i="4"/>
  <c r="AH48" i="4"/>
  <c r="AG48" i="4"/>
  <c r="AE48" i="4"/>
  <c r="AD48" i="4"/>
  <c r="AC48" i="4"/>
  <c r="AB48" i="4"/>
  <c r="AA48" i="4"/>
  <c r="Y48" i="4"/>
  <c r="X48" i="4"/>
  <c r="W48" i="4"/>
  <c r="V48" i="4"/>
  <c r="U48" i="4"/>
  <c r="E48" i="4"/>
  <c r="AH47" i="4"/>
  <c r="AG47" i="4"/>
  <c r="AE47" i="4"/>
  <c r="AD47" i="4"/>
  <c r="AC47" i="4"/>
  <c r="AB47" i="4"/>
  <c r="AA47" i="4"/>
  <c r="U47" i="4"/>
  <c r="E47" i="4"/>
  <c r="AH46" i="4"/>
  <c r="AG46" i="4"/>
  <c r="AE46" i="4"/>
  <c r="AD46" i="4"/>
  <c r="AC46" i="4"/>
  <c r="AB46" i="4"/>
  <c r="AA46" i="4"/>
  <c r="Y46" i="4"/>
  <c r="X46" i="4"/>
  <c r="W46" i="4"/>
  <c r="V46" i="4"/>
  <c r="U46" i="4"/>
  <c r="E46" i="4"/>
  <c r="AH45" i="4"/>
  <c r="AG45" i="4"/>
  <c r="AE45" i="4"/>
  <c r="AD45" i="4"/>
  <c r="AC45" i="4"/>
  <c r="AB45" i="4"/>
  <c r="AA45" i="4"/>
  <c r="Y45" i="4"/>
  <c r="X45" i="4"/>
  <c r="W45" i="4"/>
  <c r="V45" i="4"/>
  <c r="U45" i="4"/>
  <c r="E45" i="4"/>
  <c r="AH44" i="4"/>
  <c r="AG44" i="4"/>
  <c r="AE44" i="4"/>
  <c r="AD44" i="4"/>
  <c r="AC44" i="4"/>
  <c r="AB44" i="4"/>
  <c r="AA44" i="4"/>
  <c r="Y44" i="4"/>
  <c r="X44" i="4"/>
  <c r="W44" i="4"/>
  <c r="V44" i="4"/>
  <c r="U44" i="4"/>
  <c r="E44" i="4"/>
  <c r="AH43" i="4"/>
  <c r="AG43" i="4"/>
  <c r="AE43" i="4"/>
  <c r="AD43" i="4"/>
  <c r="AC43" i="4"/>
  <c r="AB43" i="4"/>
  <c r="AA43" i="4"/>
  <c r="U43" i="4"/>
  <c r="E43" i="4"/>
  <c r="AH42" i="4"/>
  <c r="AG42" i="4"/>
  <c r="AE42" i="4"/>
  <c r="AD42" i="4"/>
  <c r="AC42" i="4"/>
  <c r="AB42" i="4"/>
  <c r="AA42" i="4"/>
  <c r="Y42" i="4"/>
  <c r="X42" i="4"/>
  <c r="W42" i="4"/>
  <c r="V42" i="4"/>
  <c r="U42" i="4"/>
  <c r="E42" i="4"/>
  <c r="AH41" i="4"/>
  <c r="AG41" i="4"/>
  <c r="AE41" i="4"/>
  <c r="AD41" i="4"/>
  <c r="AC41" i="4"/>
  <c r="AB41" i="4"/>
  <c r="AA41" i="4"/>
  <c r="Y41" i="4"/>
  <c r="X41" i="4"/>
  <c r="W41" i="4"/>
  <c r="V41" i="4"/>
  <c r="U41" i="4"/>
  <c r="E41" i="4"/>
  <c r="AH40" i="4"/>
  <c r="AG40" i="4"/>
  <c r="AE40" i="4"/>
  <c r="AD40" i="4"/>
  <c r="AC40" i="4"/>
  <c r="AB40" i="4"/>
  <c r="AA40" i="4"/>
  <c r="Y40" i="4"/>
  <c r="X40" i="4"/>
  <c r="W40" i="4"/>
  <c r="V40" i="4"/>
  <c r="U40" i="4"/>
  <c r="E40" i="4"/>
  <c r="AH39" i="4"/>
  <c r="AG39" i="4"/>
  <c r="AE39" i="4"/>
  <c r="AD39" i="4"/>
  <c r="AC39" i="4"/>
  <c r="AB39" i="4"/>
  <c r="AA39" i="4"/>
  <c r="U39" i="4"/>
  <c r="E39" i="4"/>
  <c r="AH38" i="4"/>
  <c r="AG38" i="4"/>
  <c r="AE38" i="4"/>
  <c r="AD38" i="4"/>
  <c r="AC38" i="4"/>
  <c r="AB38" i="4"/>
  <c r="AA38" i="4"/>
  <c r="Y38" i="4"/>
  <c r="X38" i="4"/>
  <c r="W38" i="4"/>
  <c r="V38" i="4"/>
  <c r="U38" i="4"/>
  <c r="E38" i="4"/>
  <c r="AH37" i="4"/>
  <c r="AG37" i="4"/>
  <c r="AE37" i="4"/>
  <c r="AD37" i="4"/>
  <c r="AC37" i="4"/>
  <c r="AB37" i="4"/>
  <c r="AA37" i="4"/>
  <c r="Y37" i="4"/>
  <c r="X37" i="4"/>
  <c r="W37" i="4"/>
  <c r="V37" i="4"/>
  <c r="U37" i="4"/>
  <c r="E37" i="4"/>
  <c r="AH36" i="4"/>
  <c r="AG36" i="4"/>
  <c r="AE36" i="4"/>
  <c r="AD36" i="4"/>
  <c r="AC36" i="4"/>
  <c r="AB36" i="4"/>
  <c r="AA36" i="4"/>
  <c r="Y36" i="4"/>
  <c r="X36" i="4"/>
  <c r="W36" i="4"/>
  <c r="V36" i="4"/>
  <c r="U36" i="4"/>
  <c r="E36" i="4"/>
  <c r="AH35" i="4"/>
  <c r="AG35" i="4"/>
  <c r="AE35" i="4"/>
  <c r="AD35" i="4"/>
  <c r="AC35" i="4"/>
  <c r="AB35" i="4"/>
  <c r="AA35" i="4"/>
  <c r="U35" i="4"/>
  <c r="E35" i="4"/>
  <c r="AH34" i="4"/>
  <c r="AG34" i="4"/>
  <c r="AE34" i="4"/>
  <c r="AD34" i="4"/>
  <c r="AC34" i="4"/>
  <c r="AB34" i="4"/>
  <c r="AA34" i="4"/>
  <c r="Y34" i="4"/>
  <c r="X34" i="4"/>
  <c r="W34" i="4"/>
  <c r="V34" i="4"/>
  <c r="U34" i="4"/>
  <c r="E34" i="4"/>
  <c r="AH33" i="4"/>
  <c r="AG33" i="4"/>
  <c r="AE33" i="4"/>
  <c r="AD33" i="4"/>
  <c r="AC33" i="4"/>
  <c r="AB33" i="4"/>
  <c r="AA33" i="4"/>
  <c r="Y33" i="4"/>
  <c r="X33" i="4"/>
  <c r="W33" i="4"/>
  <c r="V33" i="4"/>
  <c r="U33" i="4"/>
  <c r="E33" i="4"/>
  <c r="AH32" i="4"/>
  <c r="AG32" i="4"/>
  <c r="AE32" i="4"/>
  <c r="AD32" i="4"/>
  <c r="AC32" i="4"/>
  <c r="AB32" i="4"/>
  <c r="AA32" i="4"/>
  <c r="Y32" i="4"/>
  <c r="X32" i="4"/>
  <c r="W32" i="4"/>
  <c r="V32" i="4"/>
  <c r="U32" i="4"/>
  <c r="E32" i="4"/>
  <c r="AH31" i="4"/>
  <c r="AG31" i="4"/>
  <c r="AE31" i="4"/>
  <c r="AD31" i="4"/>
  <c r="AC31" i="4"/>
  <c r="AB31" i="4"/>
  <c r="AA31" i="4"/>
  <c r="U31" i="4"/>
  <c r="E31" i="4"/>
  <c r="AH30" i="4"/>
  <c r="AG30" i="4"/>
  <c r="AE30" i="4"/>
  <c r="AD30" i="4"/>
  <c r="AC30" i="4"/>
  <c r="AB30" i="4"/>
  <c r="AA30" i="4"/>
  <c r="Y30" i="4"/>
  <c r="X30" i="4"/>
  <c r="W30" i="4"/>
  <c r="V30" i="4"/>
  <c r="U30" i="4"/>
  <c r="E30" i="4"/>
  <c r="AH29" i="4"/>
  <c r="AG29" i="4"/>
  <c r="AE29" i="4"/>
  <c r="AD29" i="4"/>
  <c r="AC29" i="4"/>
  <c r="AB29" i="4"/>
  <c r="AA29" i="4"/>
  <c r="Y29" i="4"/>
  <c r="X29" i="4"/>
  <c r="W29" i="4"/>
  <c r="V29" i="4"/>
  <c r="U29" i="4"/>
  <c r="E29" i="4"/>
  <c r="AH28" i="4"/>
  <c r="AG28" i="4"/>
  <c r="AE28" i="4"/>
  <c r="AD28" i="4"/>
  <c r="AC28" i="4"/>
  <c r="AB28" i="4"/>
  <c r="AA28" i="4"/>
  <c r="Y28" i="4"/>
  <c r="X28" i="4"/>
  <c r="W28" i="4"/>
  <c r="V28" i="4"/>
  <c r="U28" i="4"/>
  <c r="E28" i="4"/>
  <c r="AH27" i="4"/>
  <c r="AG27" i="4"/>
  <c r="AE27" i="4"/>
  <c r="AD27" i="4"/>
  <c r="AC27" i="4"/>
  <c r="AB27" i="4"/>
  <c r="AA27" i="4"/>
  <c r="U27" i="4"/>
  <c r="E27" i="4"/>
  <c r="AH26" i="4"/>
  <c r="AG26" i="4"/>
  <c r="AE26" i="4"/>
  <c r="AD26" i="4"/>
  <c r="AC26" i="4"/>
  <c r="AB26" i="4"/>
  <c r="AA26" i="4"/>
  <c r="Y26" i="4"/>
  <c r="X26" i="4"/>
  <c r="W26" i="4"/>
  <c r="V26" i="4"/>
  <c r="U26" i="4"/>
  <c r="E26" i="4"/>
  <c r="AH25" i="4"/>
  <c r="AG25" i="4"/>
  <c r="AE25" i="4"/>
  <c r="AD25" i="4"/>
  <c r="AC25" i="4"/>
  <c r="AB25" i="4"/>
  <c r="AA25" i="4"/>
  <c r="Y25" i="4"/>
  <c r="X25" i="4"/>
  <c r="W25" i="4"/>
  <c r="V25" i="4"/>
  <c r="U25" i="4"/>
  <c r="E25" i="4"/>
  <c r="AH24" i="4"/>
  <c r="AG24" i="4"/>
  <c r="AE24" i="4"/>
  <c r="AD24" i="4"/>
  <c r="AC24" i="4"/>
  <c r="AB24" i="4"/>
  <c r="AA24" i="4"/>
  <c r="Y24" i="4"/>
  <c r="X24" i="4"/>
  <c r="W24" i="4"/>
  <c r="V24" i="4"/>
  <c r="U24" i="4"/>
  <c r="E24" i="4"/>
  <c r="AH23" i="4"/>
  <c r="AG23" i="4"/>
  <c r="AE23" i="4"/>
  <c r="AD23" i="4"/>
  <c r="AC23" i="4"/>
  <c r="AB23" i="4"/>
  <c r="AA23" i="4"/>
  <c r="U23" i="4"/>
  <c r="H23" i="4"/>
  <c r="G23" i="4"/>
  <c r="E23" i="4"/>
  <c r="AH22" i="4"/>
  <c r="AG22" i="4"/>
  <c r="AE22" i="4"/>
  <c r="AD22" i="4"/>
  <c r="AC22" i="4"/>
  <c r="AB22" i="4"/>
  <c r="AA22" i="4"/>
  <c r="Y22" i="4"/>
  <c r="X22" i="4"/>
  <c r="W22" i="4"/>
  <c r="V22" i="4"/>
  <c r="U22" i="4"/>
  <c r="H22" i="4"/>
  <c r="G22" i="4"/>
  <c r="E22" i="4"/>
  <c r="AH21" i="4"/>
  <c r="AG21" i="4"/>
  <c r="AE21" i="4"/>
  <c r="AD21" i="4"/>
  <c r="AC21" i="4"/>
  <c r="AB21" i="4"/>
  <c r="AA21" i="4"/>
  <c r="Y21" i="4"/>
  <c r="X21" i="4"/>
  <c r="W21" i="4"/>
  <c r="V21" i="4"/>
  <c r="U21" i="4"/>
  <c r="H21" i="4"/>
  <c r="G21" i="4"/>
  <c r="E21" i="4"/>
  <c r="AH20" i="4"/>
  <c r="AG20" i="4"/>
  <c r="AE20" i="4"/>
  <c r="AD20" i="4"/>
  <c r="AC20" i="4"/>
  <c r="AB20" i="4"/>
  <c r="AA20" i="4"/>
  <c r="Y20" i="4"/>
  <c r="X20" i="4"/>
  <c r="W20" i="4"/>
  <c r="V20" i="4"/>
  <c r="U20" i="4"/>
  <c r="R20" i="4"/>
  <c r="Q20" i="4"/>
  <c r="P20" i="4"/>
  <c r="O20" i="4"/>
  <c r="H20" i="4"/>
  <c r="G20" i="4"/>
  <c r="E20" i="4"/>
  <c r="AH19" i="4"/>
  <c r="AG19" i="4"/>
  <c r="AE19" i="4"/>
  <c r="AD19" i="4"/>
  <c r="AC19" i="4"/>
  <c r="AB19" i="4"/>
  <c r="AA19" i="4"/>
  <c r="U19" i="4"/>
  <c r="R19" i="4"/>
  <c r="Q19" i="4"/>
  <c r="O19" i="4"/>
  <c r="H19" i="4"/>
  <c r="G19" i="4"/>
  <c r="E19" i="4"/>
  <c r="AH18" i="4"/>
  <c r="AG18" i="4"/>
  <c r="AE18" i="4"/>
  <c r="AD18" i="4"/>
  <c r="AC18" i="4"/>
  <c r="AB18" i="4"/>
  <c r="AA18" i="4"/>
  <c r="Y18" i="4"/>
  <c r="X18" i="4"/>
  <c r="W18" i="4"/>
  <c r="V18" i="4"/>
  <c r="U18" i="4"/>
  <c r="R18" i="4"/>
  <c r="Q18" i="4"/>
  <c r="H18" i="4"/>
  <c r="G18" i="4"/>
  <c r="E18" i="4"/>
  <c r="AH17" i="4"/>
  <c r="AG17" i="4"/>
  <c r="AE17" i="4"/>
  <c r="AD17" i="4"/>
  <c r="AC17" i="4"/>
  <c r="AB17" i="4"/>
  <c r="AA17" i="4"/>
  <c r="Y17" i="4"/>
  <c r="X17" i="4"/>
  <c r="W17" i="4"/>
  <c r="V17" i="4"/>
  <c r="U17" i="4"/>
  <c r="R17" i="4"/>
  <c r="Q17" i="4"/>
  <c r="P17" i="4"/>
  <c r="O17" i="4"/>
  <c r="H17" i="4"/>
  <c r="G17" i="4"/>
  <c r="E17" i="4"/>
  <c r="AH16" i="4"/>
  <c r="AG16" i="4"/>
  <c r="AE16" i="4"/>
  <c r="AD16" i="4"/>
  <c r="AC16" i="4"/>
  <c r="AB16" i="4"/>
  <c r="AA16" i="4"/>
  <c r="Y16" i="4"/>
  <c r="X16" i="4"/>
  <c r="W16" i="4"/>
  <c r="V16" i="4"/>
  <c r="U16" i="4"/>
  <c r="P16" i="4"/>
  <c r="O16" i="4"/>
  <c r="H16" i="4"/>
  <c r="G16" i="4"/>
  <c r="E16" i="4"/>
  <c r="AH15" i="4"/>
  <c r="AG15" i="4"/>
  <c r="AE15" i="4"/>
  <c r="AD15" i="4"/>
  <c r="AC15" i="4"/>
  <c r="AB15" i="4"/>
  <c r="AA15" i="4"/>
  <c r="U15" i="4"/>
  <c r="P15" i="4"/>
  <c r="O15" i="4"/>
  <c r="H15" i="4"/>
  <c r="G15" i="4"/>
  <c r="E15" i="4"/>
  <c r="AH14" i="4"/>
  <c r="AG14" i="4"/>
  <c r="AE14" i="4"/>
  <c r="AD14" i="4"/>
  <c r="AC14" i="4"/>
  <c r="AB14" i="4"/>
  <c r="AA14" i="4"/>
  <c r="Y14" i="4"/>
  <c r="X14" i="4"/>
  <c r="W14" i="4"/>
  <c r="V14" i="4"/>
  <c r="U14" i="4"/>
  <c r="P14" i="4"/>
  <c r="O14" i="4"/>
  <c r="H14" i="4"/>
  <c r="G14" i="4"/>
  <c r="E14" i="4"/>
  <c r="AH13" i="4"/>
  <c r="AG13" i="4"/>
  <c r="AE13" i="4"/>
  <c r="AD13" i="4"/>
  <c r="AC13" i="4"/>
  <c r="AB13" i="4"/>
  <c r="AA13" i="4"/>
  <c r="Y13" i="4"/>
  <c r="X13" i="4"/>
  <c r="W13" i="4"/>
  <c r="V13" i="4"/>
  <c r="U13" i="4"/>
  <c r="P13" i="4"/>
  <c r="O13" i="4"/>
  <c r="H13" i="4"/>
  <c r="G13" i="4"/>
  <c r="E13" i="4"/>
  <c r="AH12" i="4"/>
  <c r="AG12" i="4"/>
  <c r="AE12" i="4"/>
  <c r="AD12" i="4"/>
  <c r="AC12" i="4"/>
  <c r="AB12" i="4"/>
  <c r="AA12" i="4"/>
  <c r="Y12" i="4"/>
  <c r="X12" i="4"/>
  <c r="W12" i="4"/>
  <c r="V12" i="4"/>
  <c r="U12" i="4"/>
  <c r="S12" i="4"/>
  <c r="R12" i="4"/>
  <c r="Q12" i="4"/>
  <c r="P12" i="4"/>
  <c r="O12" i="4"/>
  <c r="H12" i="4"/>
  <c r="G12" i="4"/>
  <c r="E12" i="4"/>
  <c r="AH11" i="4"/>
  <c r="AG11" i="4"/>
  <c r="AE11" i="4"/>
  <c r="AD11" i="4"/>
  <c r="AC11" i="4"/>
  <c r="AB11" i="4"/>
  <c r="AA11" i="4"/>
  <c r="U11" i="4"/>
  <c r="R11" i="4"/>
  <c r="Q11" i="4"/>
  <c r="P11" i="4"/>
  <c r="O11" i="4"/>
  <c r="N11" i="4"/>
  <c r="M11" i="4"/>
  <c r="H11" i="4"/>
  <c r="G11" i="4"/>
  <c r="E11" i="4"/>
  <c r="C11" i="4"/>
  <c r="B11" i="4"/>
  <c r="A11" i="4"/>
  <c r="AH10" i="4"/>
  <c r="AG10" i="4"/>
  <c r="AE10" i="4"/>
  <c r="AD10" i="4"/>
  <c r="AC10" i="4"/>
  <c r="AB10" i="4"/>
  <c r="AA10" i="4"/>
  <c r="Y10" i="4"/>
  <c r="X10" i="4"/>
  <c r="W10" i="4"/>
  <c r="V10" i="4"/>
  <c r="U10" i="4"/>
  <c r="S10" i="4"/>
  <c r="R10" i="4"/>
  <c r="Q10" i="4"/>
  <c r="P10" i="4"/>
  <c r="O10" i="4"/>
  <c r="N10" i="4"/>
  <c r="M10" i="4"/>
  <c r="L10" i="4"/>
  <c r="H10" i="4"/>
  <c r="G10" i="4"/>
  <c r="E10" i="4"/>
  <c r="C10" i="4"/>
  <c r="B10" i="4"/>
  <c r="A10" i="4"/>
  <c r="AH9" i="4"/>
  <c r="AG9" i="4"/>
  <c r="AE9" i="4"/>
  <c r="AD9" i="4"/>
  <c r="AC9" i="4"/>
  <c r="AB9" i="4"/>
  <c r="AA9" i="4"/>
  <c r="Y9" i="4"/>
  <c r="X9" i="4"/>
  <c r="W9" i="4"/>
  <c r="V9" i="4"/>
  <c r="U9" i="4"/>
  <c r="S9" i="4"/>
  <c r="R9" i="4"/>
  <c r="Q9" i="4"/>
  <c r="P9" i="4"/>
  <c r="O9" i="4"/>
  <c r="N9" i="4"/>
  <c r="M9" i="4"/>
  <c r="L9" i="4"/>
  <c r="H9" i="4"/>
  <c r="G9" i="4"/>
  <c r="E9" i="4"/>
  <c r="C9" i="4"/>
  <c r="B9" i="4"/>
  <c r="A9" i="4"/>
  <c r="AH8" i="4"/>
  <c r="AG8" i="4"/>
  <c r="AE8" i="4"/>
  <c r="AD8" i="4"/>
  <c r="AC8" i="4"/>
  <c r="AB8" i="4"/>
  <c r="AA8" i="4"/>
  <c r="Y8" i="4"/>
  <c r="X8" i="4"/>
  <c r="W8" i="4"/>
  <c r="V8" i="4"/>
  <c r="U8" i="4"/>
  <c r="S8" i="4"/>
  <c r="R8" i="4"/>
  <c r="Q8" i="4"/>
  <c r="P8" i="4"/>
  <c r="O8" i="4"/>
  <c r="N8" i="4"/>
  <c r="M8" i="4"/>
  <c r="L8" i="4"/>
  <c r="K8" i="4"/>
  <c r="H8" i="4"/>
  <c r="G8" i="4"/>
  <c r="E8" i="4"/>
  <c r="C8" i="4"/>
  <c r="B8" i="4"/>
  <c r="A8" i="4"/>
  <c r="AH7" i="4"/>
  <c r="AG7" i="4"/>
  <c r="AE7" i="4"/>
  <c r="AD7" i="4"/>
  <c r="AC7" i="4"/>
  <c r="AB7" i="4"/>
  <c r="AA7" i="4"/>
  <c r="U7" i="4"/>
  <c r="S7" i="4"/>
  <c r="R7" i="4"/>
  <c r="Q7" i="4"/>
  <c r="P7" i="4"/>
  <c r="O7" i="4"/>
  <c r="N7" i="4"/>
  <c r="M7" i="4"/>
  <c r="L7" i="4"/>
  <c r="K7" i="4"/>
  <c r="J7" i="4"/>
  <c r="I7" i="4"/>
  <c r="H7" i="4"/>
  <c r="G7" i="4"/>
  <c r="E7" i="4"/>
  <c r="C7" i="4"/>
  <c r="B7" i="4"/>
  <c r="A7" i="4"/>
  <c r="AH6" i="4"/>
  <c r="AG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E6" i="4"/>
  <c r="C6" i="4"/>
  <c r="B6" i="4"/>
  <c r="A6" i="4"/>
  <c r="AH5" i="4"/>
  <c r="AG5" i="4"/>
  <c r="AE5" i="4"/>
  <c r="AD5" i="4"/>
  <c r="AC5" i="4"/>
  <c r="AB5" i="4"/>
  <c r="AA5" i="4"/>
  <c r="W5" i="4"/>
  <c r="U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C5" i="4"/>
  <c r="B5" i="4"/>
  <c r="A5" i="4"/>
  <c r="AH4" i="4"/>
  <c r="AG4" i="4"/>
  <c r="AA4" i="4"/>
  <c r="U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A4" i="4"/>
  <c r="AH3" i="4"/>
  <c r="AG3" i="4"/>
  <c r="W3" i="4"/>
  <c r="U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  <c r="A3" i="4"/>
  <c r="J2206" i="3"/>
  <c r="H2206" i="3"/>
  <c r="B2206" i="3"/>
  <c r="A2206" i="3"/>
  <c r="O2205" i="3"/>
  <c r="M2205" i="3"/>
  <c r="K2205" i="3"/>
  <c r="J2205" i="3"/>
  <c r="I2205" i="3"/>
  <c r="H2205" i="3"/>
  <c r="G2205" i="3"/>
  <c r="F2205" i="3"/>
  <c r="E2205" i="3"/>
  <c r="D2205" i="3"/>
  <c r="C2205" i="3"/>
  <c r="B2205" i="3"/>
  <c r="A2205" i="3"/>
  <c r="O2204" i="3"/>
  <c r="M2204" i="3"/>
  <c r="K2204" i="3"/>
  <c r="J2204" i="3"/>
  <c r="I2204" i="3"/>
  <c r="H2204" i="3"/>
  <c r="G2204" i="3"/>
  <c r="F2204" i="3"/>
  <c r="E2204" i="3"/>
  <c r="D2204" i="3"/>
  <c r="C2204" i="3"/>
  <c r="B2204" i="3"/>
  <c r="A2204" i="3"/>
  <c r="O2203" i="3"/>
  <c r="M2203" i="3"/>
  <c r="K2203" i="3"/>
  <c r="J2203" i="3"/>
  <c r="I2203" i="3"/>
  <c r="H2203" i="3"/>
  <c r="G2203" i="3"/>
  <c r="F2203" i="3"/>
  <c r="E2203" i="3"/>
  <c r="D2203" i="3"/>
  <c r="C2203" i="3"/>
  <c r="B2203" i="3"/>
  <c r="A2203" i="3"/>
  <c r="O2202" i="3"/>
  <c r="M2202" i="3"/>
  <c r="K2202" i="3"/>
  <c r="J2202" i="3"/>
  <c r="I2202" i="3"/>
  <c r="H2202" i="3"/>
  <c r="G2202" i="3"/>
  <c r="F2202" i="3"/>
  <c r="E2202" i="3"/>
  <c r="D2202" i="3"/>
  <c r="C2202" i="3"/>
  <c r="B2202" i="3"/>
  <c r="A2202" i="3"/>
  <c r="O2201" i="3"/>
  <c r="M2201" i="3"/>
  <c r="K2201" i="3"/>
  <c r="J2201" i="3"/>
  <c r="I2201" i="3"/>
  <c r="H2201" i="3"/>
  <c r="G2201" i="3"/>
  <c r="F2201" i="3"/>
  <c r="E2201" i="3"/>
  <c r="D2201" i="3"/>
  <c r="C2201" i="3"/>
  <c r="B2201" i="3"/>
  <c r="A2201" i="3"/>
  <c r="O2200" i="3"/>
  <c r="K2200" i="3"/>
  <c r="J2200" i="3"/>
  <c r="I2200" i="3"/>
  <c r="H2200" i="3"/>
  <c r="G2200" i="3"/>
  <c r="F2200" i="3"/>
  <c r="E2200" i="3"/>
  <c r="D2200" i="3"/>
  <c r="C2200" i="3"/>
  <c r="B2200" i="3"/>
  <c r="A2200" i="3"/>
  <c r="O2199" i="3"/>
  <c r="M2199" i="3"/>
  <c r="K2199" i="3"/>
  <c r="J2199" i="3"/>
  <c r="I2199" i="3"/>
  <c r="H2199" i="3"/>
  <c r="G2199" i="3"/>
  <c r="F2199" i="3"/>
  <c r="E2199" i="3"/>
  <c r="D2199" i="3"/>
  <c r="C2199" i="3"/>
  <c r="B2199" i="3"/>
  <c r="A2199" i="3"/>
  <c r="M2198" i="3"/>
  <c r="K2198" i="3"/>
  <c r="J2198" i="3"/>
  <c r="I2198" i="3"/>
  <c r="H2198" i="3"/>
  <c r="G2198" i="3"/>
  <c r="F2198" i="3"/>
  <c r="E2198" i="3"/>
  <c r="D2198" i="3"/>
  <c r="C2198" i="3"/>
  <c r="B2198" i="3"/>
  <c r="A2198" i="3"/>
  <c r="O2197" i="3"/>
  <c r="M2197" i="3"/>
  <c r="K2197" i="3"/>
  <c r="J2197" i="3"/>
  <c r="I2197" i="3"/>
  <c r="H2197" i="3"/>
  <c r="G2197" i="3"/>
  <c r="F2197" i="3"/>
  <c r="E2197" i="3"/>
  <c r="D2197" i="3"/>
  <c r="C2197" i="3"/>
  <c r="B2197" i="3"/>
  <c r="A2197" i="3"/>
  <c r="O2196" i="3"/>
  <c r="M2196" i="3"/>
  <c r="K2196" i="3"/>
  <c r="J2196" i="3"/>
  <c r="I2196" i="3"/>
  <c r="H2196" i="3"/>
  <c r="G2196" i="3"/>
  <c r="F2196" i="3"/>
  <c r="E2196" i="3"/>
  <c r="D2196" i="3"/>
  <c r="C2196" i="3"/>
  <c r="B2196" i="3"/>
  <c r="A2196" i="3"/>
  <c r="O2195" i="3"/>
  <c r="K2195" i="3"/>
  <c r="J2195" i="3"/>
  <c r="I2195" i="3"/>
  <c r="H2195" i="3"/>
  <c r="G2195" i="3"/>
  <c r="F2195" i="3"/>
  <c r="E2195" i="3"/>
  <c r="D2195" i="3"/>
  <c r="C2195" i="3"/>
  <c r="B2195" i="3"/>
  <c r="A2195" i="3"/>
  <c r="O2194" i="3"/>
  <c r="M2194" i="3"/>
  <c r="K2194" i="3"/>
  <c r="J2194" i="3"/>
  <c r="I2194" i="3"/>
  <c r="H2194" i="3"/>
  <c r="G2194" i="3"/>
  <c r="F2194" i="3"/>
  <c r="E2194" i="3"/>
  <c r="D2194" i="3"/>
  <c r="C2194" i="3"/>
  <c r="B2194" i="3"/>
  <c r="A2194" i="3"/>
  <c r="O2193" i="3"/>
  <c r="M2193" i="3"/>
  <c r="K2193" i="3"/>
  <c r="J2193" i="3"/>
  <c r="I2193" i="3"/>
  <c r="H2193" i="3"/>
  <c r="G2193" i="3"/>
  <c r="F2193" i="3"/>
  <c r="E2193" i="3"/>
  <c r="D2193" i="3"/>
  <c r="C2193" i="3"/>
  <c r="B2193" i="3"/>
  <c r="A2193" i="3"/>
  <c r="K2192" i="3"/>
  <c r="J2192" i="3"/>
  <c r="I2192" i="3"/>
  <c r="H2192" i="3"/>
  <c r="G2192" i="3"/>
  <c r="F2192" i="3"/>
  <c r="E2192" i="3"/>
  <c r="D2192" i="3"/>
  <c r="C2192" i="3"/>
  <c r="B2192" i="3"/>
  <c r="A2192" i="3"/>
  <c r="J2191" i="3"/>
  <c r="I2191" i="3"/>
  <c r="H2191" i="3"/>
  <c r="G2191" i="3"/>
  <c r="F2191" i="3"/>
  <c r="E2191" i="3"/>
  <c r="D2191" i="3"/>
  <c r="C2191" i="3"/>
  <c r="B2191" i="3"/>
  <c r="A2191" i="3"/>
  <c r="J2190" i="3"/>
  <c r="I2190" i="3"/>
  <c r="H2190" i="3"/>
  <c r="G2190" i="3"/>
  <c r="F2190" i="3"/>
  <c r="E2190" i="3"/>
  <c r="D2190" i="3"/>
  <c r="C2190" i="3"/>
  <c r="B2190" i="3"/>
  <c r="A2190" i="3"/>
  <c r="O2189" i="3"/>
  <c r="K2189" i="3"/>
  <c r="J2189" i="3"/>
  <c r="I2189" i="3"/>
  <c r="H2189" i="3"/>
  <c r="G2189" i="3"/>
  <c r="F2189" i="3"/>
  <c r="E2189" i="3"/>
  <c r="D2189" i="3"/>
  <c r="C2189" i="3"/>
  <c r="B2189" i="3"/>
  <c r="A2189" i="3"/>
  <c r="O2188" i="3"/>
  <c r="M2188" i="3"/>
  <c r="K2188" i="3"/>
  <c r="J2188" i="3"/>
  <c r="I2188" i="3"/>
  <c r="H2188" i="3"/>
  <c r="G2188" i="3"/>
  <c r="F2188" i="3"/>
  <c r="E2188" i="3"/>
  <c r="D2188" i="3"/>
  <c r="C2188" i="3"/>
  <c r="B2188" i="3"/>
  <c r="A2188" i="3"/>
  <c r="O2187" i="3"/>
  <c r="M2187" i="3"/>
  <c r="K2187" i="3"/>
  <c r="J2187" i="3"/>
  <c r="I2187" i="3"/>
  <c r="H2187" i="3"/>
  <c r="G2187" i="3"/>
  <c r="F2187" i="3"/>
  <c r="E2187" i="3"/>
  <c r="D2187" i="3"/>
  <c r="C2187" i="3"/>
  <c r="B2187" i="3"/>
  <c r="A2187" i="3"/>
  <c r="J2186" i="3"/>
  <c r="I2186" i="3"/>
  <c r="H2186" i="3"/>
  <c r="G2186" i="3"/>
  <c r="F2186" i="3"/>
  <c r="E2186" i="3"/>
  <c r="D2186" i="3"/>
  <c r="C2186" i="3"/>
  <c r="B2186" i="3"/>
  <c r="A2186" i="3"/>
  <c r="O2185" i="3"/>
  <c r="K2185" i="3"/>
  <c r="J2185" i="3"/>
  <c r="I2185" i="3"/>
  <c r="H2185" i="3"/>
  <c r="G2185" i="3"/>
  <c r="F2185" i="3"/>
  <c r="E2185" i="3"/>
  <c r="D2185" i="3"/>
  <c r="C2185" i="3"/>
  <c r="B2185" i="3"/>
  <c r="A2185" i="3"/>
  <c r="O2184" i="3"/>
  <c r="M2184" i="3"/>
  <c r="K2184" i="3"/>
  <c r="J2184" i="3"/>
  <c r="I2184" i="3"/>
  <c r="H2184" i="3"/>
  <c r="G2184" i="3"/>
  <c r="F2184" i="3"/>
  <c r="E2184" i="3"/>
  <c r="D2184" i="3"/>
  <c r="C2184" i="3"/>
  <c r="B2184" i="3"/>
  <c r="A2184" i="3"/>
  <c r="K2183" i="3"/>
  <c r="J2183" i="3"/>
  <c r="I2183" i="3"/>
  <c r="H2183" i="3"/>
  <c r="G2183" i="3"/>
  <c r="F2183" i="3"/>
  <c r="E2183" i="3"/>
  <c r="D2183" i="3"/>
  <c r="C2183" i="3"/>
  <c r="B2183" i="3"/>
  <c r="A2183" i="3"/>
  <c r="O2182" i="3"/>
  <c r="K2182" i="3"/>
  <c r="J2182" i="3"/>
  <c r="I2182" i="3"/>
  <c r="H2182" i="3"/>
  <c r="G2182" i="3"/>
  <c r="F2182" i="3"/>
  <c r="E2182" i="3"/>
  <c r="D2182" i="3"/>
  <c r="C2182" i="3"/>
  <c r="B2182" i="3"/>
  <c r="A2182" i="3"/>
  <c r="O2181" i="3"/>
  <c r="K2181" i="3"/>
  <c r="J2181" i="3"/>
  <c r="I2181" i="3"/>
  <c r="H2181" i="3"/>
  <c r="G2181" i="3"/>
  <c r="F2181" i="3"/>
  <c r="E2181" i="3"/>
  <c r="D2181" i="3"/>
  <c r="C2181" i="3"/>
  <c r="B2181" i="3"/>
  <c r="A2181" i="3"/>
  <c r="J2180" i="3"/>
  <c r="I2180" i="3"/>
  <c r="H2180" i="3"/>
  <c r="G2180" i="3"/>
  <c r="F2180" i="3"/>
  <c r="E2180" i="3"/>
  <c r="D2180" i="3"/>
  <c r="C2180" i="3"/>
  <c r="B2180" i="3"/>
  <c r="A2180" i="3"/>
  <c r="K2179" i="3"/>
  <c r="J2179" i="3"/>
  <c r="I2179" i="3"/>
  <c r="H2179" i="3"/>
  <c r="G2179" i="3"/>
  <c r="F2179" i="3"/>
  <c r="E2179" i="3"/>
  <c r="D2179" i="3"/>
  <c r="C2179" i="3"/>
  <c r="B2179" i="3"/>
  <c r="A2179" i="3"/>
  <c r="O2178" i="3"/>
  <c r="M2178" i="3"/>
  <c r="K2178" i="3"/>
  <c r="J2178" i="3"/>
  <c r="I2178" i="3"/>
  <c r="H2178" i="3"/>
  <c r="G2178" i="3"/>
  <c r="F2178" i="3"/>
  <c r="E2178" i="3"/>
  <c r="D2178" i="3"/>
  <c r="C2178" i="3"/>
  <c r="B2178" i="3"/>
  <c r="A2178" i="3"/>
  <c r="K2177" i="3"/>
  <c r="J2177" i="3"/>
  <c r="I2177" i="3"/>
  <c r="H2177" i="3"/>
  <c r="G2177" i="3"/>
  <c r="F2177" i="3"/>
  <c r="E2177" i="3"/>
  <c r="D2177" i="3"/>
  <c r="C2177" i="3"/>
  <c r="B2177" i="3"/>
  <c r="A2177" i="3"/>
  <c r="J2176" i="3"/>
  <c r="I2176" i="3"/>
  <c r="H2176" i="3"/>
  <c r="G2176" i="3"/>
  <c r="F2176" i="3"/>
  <c r="E2176" i="3"/>
  <c r="D2176" i="3"/>
  <c r="C2176" i="3"/>
  <c r="B2176" i="3"/>
  <c r="A2176" i="3"/>
  <c r="O2175" i="3"/>
  <c r="M2175" i="3"/>
  <c r="K2175" i="3"/>
  <c r="J2175" i="3"/>
  <c r="I2175" i="3"/>
  <c r="H2175" i="3"/>
  <c r="G2175" i="3"/>
  <c r="F2175" i="3"/>
  <c r="E2175" i="3"/>
  <c r="D2175" i="3"/>
  <c r="C2175" i="3"/>
  <c r="B2175" i="3"/>
  <c r="A2175" i="3"/>
  <c r="O2174" i="3"/>
  <c r="M2174" i="3"/>
  <c r="K2174" i="3"/>
  <c r="J2174" i="3"/>
  <c r="I2174" i="3"/>
  <c r="H2174" i="3"/>
  <c r="G2174" i="3"/>
  <c r="F2174" i="3"/>
  <c r="E2174" i="3"/>
  <c r="D2174" i="3"/>
  <c r="C2174" i="3"/>
  <c r="B2174" i="3"/>
  <c r="A2174" i="3"/>
  <c r="O2173" i="3"/>
  <c r="M2173" i="3"/>
  <c r="K2173" i="3"/>
  <c r="J2173" i="3"/>
  <c r="I2173" i="3"/>
  <c r="H2173" i="3"/>
  <c r="G2173" i="3"/>
  <c r="F2173" i="3"/>
  <c r="E2173" i="3"/>
  <c r="D2173" i="3"/>
  <c r="C2173" i="3"/>
  <c r="B2173" i="3"/>
  <c r="A2173" i="3"/>
  <c r="J2172" i="3"/>
  <c r="I2172" i="3"/>
  <c r="H2172" i="3"/>
  <c r="G2172" i="3"/>
  <c r="F2172" i="3"/>
  <c r="E2172" i="3"/>
  <c r="D2172" i="3"/>
  <c r="C2172" i="3"/>
  <c r="B2172" i="3"/>
  <c r="A2172" i="3"/>
  <c r="J2171" i="3"/>
  <c r="I2171" i="3"/>
  <c r="H2171" i="3"/>
  <c r="G2171" i="3"/>
  <c r="F2171" i="3"/>
  <c r="E2171" i="3"/>
  <c r="D2171" i="3"/>
  <c r="C2171" i="3"/>
  <c r="B2171" i="3"/>
  <c r="A2171" i="3"/>
  <c r="O2170" i="3"/>
  <c r="K2170" i="3"/>
  <c r="J2170" i="3"/>
  <c r="I2170" i="3"/>
  <c r="H2170" i="3"/>
  <c r="G2170" i="3"/>
  <c r="F2170" i="3"/>
  <c r="E2170" i="3"/>
  <c r="D2170" i="3"/>
  <c r="C2170" i="3"/>
  <c r="B2170" i="3"/>
  <c r="A2170" i="3"/>
  <c r="O2169" i="3"/>
  <c r="K2169" i="3"/>
  <c r="J2169" i="3"/>
  <c r="I2169" i="3"/>
  <c r="H2169" i="3"/>
  <c r="G2169" i="3"/>
  <c r="F2169" i="3"/>
  <c r="E2169" i="3"/>
  <c r="D2169" i="3"/>
  <c r="C2169" i="3"/>
  <c r="B2169" i="3"/>
  <c r="A2169" i="3"/>
  <c r="M2168" i="3"/>
  <c r="K2168" i="3"/>
  <c r="J2168" i="3"/>
  <c r="I2168" i="3"/>
  <c r="H2168" i="3"/>
  <c r="G2168" i="3"/>
  <c r="F2168" i="3"/>
  <c r="E2168" i="3"/>
  <c r="D2168" i="3"/>
  <c r="C2168" i="3"/>
  <c r="B2168" i="3"/>
  <c r="A2168" i="3"/>
  <c r="O2167" i="3"/>
  <c r="M2167" i="3"/>
  <c r="K2167" i="3"/>
  <c r="J2167" i="3"/>
  <c r="I2167" i="3"/>
  <c r="H2167" i="3"/>
  <c r="G2167" i="3"/>
  <c r="F2167" i="3"/>
  <c r="E2167" i="3"/>
  <c r="D2167" i="3"/>
  <c r="C2167" i="3"/>
  <c r="B2167" i="3"/>
  <c r="A2167" i="3"/>
  <c r="O2166" i="3"/>
  <c r="K2166" i="3"/>
  <c r="J2166" i="3"/>
  <c r="I2166" i="3"/>
  <c r="H2166" i="3"/>
  <c r="G2166" i="3"/>
  <c r="F2166" i="3"/>
  <c r="E2166" i="3"/>
  <c r="D2166" i="3"/>
  <c r="C2166" i="3"/>
  <c r="B2166" i="3"/>
  <c r="A2166" i="3"/>
  <c r="O2165" i="3"/>
  <c r="M2165" i="3"/>
  <c r="K2165" i="3"/>
  <c r="J2165" i="3"/>
  <c r="I2165" i="3"/>
  <c r="H2165" i="3"/>
  <c r="G2165" i="3"/>
  <c r="F2165" i="3"/>
  <c r="E2165" i="3"/>
  <c r="D2165" i="3"/>
  <c r="C2165" i="3"/>
  <c r="B2165" i="3"/>
  <c r="A2165" i="3"/>
  <c r="O2164" i="3"/>
  <c r="M2164" i="3"/>
  <c r="K2164" i="3"/>
  <c r="J2164" i="3"/>
  <c r="I2164" i="3"/>
  <c r="H2164" i="3"/>
  <c r="G2164" i="3"/>
  <c r="F2164" i="3"/>
  <c r="E2164" i="3"/>
  <c r="D2164" i="3"/>
  <c r="C2164" i="3"/>
  <c r="B2164" i="3"/>
  <c r="A2164" i="3"/>
  <c r="O2163" i="3"/>
  <c r="M2163" i="3"/>
  <c r="K2163" i="3"/>
  <c r="J2163" i="3"/>
  <c r="I2163" i="3"/>
  <c r="H2163" i="3"/>
  <c r="G2163" i="3"/>
  <c r="F2163" i="3"/>
  <c r="E2163" i="3"/>
  <c r="D2163" i="3"/>
  <c r="C2163" i="3"/>
  <c r="B2163" i="3"/>
  <c r="A2163" i="3"/>
  <c r="J2162" i="3"/>
  <c r="I2162" i="3"/>
  <c r="H2162" i="3"/>
  <c r="G2162" i="3"/>
  <c r="F2162" i="3"/>
  <c r="E2162" i="3"/>
  <c r="D2162" i="3"/>
  <c r="C2162" i="3"/>
  <c r="B2162" i="3"/>
  <c r="A2162" i="3"/>
  <c r="K2161" i="3"/>
  <c r="J2161" i="3"/>
  <c r="I2161" i="3"/>
  <c r="H2161" i="3"/>
  <c r="G2161" i="3"/>
  <c r="F2161" i="3"/>
  <c r="E2161" i="3"/>
  <c r="D2161" i="3"/>
  <c r="C2161" i="3"/>
  <c r="B2161" i="3"/>
  <c r="A2161" i="3"/>
  <c r="J2160" i="3"/>
  <c r="I2160" i="3"/>
  <c r="H2160" i="3"/>
  <c r="G2160" i="3"/>
  <c r="F2160" i="3"/>
  <c r="E2160" i="3"/>
  <c r="D2160" i="3"/>
  <c r="C2160" i="3"/>
  <c r="B2160" i="3"/>
  <c r="A2160" i="3"/>
  <c r="M2159" i="3"/>
  <c r="K2159" i="3"/>
  <c r="J2159" i="3"/>
  <c r="I2159" i="3"/>
  <c r="H2159" i="3"/>
  <c r="G2159" i="3"/>
  <c r="F2159" i="3"/>
  <c r="E2159" i="3"/>
  <c r="D2159" i="3"/>
  <c r="C2159" i="3"/>
  <c r="B2159" i="3"/>
  <c r="A2159" i="3"/>
  <c r="J2158" i="3"/>
  <c r="I2158" i="3"/>
  <c r="H2158" i="3"/>
  <c r="G2158" i="3"/>
  <c r="F2158" i="3"/>
  <c r="E2158" i="3"/>
  <c r="D2158" i="3"/>
  <c r="C2158" i="3"/>
  <c r="B2158" i="3"/>
  <c r="A2158" i="3"/>
  <c r="O2157" i="3"/>
  <c r="K2157" i="3"/>
  <c r="J2157" i="3"/>
  <c r="I2157" i="3"/>
  <c r="H2157" i="3"/>
  <c r="G2157" i="3"/>
  <c r="F2157" i="3"/>
  <c r="E2157" i="3"/>
  <c r="D2157" i="3"/>
  <c r="C2157" i="3"/>
  <c r="B2157" i="3"/>
  <c r="A2157" i="3"/>
  <c r="O2156" i="3"/>
  <c r="M2156" i="3"/>
  <c r="K2156" i="3"/>
  <c r="J2156" i="3"/>
  <c r="I2156" i="3"/>
  <c r="H2156" i="3"/>
  <c r="G2156" i="3"/>
  <c r="F2156" i="3"/>
  <c r="E2156" i="3"/>
  <c r="D2156" i="3"/>
  <c r="C2156" i="3"/>
  <c r="B2156" i="3"/>
  <c r="A2156" i="3"/>
  <c r="O2155" i="3"/>
  <c r="M2155" i="3"/>
  <c r="K2155" i="3"/>
  <c r="J2155" i="3"/>
  <c r="I2155" i="3"/>
  <c r="H2155" i="3"/>
  <c r="G2155" i="3"/>
  <c r="F2155" i="3"/>
  <c r="E2155" i="3"/>
  <c r="D2155" i="3"/>
  <c r="C2155" i="3"/>
  <c r="B2155" i="3"/>
  <c r="A2155" i="3"/>
  <c r="M2154" i="3"/>
  <c r="K2154" i="3"/>
  <c r="J2154" i="3"/>
  <c r="I2154" i="3"/>
  <c r="H2154" i="3"/>
  <c r="G2154" i="3"/>
  <c r="F2154" i="3"/>
  <c r="E2154" i="3"/>
  <c r="D2154" i="3"/>
  <c r="C2154" i="3"/>
  <c r="B2154" i="3"/>
  <c r="A2154" i="3"/>
  <c r="O2153" i="3"/>
  <c r="M2153" i="3"/>
  <c r="K2153" i="3"/>
  <c r="J2153" i="3"/>
  <c r="I2153" i="3"/>
  <c r="H2153" i="3"/>
  <c r="G2153" i="3"/>
  <c r="F2153" i="3"/>
  <c r="E2153" i="3"/>
  <c r="D2153" i="3"/>
  <c r="C2153" i="3"/>
  <c r="B2153" i="3"/>
  <c r="A2153" i="3"/>
  <c r="J2152" i="3"/>
  <c r="I2152" i="3"/>
  <c r="H2152" i="3"/>
  <c r="G2152" i="3"/>
  <c r="F2152" i="3"/>
  <c r="E2152" i="3"/>
  <c r="D2152" i="3"/>
  <c r="C2152" i="3"/>
  <c r="B2152" i="3"/>
  <c r="A2152" i="3"/>
  <c r="J2151" i="3"/>
  <c r="I2151" i="3"/>
  <c r="H2151" i="3"/>
  <c r="G2151" i="3"/>
  <c r="F2151" i="3"/>
  <c r="E2151" i="3"/>
  <c r="D2151" i="3"/>
  <c r="C2151" i="3"/>
  <c r="B2151" i="3"/>
  <c r="A2151" i="3"/>
  <c r="J2150" i="3"/>
  <c r="I2150" i="3"/>
  <c r="H2150" i="3"/>
  <c r="G2150" i="3"/>
  <c r="F2150" i="3"/>
  <c r="E2150" i="3"/>
  <c r="D2150" i="3"/>
  <c r="C2150" i="3"/>
  <c r="B2150" i="3"/>
  <c r="A2150" i="3"/>
  <c r="J2149" i="3"/>
  <c r="I2149" i="3"/>
  <c r="H2149" i="3"/>
  <c r="G2149" i="3"/>
  <c r="F2149" i="3"/>
  <c r="E2149" i="3"/>
  <c r="D2149" i="3"/>
  <c r="C2149" i="3"/>
  <c r="B2149" i="3"/>
  <c r="A2149" i="3"/>
  <c r="J2148" i="3"/>
  <c r="I2148" i="3"/>
  <c r="H2148" i="3"/>
  <c r="G2148" i="3"/>
  <c r="F2148" i="3"/>
  <c r="E2148" i="3"/>
  <c r="D2148" i="3"/>
  <c r="C2148" i="3"/>
  <c r="B2148" i="3"/>
  <c r="A2148" i="3"/>
  <c r="O2147" i="3"/>
  <c r="M2147" i="3"/>
  <c r="K2147" i="3"/>
  <c r="J2147" i="3"/>
  <c r="I2147" i="3"/>
  <c r="H2147" i="3"/>
  <c r="G2147" i="3"/>
  <c r="F2147" i="3"/>
  <c r="E2147" i="3"/>
  <c r="D2147" i="3"/>
  <c r="C2147" i="3"/>
  <c r="B2147" i="3"/>
  <c r="A2147" i="3"/>
  <c r="O2146" i="3"/>
  <c r="K2146" i="3"/>
  <c r="J2146" i="3"/>
  <c r="I2146" i="3"/>
  <c r="H2146" i="3"/>
  <c r="G2146" i="3"/>
  <c r="F2146" i="3"/>
  <c r="E2146" i="3"/>
  <c r="D2146" i="3"/>
  <c r="C2146" i="3"/>
  <c r="B2146" i="3"/>
  <c r="A2146" i="3"/>
  <c r="K2145" i="3"/>
  <c r="J2145" i="3"/>
  <c r="I2145" i="3"/>
  <c r="H2145" i="3"/>
  <c r="G2145" i="3"/>
  <c r="F2145" i="3"/>
  <c r="E2145" i="3"/>
  <c r="D2145" i="3"/>
  <c r="C2145" i="3"/>
  <c r="B2145" i="3"/>
  <c r="A2145" i="3"/>
  <c r="O2144" i="3"/>
  <c r="M2144" i="3"/>
  <c r="K2144" i="3"/>
  <c r="J2144" i="3"/>
  <c r="I2144" i="3"/>
  <c r="H2144" i="3"/>
  <c r="G2144" i="3"/>
  <c r="F2144" i="3"/>
  <c r="E2144" i="3"/>
  <c r="D2144" i="3"/>
  <c r="C2144" i="3"/>
  <c r="B2144" i="3"/>
  <c r="A2144" i="3"/>
  <c r="J2143" i="3"/>
  <c r="I2143" i="3"/>
  <c r="H2143" i="3"/>
  <c r="G2143" i="3"/>
  <c r="F2143" i="3"/>
  <c r="E2143" i="3"/>
  <c r="D2143" i="3"/>
  <c r="C2143" i="3"/>
  <c r="B2143" i="3"/>
  <c r="A2143" i="3"/>
  <c r="J2142" i="3"/>
  <c r="I2142" i="3"/>
  <c r="H2142" i="3"/>
  <c r="G2142" i="3"/>
  <c r="F2142" i="3"/>
  <c r="E2142" i="3"/>
  <c r="D2142" i="3"/>
  <c r="C2142" i="3"/>
  <c r="B2142" i="3"/>
  <c r="A2142" i="3"/>
  <c r="O2141" i="3"/>
  <c r="M2141" i="3"/>
  <c r="K2141" i="3"/>
  <c r="J2141" i="3"/>
  <c r="I2141" i="3"/>
  <c r="H2141" i="3"/>
  <c r="G2141" i="3"/>
  <c r="F2141" i="3"/>
  <c r="E2141" i="3"/>
  <c r="D2141" i="3"/>
  <c r="C2141" i="3"/>
  <c r="B2141" i="3"/>
  <c r="A2141" i="3"/>
  <c r="J2140" i="3"/>
  <c r="I2140" i="3"/>
  <c r="H2140" i="3"/>
  <c r="G2140" i="3"/>
  <c r="F2140" i="3"/>
  <c r="E2140" i="3"/>
  <c r="D2140" i="3"/>
  <c r="C2140" i="3"/>
  <c r="B2140" i="3"/>
  <c r="A2140" i="3"/>
  <c r="M2139" i="3"/>
  <c r="K2139" i="3"/>
  <c r="J2139" i="3"/>
  <c r="I2139" i="3"/>
  <c r="H2139" i="3"/>
  <c r="G2139" i="3"/>
  <c r="F2139" i="3"/>
  <c r="E2139" i="3"/>
  <c r="D2139" i="3"/>
  <c r="C2139" i="3"/>
  <c r="B2139" i="3"/>
  <c r="A2139" i="3"/>
  <c r="M2138" i="3"/>
  <c r="K2138" i="3"/>
  <c r="J2138" i="3"/>
  <c r="I2138" i="3"/>
  <c r="H2138" i="3"/>
  <c r="G2138" i="3"/>
  <c r="F2138" i="3"/>
  <c r="E2138" i="3"/>
  <c r="D2138" i="3"/>
  <c r="C2138" i="3"/>
  <c r="B2138" i="3"/>
  <c r="A2138" i="3"/>
  <c r="M2137" i="3"/>
  <c r="K2137" i="3"/>
  <c r="J2137" i="3"/>
  <c r="I2137" i="3"/>
  <c r="H2137" i="3"/>
  <c r="G2137" i="3"/>
  <c r="F2137" i="3"/>
  <c r="E2137" i="3"/>
  <c r="D2137" i="3"/>
  <c r="C2137" i="3"/>
  <c r="B2137" i="3"/>
  <c r="A2137" i="3"/>
  <c r="J2136" i="3"/>
  <c r="I2136" i="3"/>
  <c r="H2136" i="3"/>
  <c r="G2136" i="3"/>
  <c r="F2136" i="3"/>
  <c r="E2136" i="3"/>
  <c r="D2136" i="3"/>
  <c r="C2136" i="3"/>
  <c r="B2136" i="3"/>
  <c r="A2136" i="3"/>
  <c r="J2135" i="3"/>
  <c r="I2135" i="3"/>
  <c r="H2135" i="3"/>
  <c r="G2135" i="3"/>
  <c r="F2135" i="3"/>
  <c r="E2135" i="3"/>
  <c r="D2135" i="3"/>
  <c r="C2135" i="3"/>
  <c r="B2135" i="3"/>
  <c r="A2135" i="3"/>
  <c r="J2134" i="3"/>
  <c r="I2134" i="3"/>
  <c r="H2134" i="3"/>
  <c r="G2134" i="3"/>
  <c r="F2134" i="3"/>
  <c r="E2134" i="3"/>
  <c r="D2134" i="3"/>
  <c r="C2134" i="3"/>
  <c r="B2134" i="3"/>
  <c r="A2134" i="3"/>
  <c r="J2133" i="3"/>
  <c r="I2133" i="3"/>
  <c r="H2133" i="3"/>
  <c r="G2133" i="3"/>
  <c r="F2133" i="3"/>
  <c r="E2133" i="3"/>
  <c r="D2133" i="3"/>
  <c r="C2133" i="3"/>
  <c r="B2133" i="3"/>
  <c r="A2133" i="3"/>
  <c r="J2132" i="3"/>
  <c r="I2132" i="3"/>
  <c r="H2132" i="3"/>
  <c r="G2132" i="3"/>
  <c r="F2132" i="3"/>
  <c r="E2132" i="3"/>
  <c r="D2132" i="3"/>
  <c r="C2132" i="3"/>
  <c r="B2132" i="3"/>
  <c r="A2132" i="3"/>
  <c r="O2131" i="3"/>
  <c r="M2131" i="3"/>
  <c r="K2131" i="3"/>
  <c r="J2131" i="3"/>
  <c r="I2131" i="3"/>
  <c r="H2131" i="3"/>
  <c r="G2131" i="3"/>
  <c r="F2131" i="3"/>
  <c r="E2131" i="3"/>
  <c r="D2131" i="3"/>
  <c r="C2131" i="3"/>
  <c r="B2131" i="3"/>
  <c r="A2131" i="3"/>
  <c r="J2130" i="3"/>
  <c r="I2130" i="3"/>
  <c r="H2130" i="3"/>
  <c r="G2130" i="3"/>
  <c r="F2130" i="3"/>
  <c r="E2130" i="3"/>
  <c r="D2130" i="3"/>
  <c r="C2130" i="3"/>
  <c r="B2130" i="3"/>
  <c r="A2130" i="3"/>
  <c r="O2129" i="3"/>
  <c r="K2129" i="3"/>
  <c r="J2129" i="3"/>
  <c r="I2129" i="3"/>
  <c r="H2129" i="3"/>
  <c r="G2129" i="3"/>
  <c r="F2129" i="3"/>
  <c r="E2129" i="3"/>
  <c r="D2129" i="3"/>
  <c r="C2129" i="3"/>
  <c r="B2129" i="3"/>
  <c r="A2129" i="3"/>
  <c r="K2128" i="3"/>
  <c r="J2128" i="3"/>
  <c r="I2128" i="3"/>
  <c r="H2128" i="3"/>
  <c r="G2128" i="3"/>
  <c r="F2128" i="3"/>
  <c r="E2128" i="3"/>
  <c r="D2128" i="3"/>
  <c r="C2128" i="3"/>
  <c r="B2128" i="3"/>
  <c r="A2128" i="3"/>
  <c r="O2127" i="3"/>
  <c r="K2127" i="3"/>
  <c r="J2127" i="3"/>
  <c r="I2127" i="3"/>
  <c r="H2127" i="3"/>
  <c r="G2127" i="3"/>
  <c r="F2127" i="3"/>
  <c r="E2127" i="3"/>
  <c r="D2127" i="3"/>
  <c r="C2127" i="3"/>
  <c r="B2127" i="3"/>
  <c r="A2127" i="3"/>
  <c r="J2126" i="3"/>
  <c r="I2126" i="3"/>
  <c r="H2126" i="3"/>
  <c r="G2126" i="3"/>
  <c r="F2126" i="3"/>
  <c r="E2126" i="3"/>
  <c r="D2126" i="3"/>
  <c r="C2126" i="3"/>
  <c r="B2126" i="3"/>
  <c r="A2126" i="3"/>
  <c r="O2125" i="3"/>
  <c r="M2125" i="3"/>
  <c r="K2125" i="3"/>
  <c r="J2125" i="3"/>
  <c r="I2125" i="3"/>
  <c r="H2125" i="3"/>
  <c r="G2125" i="3"/>
  <c r="F2125" i="3"/>
  <c r="E2125" i="3"/>
  <c r="D2125" i="3"/>
  <c r="C2125" i="3"/>
  <c r="B2125" i="3"/>
  <c r="A2125" i="3"/>
  <c r="O2124" i="3"/>
  <c r="M2124" i="3"/>
  <c r="K2124" i="3"/>
  <c r="J2124" i="3"/>
  <c r="I2124" i="3"/>
  <c r="H2124" i="3"/>
  <c r="G2124" i="3"/>
  <c r="F2124" i="3"/>
  <c r="E2124" i="3"/>
  <c r="D2124" i="3"/>
  <c r="C2124" i="3"/>
  <c r="B2124" i="3"/>
  <c r="A2124" i="3"/>
  <c r="J2123" i="3"/>
  <c r="I2123" i="3"/>
  <c r="H2123" i="3"/>
  <c r="G2123" i="3"/>
  <c r="F2123" i="3"/>
  <c r="E2123" i="3"/>
  <c r="D2123" i="3"/>
  <c r="C2123" i="3"/>
  <c r="B2123" i="3"/>
  <c r="A2123" i="3"/>
  <c r="O2122" i="3"/>
  <c r="M2122" i="3"/>
  <c r="K2122" i="3"/>
  <c r="J2122" i="3"/>
  <c r="I2122" i="3"/>
  <c r="H2122" i="3"/>
  <c r="G2122" i="3"/>
  <c r="F2122" i="3"/>
  <c r="E2122" i="3"/>
  <c r="D2122" i="3"/>
  <c r="C2122" i="3"/>
  <c r="B2122" i="3"/>
  <c r="A2122" i="3"/>
  <c r="O2121" i="3"/>
  <c r="M2121" i="3"/>
  <c r="K2121" i="3"/>
  <c r="J2121" i="3"/>
  <c r="I2121" i="3"/>
  <c r="H2121" i="3"/>
  <c r="G2121" i="3"/>
  <c r="F2121" i="3"/>
  <c r="E2121" i="3"/>
  <c r="D2121" i="3"/>
  <c r="C2121" i="3"/>
  <c r="B2121" i="3"/>
  <c r="A2121" i="3"/>
  <c r="O2120" i="3"/>
  <c r="M2120" i="3"/>
  <c r="K2120" i="3"/>
  <c r="J2120" i="3"/>
  <c r="I2120" i="3"/>
  <c r="H2120" i="3"/>
  <c r="G2120" i="3"/>
  <c r="F2120" i="3"/>
  <c r="E2120" i="3"/>
  <c r="D2120" i="3"/>
  <c r="C2120" i="3"/>
  <c r="B2120" i="3"/>
  <c r="A2120" i="3"/>
  <c r="M2119" i="3"/>
  <c r="K2119" i="3"/>
  <c r="J2119" i="3"/>
  <c r="I2119" i="3"/>
  <c r="H2119" i="3"/>
  <c r="G2119" i="3"/>
  <c r="F2119" i="3"/>
  <c r="E2119" i="3"/>
  <c r="D2119" i="3"/>
  <c r="C2119" i="3"/>
  <c r="B2119" i="3"/>
  <c r="A2119" i="3"/>
  <c r="O2118" i="3"/>
  <c r="M2118" i="3"/>
  <c r="K2118" i="3"/>
  <c r="J2118" i="3"/>
  <c r="I2118" i="3"/>
  <c r="H2118" i="3"/>
  <c r="G2118" i="3"/>
  <c r="F2118" i="3"/>
  <c r="E2118" i="3"/>
  <c r="D2118" i="3"/>
  <c r="C2118" i="3"/>
  <c r="B2118" i="3"/>
  <c r="A2118" i="3"/>
  <c r="J2117" i="3"/>
  <c r="I2117" i="3"/>
  <c r="H2117" i="3"/>
  <c r="G2117" i="3"/>
  <c r="F2117" i="3"/>
  <c r="E2117" i="3"/>
  <c r="D2117" i="3"/>
  <c r="C2117" i="3"/>
  <c r="B2117" i="3"/>
  <c r="A2117" i="3"/>
  <c r="O2116" i="3"/>
  <c r="M2116" i="3"/>
  <c r="K2116" i="3"/>
  <c r="J2116" i="3"/>
  <c r="I2116" i="3"/>
  <c r="H2116" i="3"/>
  <c r="G2116" i="3"/>
  <c r="F2116" i="3"/>
  <c r="E2116" i="3"/>
  <c r="D2116" i="3"/>
  <c r="C2116" i="3"/>
  <c r="B2116" i="3"/>
  <c r="A2116" i="3"/>
  <c r="O2115" i="3"/>
  <c r="M2115" i="3"/>
  <c r="K2115" i="3"/>
  <c r="J2115" i="3"/>
  <c r="I2115" i="3"/>
  <c r="H2115" i="3"/>
  <c r="G2115" i="3"/>
  <c r="F2115" i="3"/>
  <c r="E2115" i="3"/>
  <c r="D2115" i="3"/>
  <c r="C2115" i="3"/>
  <c r="B2115" i="3"/>
  <c r="A2115" i="3"/>
  <c r="M2114" i="3"/>
  <c r="K2114" i="3"/>
  <c r="J2114" i="3"/>
  <c r="I2114" i="3"/>
  <c r="H2114" i="3"/>
  <c r="G2114" i="3"/>
  <c r="F2114" i="3"/>
  <c r="E2114" i="3"/>
  <c r="D2114" i="3"/>
  <c r="C2114" i="3"/>
  <c r="B2114" i="3"/>
  <c r="A2114" i="3"/>
  <c r="J2113" i="3"/>
  <c r="I2113" i="3"/>
  <c r="H2113" i="3"/>
  <c r="G2113" i="3"/>
  <c r="F2113" i="3"/>
  <c r="E2113" i="3"/>
  <c r="D2113" i="3"/>
  <c r="C2113" i="3"/>
  <c r="B2113" i="3"/>
  <c r="A2113" i="3"/>
  <c r="O2112" i="3"/>
  <c r="K2112" i="3"/>
  <c r="J2112" i="3"/>
  <c r="I2112" i="3"/>
  <c r="H2112" i="3"/>
  <c r="G2112" i="3"/>
  <c r="F2112" i="3"/>
  <c r="E2112" i="3"/>
  <c r="D2112" i="3"/>
  <c r="C2112" i="3"/>
  <c r="B2112" i="3"/>
  <c r="A2112" i="3"/>
  <c r="J2111" i="3"/>
  <c r="I2111" i="3"/>
  <c r="H2111" i="3"/>
  <c r="G2111" i="3"/>
  <c r="F2111" i="3"/>
  <c r="E2111" i="3"/>
  <c r="D2111" i="3"/>
  <c r="C2111" i="3"/>
  <c r="B2111" i="3"/>
  <c r="A2111" i="3"/>
  <c r="J2110" i="3"/>
  <c r="I2110" i="3"/>
  <c r="H2110" i="3"/>
  <c r="G2110" i="3"/>
  <c r="F2110" i="3"/>
  <c r="E2110" i="3"/>
  <c r="D2110" i="3"/>
  <c r="C2110" i="3"/>
  <c r="B2110" i="3"/>
  <c r="A2110" i="3"/>
  <c r="O2109" i="3"/>
  <c r="M2109" i="3"/>
  <c r="K2109" i="3"/>
  <c r="J2109" i="3"/>
  <c r="I2109" i="3"/>
  <c r="H2109" i="3"/>
  <c r="G2109" i="3"/>
  <c r="F2109" i="3"/>
  <c r="E2109" i="3"/>
  <c r="D2109" i="3"/>
  <c r="C2109" i="3"/>
  <c r="B2109" i="3"/>
  <c r="A2109" i="3"/>
  <c r="O2108" i="3"/>
  <c r="M2108" i="3"/>
  <c r="K2108" i="3"/>
  <c r="J2108" i="3"/>
  <c r="I2108" i="3"/>
  <c r="H2108" i="3"/>
  <c r="G2108" i="3"/>
  <c r="F2108" i="3"/>
  <c r="E2108" i="3"/>
  <c r="D2108" i="3"/>
  <c r="C2108" i="3"/>
  <c r="B2108" i="3"/>
  <c r="A2108" i="3"/>
  <c r="O2107" i="3"/>
  <c r="K2107" i="3"/>
  <c r="J2107" i="3"/>
  <c r="I2107" i="3"/>
  <c r="H2107" i="3"/>
  <c r="G2107" i="3"/>
  <c r="F2107" i="3"/>
  <c r="E2107" i="3"/>
  <c r="D2107" i="3"/>
  <c r="C2107" i="3"/>
  <c r="B2107" i="3"/>
  <c r="A2107" i="3"/>
  <c r="O2106" i="3"/>
  <c r="K2106" i="3"/>
  <c r="J2106" i="3"/>
  <c r="I2106" i="3"/>
  <c r="H2106" i="3"/>
  <c r="G2106" i="3"/>
  <c r="F2106" i="3"/>
  <c r="E2106" i="3"/>
  <c r="D2106" i="3"/>
  <c r="C2106" i="3"/>
  <c r="B2106" i="3"/>
  <c r="A2106" i="3"/>
  <c r="O2105" i="3"/>
  <c r="M2105" i="3"/>
  <c r="K2105" i="3"/>
  <c r="J2105" i="3"/>
  <c r="I2105" i="3"/>
  <c r="H2105" i="3"/>
  <c r="G2105" i="3"/>
  <c r="F2105" i="3"/>
  <c r="E2105" i="3"/>
  <c r="D2105" i="3"/>
  <c r="C2105" i="3"/>
  <c r="B2105" i="3"/>
  <c r="A2105" i="3"/>
  <c r="M2104" i="3"/>
  <c r="K2104" i="3"/>
  <c r="J2104" i="3"/>
  <c r="I2104" i="3"/>
  <c r="H2104" i="3"/>
  <c r="G2104" i="3"/>
  <c r="F2104" i="3"/>
  <c r="E2104" i="3"/>
  <c r="D2104" i="3"/>
  <c r="C2104" i="3"/>
  <c r="B2104" i="3"/>
  <c r="A2104" i="3"/>
  <c r="J2103" i="3"/>
  <c r="I2103" i="3"/>
  <c r="H2103" i="3"/>
  <c r="G2103" i="3"/>
  <c r="F2103" i="3"/>
  <c r="E2103" i="3"/>
  <c r="D2103" i="3"/>
  <c r="C2103" i="3"/>
  <c r="B2103" i="3"/>
  <c r="A2103" i="3"/>
  <c r="K2102" i="3"/>
  <c r="J2102" i="3"/>
  <c r="I2102" i="3"/>
  <c r="H2102" i="3"/>
  <c r="G2102" i="3"/>
  <c r="F2102" i="3"/>
  <c r="E2102" i="3"/>
  <c r="D2102" i="3"/>
  <c r="C2102" i="3"/>
  <c r="B2102" i="3"/>
  <c r="A2102" i="3"/>
  <c r="O2101" i="3"/>
  <c r="M2101" i="3"/>
  <c r="K2101" i="3"/>
  <c r="J2101" i="3"/>
  <c r="I2101" i="3"/>
  <c r="H2101" i="3"/>
  <c r="G2101" i="3"/>
  <c r="F2101" i="3"/>
  <c r="E2101" i="3"/>
  <c r="D2101" i="3"/>
  <c r="C2101" i="3"/>
  <c r="B2101" i="3"/>
  <c r="A2101" i="3"/>
  <c r="O2100" i="3"/>
  <c r="M2100" i="3"/>
  <c r="K2100" i="3"/>
  <c r="J2100" i="3"/>
  <c r="I2100" i="3"/>
  <c r="H2100" i="3"/>
  <c r="G2100" i="3"/>
  <c r="F2100" i="3"/>
  <c r="E2100" i="3"/>
  <c r="D2100" i="3"/>
  <c r="C2100" i="3"/>
  <c r="B2100" i="3"/>
  <c r="A2100" i="3"/>
  <c r="J2099" i="3"/>
  <c r="I2099" i="3"/>
  <c r="H2099" i="3"/>
  <c r="G2099" i="3"/>
  <c r="F2099" i="3"/>
  <c r="E2099" i="3"/>
  <c r="D2099" i="3"/>
  <c r="C2099" i="3"/>
  <c r="B2099" i="3"/>
  <c r="A2099" i="3"/>
  <c r="K2098" i="3"/>
  <c r="J2098" i="3"/>
  <c r="I2098" i="3"/>
  <c r="H2098" i="3"/>
  <c r="G2098" i="3"/>
  <c r="F2098" i="3"/>
  <c r="E2098" i="3"/>
  <c r="D2098" i="3"/>
  <c r="C2098" i="3"/>
  <c r="B2098" i="3"/>
  <c r="A2098" i="3"/>
  <c r="O2097" i="3"/>
  <c r="M2097" i="3"/>
  <c r="K2097" i="3"/>
  <c r="J2097" i="3"/>
  <c r="I2097" i="3"/>
  <c r="H2097" i="3"/>
  <c r="G2097" i="3"/>
  <c r="F2097" i="3"/>
  <c r="E2097" i="3"/>
  <c r="D2097" i="3"/>
  <c r="C2097" i="3"/>
  <c r="B2097" i="3"/>
  <c r="A2097" i="3"/>
  <c r="K2096" i="3"/>
  <c r="J2096" i="3"/>
  <c r="I2096" i="3"/>
  <c r="H2096" i="3"/>
  <c r="G2096" i="3"/>
  <c r="F2096" i="3"/>
  <c r="E2096" i="3"/>
  <c r="D2096" i="3"/>
  <c r="C2096" i="3"/>
  <c r="B2096" i="3"/>
  <c r="A2096" i="3"/>
  <c r="O2095" i="3"/>
  <c r="M2095" i="3"/>
  <c r="K2095" i="3"/>
  <c r="J2095" i="3"/>
  <c r="I2095" i="3"/>
  <c r="H2095" i="3"/>
  <c r="G2095" i="3"/>
  <c r="F2095" i="3"/>
  <c r="E2095" i="3"/>
  <c r="D2095" i="3"/>
  <c r="C2095" i="3"/>
  <c r="B2095" i="3"/>
  <c r="A2095" i="3"/>
  <c r="J2094" i="3"/>
  <c r="I2094" i="3"/>
  <c r="H2094" i="3"/>
  <c r="G2094" i="3"/>
  <c r="F2094" i="3"/>
  <c r="E2094" i="3"/>
  <c r="D2094" i="3"/>
  <c r="C2094" i="3"/>
  <c r="B2094" i="3"/>
  <c r="A2094" i="3"/>
  <c r="J2093" i="3"/>
  <c r="I2093" i="3"/>
  <c r="H2093" i="3"/>
  <c r="G2093" i="3"/>
  <c r="F2093" i="3"/>
  <c r="E2093" i="3"/>
  <c r="D2093" i="3"/>
  <c r="C2093" i="3"/>
  <c r="B2093" i="3"/>
  <c r="A2093" i="3"/>
  <c r="O2092" i="3"/>
  <c r="K2092" i="3"/>
  <c r="J2092" i="3"/>
  <c r="I2092" i="3"/>
  <c r="H2092" i="3"/>
  <c r="G2092" i="3"/>
  <c r="F2092" i="3"/>
  <c r="E2092" i="3"/>
  <c r="D2092" i="3"/>
  <c r="C2092" i="3"/>
  <c r="B2092" i="3"/>
  <c r="A2092" i="3"/>
  <c r="J2091" i="3"/>
  <c r="I2091" i="3"/>
  <c r="H2091" i="3"/>
  <c r="G2091" i="3"/>
  <c r="F2091" i="3"/>
  <c r="E2091" i="3"/>
  <c r="D2091" i="3"/>
  <c r="C2091" i="3"/>
  <c r="B2091" i="3"/>
  <c r="A2091" i="3"/>
  <c r="K2090" i="3"/>
  <c r="J2090" i="3"/>
  <c r="I2090" i="3"/>
  <c r="H2090" i="3"/>
  <c r="G2090" i="3"/>
  <c r="F2090" i="3"/>
  <c r="E2090" i="3"/>
  <c r="D2090" i="3"/>
  <c r="C2090" i="3"/>
  <c r="B2090" i="3"/>
  <c r="A2090" i="3"/>
  <c r="O2089" i="3"/>
  <c r="M2089" i="3"/>
  <c r="K2089" i="3"/>
  <c r="J2089" i="3"/>
  <c r="I2089" i="3"/>
  <c r="H2089" i="3"/>
  <c r="G2089" i="3"/>
  <c r="F2089" i="3"/>
  <c r="E2089" i="3"/>
  <c r="D2089" i="3"/>
  <c r="C2089" i="3"/>
  <c r="B2089" i="3"/>
  <c r="A2089" i="3"/>
  <c r="J2088" i="3"/>
  <c r="I2088" i="3"/>
  <c r="H2088" i="3"/>
  <c r="G2088" i="3"/>
  <c r="F2088" i="3"/>
  <c r="E2088" i="3"/>
  <c r="D2088" i="3"/>
  <c r="C2088" i="3"/>
  <c r="B2088" i="3"/>
  <c r="A2088" i="3"/>
  <c r="J2087" i="3"/>
  <c r="I2087" i="3"/>
  <c r="H2087" i="3"/>
  <c r="G2087" i="3"/>
  <c r="F2087" i="3"/>
  <c r="E2087" i="3"/>
  <c r="D2087" i="3"/>
  <c r="C2087" i="3"/>
  <c r="B2087" i="3"/>
  <c r="A2087" i="3"/>
  <c r="J2086" i="3"/>
  <c r="I2086" i="3"/>
  <c r="H2086" i="3"/>
  <c r="G2086" i="3"/>
  <c r="F2086" i="3"/>
  <c r="E2086" i="3"/>
  <c r="D2086" i="3"/>
  <c r="C2086" i="3"/>
  <c r="B2086" i="3"/>
  <c r="A2086" i="3"/>
  <c r="O2085" i="3"/>
  <c r="M2085" i="3"/>
  <c r="K2085" i="3"/>
  <c r="J2085" i="3"/>
  <c r="I2085" i="3"/>
  <c r="H2085" i="3"/>
  <c r="G2085" i="3"/>
  <c r="F2085" i="3"/>
  <c r="E2085" i="3"/>
  <c r="D2085" i="3"/>
  <c r="C2085" i="3"/>
  <c r="B2085" i="3"/>
  <c r="A2085" i="3"/>
  <c r="O2084" i="3"/>
  <c r="M2084" i="3"/>
  <c r="K2084" i="3"/>
  <c r="J2084" i="3"/>
  <c r="I2084" i="3"/>
  <c r="H2084" i="3"/>
  <c r="G2084" i="3"/>
  <c r="F2084" i="3"/>
  <c r="E2084" i="3"/>
  <c r="D2084" i="3"/>
  <c r="C2084" i="3"/>
  <c r="B2084" i="3"/>
  <c r="A2084" i="3"/>
  <c r="J2083" i="3"/>
  <c r="I2083" i="3"/>
  <c r="H2083" i="3"/>
  <c r="G2083" i="3"/>
  <c r="F2083" i="3"/>
  <c r="E2083" i="3"/>
  <c r="D2083" i="3"/>
  <c r="C2083" i="3"/>
  <c r="B2083" i="3"/>
  <c r="A2083" i="3"/>
  <c r="K2082" i="3"/>
  <c r="J2082" i="3"/>
  <c r="I2082" i="3"/>
  <c r="H2082" i="3"/>
  <c r="G2082" i="3"/>
  <c r="F2082" i="3"/>
  <c r="E2082" i="3"/>
  <c r="D2082" i="3"/>
  <c r="C2082" i="3"/>
  <c r="B2082" i="3"/>
  <c r="A2082" i="3"/>
  <c r="M2081" i="3"/>
  <c r="K2081" i="3"/>
  <c r="J2081" i="3"/>
  <c r="I2081" i="3"/>
  <c r="H2081" i="3"/>
  <c r="G2081" i="3"/>
  <c r="F2081" i="3"/>
  <c r="E2081" i="3"/>
  <c r="D2081" i="3"/>
  <c r="C2081" i="3"/>
  <c r="B2081" i="3"/>
  <c r="A2081" i="3"/>
  <c r="O2080" i="3"/>
  <c r="K2080" i="3"/>
  <c r="J2080" i="3"/>
  <c r="I2080" i="3"/>
  <c r="H2080" i="3"/>
  <c r="G2080" i="3"/>
  <c r="F2080" i="3"/>
  <c r="E2080" i="3"/>
  <c r="D2080" i="3"/>
  <c r="C2080" i="3"/>
  <c r="B2080" i="3"/>
  <c r="A2080" i="3"/>
  <c r="O2079" i="3"/>
  <c r="M2079" i="3"/>
  <c r="K2079" i="3"/>
  <c r="J2079" i="3"/>
  <c r="I2079" i="3"/>
  <c r="H2079" i="3"/>
  <c r="G2079" i="3"/>
  <c r="F2079" i="3"/>
  <c r="E2079" i="3"/>
  <c r="D2079" i="3"/>
  <c r="C2079" i="3"/>
  <c r="B2079" i="3"/>
  <c r="A2079" i="3"/>
  <c r="M2078" i="3"/>
  <c r="K2078" i="3"/>
  <c r="J2078" i="3"/>
  <c r="I2078" i="3"/>
  <c r="H2078" i="3"/>
  <c r="G2078" i="3"/>
  <c r="F2078" i="3"/>
  <c r="E2078" i="3"/>
  <c r="D2078" i="3"/>
  <c r="C2078" i="3"/>
  <c r="B2078" i="3"/>
  <c r="A2078" i="3"/>
  <c r="O2077" i="3"/>
  <c r="M2077" i="3"/>
  <c r="K2077" i="3"/>
  <c r="J2077" i="3"/>
  <c r="I2077" i="3"/>
  <c r="H2077" i="3"/>
  <c r="G2077" i="3"/>
  <c r="F2077" i="3"/>
  <c r="E2077" i="3"/>
  <c r="D2077" i="3"/>
  <c r="C2077" i="3"/>
  <c r="B2077" i="3"/>
  <c r="A2077" i="3"/>
  <c r="M2076" i="3"/>
  <c r="K2076" i="3"/>
  <c r="J2076" i="3"/>
  <c r="I2076" i="3"/>
  <c r="H2076" i="3"/>
  <c r="G2076" i="3"/>
  <c r="F2076" i="3"/>
  <c r="E2076" i="3"/>
  <c r="D2076" i="3"/>
  <c r="C2076" i="3"/>
  <c r="B2076" i="3"/>
  <c r="A2076" i="3"/>
  <c r="J2075" i="3"/>
  <c r="I2075" i="3"/>
  <c r="H2075" i="3"/>
  <c r="G2075" i="3"/>
  <c r="F2075" i="3"/>
  <c r="E2075" i="3"/>
  <c r="D2075" i="3"/>
  <c r="C2075" i="3"/>
  <c r="B2075" i="3"/>
  <c r="A2075" i="3"/>
  <c r="O2074" i="3"/>
  <c r="M2074" i="3"/>
  <c r="K2074" i="3"/>
  <c r="J2074" i="3"/>
  <c r="I2074" i="3"/>
  <c r="H2074" i="3"/>
  <c r="G2074" i="3"/>
  <c r="F2074" i="3"/>
  <c r="E2074" i="3"/>
  <c r="D2074" i="3"/>
  <c r="C2074" i="3"/>
  <c r="B2074" i="3"/>
  <c r="A2074" i="3"/>
  <c r="O2073" i="3"/>
  <c r="M2073" i="3"/>
  <c r="K2073" i="3"/>
  <c r="J2073" i="3"/>
  <c r="I2073" i="3"/>
  <c r="H2073" i="3"/>
  <c r="G2073" i="3"/>
  <c r="F2073" i="3"/>
  <c r="E2073" i="3"/>
  <c r="D2073" i="3"/>
  <c r="C2073" i="3"/>
  <c r="B2073" i="3"/>
  <c r="A2073" i="3"/>
  <c r="J2072" i="3"/>
  <c r="I2072" i="3"/>
  <c r="H2072" i="3"/>
  <c r="G2072" i="3"/>
  <c r="F2072" i="3"/>
  <c r="E2072" i="3"/>
  <c r="D2072" i="3"/>
  <c r="C2072" i="3"/>
  <c r="B2072" i="3"/>
  <c r="A2072" i="3"/>
  <c r="M2071" i="3"/>
  <c r="K2071" i="3"/>
  <c r="J2071" i="3"/>
  <c r="I2071" i="3"/>
  <c r="H2071" i="3"/>
  <c r="G2071" i="3"/>
  <c r="F2071" i="3"/>
  <c r="E2071" i="3"/>
  <c r="D2071" i="3"/>
  <c r="C2071" i="3"/>
  <c r="B2071" i="3"/>
  <c r="A2071" i="3"/>
  <c r="J2070" i="3"/>
  <c r="I2070" i="3"/>
  <c r="H2070" i="3"/>
  <c r="G2070" i="3"/>
  <c r="F2070" i="3"/>
  <c r="E2070" i="3"/>
  <c r="D2070" i="3"/>
  <c r="C2070" i="3"/>
  <c r="B2070" i="3"/>
  <c r="A2070" i="3"/>
  <c r="O2069" i="3"/>
  <c r="M2069" i="3"/>
  <c r="K2069" i="3"/>
  <c r="J2069" i="3"/>
  <c r="I2069" i="3"/>
  <c r="H2069" i="3"/>
  <c r="G2069" i="3"/>
  <c r="F2069" i="3"/>
  <c r="E2069" i="3"/>
  <c r="D2069" i="3"/>
  <c r="C2069" i="3"/>
  <c r="B2069" i="3"/>
  <c r="A2069" i="3"/>
  <c r="O2068" i="3"/>
  <c r="M2068" i="3"/>
  <c r="K2068" i="3"/>
  <c r="J2068" i="3"/>
  <c r="I2068" i="3"/>
  <c r="H2068" i="3"/>
  <c r="G2068" i="3"/>
  <c r="F2068" i="3"/>
  <c r="E2068" i="3"/>
  <c r="D2068" i="3"/>
  <c r="C2068" i="3"/>
  <c r="B2068" i="3"/>
  <c r="A2068" i="3"/>
  <c r="K2067" i="3"/>
  <c r="J2067" i="3"/>
  <c r="I2067" i="3"/>
  <c r="H2067" i="3"/>
  <c r="G2067" i="3"/>
  <c r="F2067" i="3"/>
  <c r="E2067" i="3"/>
  <c r="D2067" i="3"/>
  <c r="C2067" i="3"/>
  <c r="B2067" i="3"/>
  <c r="A2067" i="3"/>
  <c r="J2066" i="3"/>
  <c r="I2066" i="3"/>
  <c r="H2066" i="3"/>
  <c r="G2066" i="3"/>
  <c r="F2066" i="3"/>
  <c r="E2066" i="3"/>
  <c r="D2066" i="3"/>
  <c r="C2066" i="3"/>
  <c r="B2066" i="3"/>
  <c r="A2066" i="3"/>
  <c r="J2065" i="3"/>
  <c r="I2065" i="3"/>
  <c r="H2065" i="3"/>
  <c r="G2065" i="3"/>
  <c r="F2065" i="3"/>
  <c r="E2065" i="3"/>
  <c r="D2065" i="3"/>
  <c r="C2065" i="3"/>
  <c r="B2065" i="3"/>
  <c r="A2065" i="3"/>
  <c r="O2064" i="3"/>
  <c r="M2064" i="3"/>
  <c r="K2064" i="3"/>
  <c r="J2064" i="3"/>
  <c r="I2064" i="3"/>
  <c r="H2064" i="3"/>
  <c r="G2064" i="3"/>
  <c r="F2064" i="3"/>
  <c r="E2064" i="3"/>
  <c r="D2064" i="3"/>
  <c r="C2064" i="3"/>
  <c r="B2064" i="3"/>
  <c r="A2064" i="3"/>
  <c r="O2063" i="3"/>
  <c r="M2063" i="3"/>
  <c r="K2063" i="3"/>
  <c r="J2063" i="3"/>
  <c r="I2063" i="3"/>
  <c r="H2063" i="3"/>
  <c r="G2063" i="3"/>
  <c r="F2063" i="3"/>
  <c r="E2063" i="3"/>
  <c r="D2063" i="3"/>
  <c r="C2063" i="3"/>
  <c r="B2063" i="3"/>
  <c r="A2063" i="3"/>
  <c r="O2062" i="3"/>
  <c r="M2062" i="3"/>
  <c r="K2062" i="3"/>
  <c r="J2062" i="3"/>
  <c r="I2062" i="3"/>
  <c r="H2062" i="3"/>
  <c r="G2062" i="3"/>
  <c r="F2062" i="3"/>
  <c r="E2062" i="3"/>
  <c r="D2062" i="3"/>
  <c r="C2062" i="3"/>
  <c r="B2062" i="3"/>
  <c r="A2062" i="3"/>
  <c r="O2061" i="3"/>
  <c r="M2061" i="3"/>
  <c r="K2061" i="3"/>
  <c r="J2061" i="3"/>
  <c r="I2061" i="3"/>
  <c r="H2061" i="3"/>
  <c r="G2061" i="3"/>
  <c r="F2061" i="3"/>
  <c r="E2061" i="3"/>
  <c r="D2061" i="3"/>
  <c r="C2061" i="3"/>
  <c r="B2061" i="3"/>
  <c r="A2061" i="3"/>
  <c r="O2060" i="3"/>
  <c r="M2060" i="3"/>
  <c r="K2060" i="3"/>
  <c r="J2060" i="3"/>
  <c r="I2060" i="3"/>
  <c r="H2060" i="3"/>
  <c r="G2060" i="3"/>
  <c r="F2060" i="3"/>
  <c r="E2060" i="3"/>
  <c r="D2060" i="3"/>
  <c r="C2060" i="3"/>
  <c r="B2060" i="3"/>
  <c r="A2060" i="3"/>
  <c r="O2059" i="3"/>
  <c r="K2059" i="3"/>
  <c r="J2059" i="3"/>
  <c r="I2059" i="3"/>
  <c r="H2059" i="3"/>
  <c r="G2059" i="3"/>
  <c r="F2059" i="3"/>
  <c r="E2059" i="3"/>
  <c r="D2059" i="3"/>
  <c r="C2059" i="3"/>
  <c r="B2059" i="3"/>
  <c r="A2059" i="3"/>
  <c r="J2058" i="3"/>
  <c r="I2058" i="3"/>
  <c r="H2058" i="3"/>
  <c r="G2058" i="3"/>
  <c r="F2058" i="3"/>
  <c r="E2058" i="3"/>
  <c r="D2058" i="3"/>
  <c r="C2058" i="3"/>
  <c r="B2058" i="3"/>
  <c r="A2058" i="3"/>
  <c r="J2057" i="3"/>
  <c r="I2057" i="3"/>
  <c r="H2057" i="3"/>
  <c r="G2057" i="3"/>
  <c r="F2057" i="3"/>
  <c r="E2057" i="3"/>
  <c r="D2057" i="3"/>
  <c r="C2057" i="3"/>
  <c r="B2057" i="3"/>
  <c r="A2057" i="3"/>
  <c r="K2056" i="3"/>
  <c r="J2056" i="3"/>
  <c r="I2056" i="3"/>
  <c r="H2056" i="3"/>
  <c r="G2056" i="3"/>
  <c r="F2056" i="3"/>
  <c r="E2056" i="3"/>
  <c r="D2056" i="3"/>
  <c r="C2056" i="3"/>
  <c r="B2056" i="3"/>
  <c r="A2056" i="3"/>
  <c r="J2055" i="3"/>
  <c r="I2055" i="3"/>
  <c r="H2055" i="3"/>
  <c r="G2055" i="3"/>
  <c r="F2055" i="3"/>
  <c r="E2055" i="3"/>
  <c r="D2055" i="3"/>
  <c r="C2055" i="3"/>
  <c r="B2055" i="3"/>
  <c r="A2055" i="3"/>
  <c r="O2054" i="3"/>
  <c r="M2054" i="3"/>
  <c r="K2054" i="3"/>
  <c r="J2054" i="3"/>
  <c r="I2054" i="3"/>
  <c r="H2054" i="3"/>
  <c r="G2054" i="3"/>
  <c r="F2054" i="3"/>
  <c r="E2054" i="3"/>
  <c r="D2054" i="3"/>
  <c r="C2054" i="3"/>
  <c r="B2054" i="3"/>
  <c r="A2054" i="3"/>
  <c r="O2053" i="3"/>
  <c r="M2053" i="3"/>
  <c r="K2053" i="3"/>
  <c r="J2053" i="3"/>
  <c r="I2053" i="3"/>
  <c r="H2053" i="3"/>
  <c r="G2053" i="3"/>
  <c r="F2053" i="3"/>
  <c r="E2053" i="3"/>
  <c r="D2053" i="3"/>
  <c r="C2053" i="3"/>
  <c r="B2053" i="3"/>
  <c r="A2053" i="3"/>
  <c r="J2052" i="3"/>
  <c r="I2052" i="3"/>
  <c r="H2052" i="3"/>
  <c r="G2052" i="3"/>
  <c r="F2052" i="3"/>
  <c r="E2052" i="3"/>
  <c r="D2052" i="3"/>
  <c r="C2052" i="3"/>
  <c r="B2052" i="3"/>
  <c r="A2052" i="3"/>
  <c r="O2051" i="3"/>
  <c r="M2051" i="3"/>
  <c r="K2051" i="3"/>
  <c r="J2051" i="3"/>
  <c r="I2051" i="3"/>
  <c r="H2051" i="3"/>
  <c r="G2051" i="3"/>
  <c r="F2051" i="3"/>
  <c r="E2051" i="3"/>
  <c r="D2051" i="3"/>
  <c r="C2051" i="3"/>
  <c r="B2051" i="3"/>
  <c r="A2051" i="3"/>
  <c r="J2050" i="3"/>
  <c r="I2050" i="3"/>
  <c r="H2050" i="3"/>
  <c r="G2050" i="3"/>
  <c r="F2050" i="3"/>
  <c r="E2050" i="3"/>
  <c r="D2050" i="3"/>
  <c r="C2050" i="3"/>
  <c r="B2050" i="3"/>
  <c r="A2050" i="3"/>
  <c r="O2049" i="3"/>
  <c r="M2049" i="3"/>
  <c r="K2049" i="3"/>
  <c r="J2049" i="3"/>
  <c r="I2049" i="3"/>
  <c r="H2049" i="3"/>
  <c r="G2049" i="3"/>
  <c r="F2049" i="3"/>
  <c r="E2049" i="3"/>
  <c r="D2049" i="3"/>
  <c r="C2049" i="3"/>
  <c r="B2049" i="3"/>
  <c r="A2049" i="3"/>
  <c r="O2048" i="3"/>
  <c r="M2048" i="3"/>
  <c r="K2048" i="3"/>
  <c r="J2048" i="3"/>
  <c r="I2048" i="3"/>
  <c r="H2048" i="3"/>
  <c r="G2048" i="3"/>
  <c r="F2048" i="3"/>
  <c r="E2048" i="3"/>
  <c r="D2048" i="3"/>
  <c r="C2048" i="3"/>
  <c r="B2048" i="3"/>
  <c r="A2048" i="3"/>
  <c r="J2047" i="3"/>
  <c r="I2047" i="3"/>
  <c r="H2047" i="3"/>
  <c r="G2047" i="3"/>
  <c r="F2047" i="3"/>
  <c r="E2047" i="3"/>
  <c r="D2047" i="3"/>
  <c r="C2047" i="3"/>
  <c r="B2047" i="3"/>
  <c r="A2047" i="3"/>
  <c r="J2046" i="3"/>
  <c r="I2046" i="3"/>
  <c r="H2046" i="3"/>
  <c r="G2046" i="3"/>
  <c r="F2046" i="3"/>
  <c r="E2046" i="3"/>
  <c r="D2046" i="3"/>
  <c r="C2046" i="3"/>
  <c r="B2046" i="3"/>
  <c r="A2046" i="3"/>
  <c r="J2045" i="3"/>
  <c r="I2045" i="3"/>
  <c r="H2045" i="3"/>
  <c r="G2045" i="3"/>
  <c r="F2045" i="3"/>
  <c r="E2045" i="3"/>
  <c r="D2045" i="3"/>
  <c r="C2045" i="3"/>
  <c r="B2045" i="3"/>
  <c r="A2045" i="3"/>
  <c r="J2044" i="3"/>
  <c r="I2044" i="3"/>
  <c r="H2044" i="3"/>
  <c r="G2044" i="3"/>
  <c r="F2044" i="3"/>
  <c r="E2044" i="3"/>
  <c r="D2044" i="3"/>
  <c r="C2044" i="3"/>
  <c r="B2044" i="3"/>
  <c r="A2044" i="3"/>
  <c r="J2043" i="3"/>
  <c r="I2043" i="3"/>
  <c r="H2043" i="3"/>
  <c r="G2043" i="3"/>
  <c r="F2043" i="3"/>
  <c r="E2043" i="3"/>
  <c r="D2043" i="3"/>
  <c r="C2043" i="3"/>
  <c r="B2043" i="3"/>
  <c r="A2043" i="3"/>
  <c r="J2042" i="3"/>
  <c r="I2042" i="3"/>
  <c r="H2042" i="3"/>
  <c r="G2042" i="3"/>
  <c r="F2042" i="3"/>
  <c r="E2042" i="3"/>
  <c r="D2042" i="3"/>
  <c r="C2042" i="3"/>
  <c r="B2042" i="3"/>
  <c r="A2042" i="3"/>
  <c r="K2041" i="3"/>
  <c r="J2041" i="3"/>
  <c r="I2041" i="3"/>
  <c r="H2041" i="3"/>
  <c r="G2041" i="3"/>
  <c r="F2041" i="3"/>
  <c r="E2041" i="3"/>
  <c r="D2041" i="3"/>
  <c r="C2041" i="3"/>
  <c r="B2041" i="3"/>
  <c r="A2041" i="3"/>
  <c r="J2040" i="3"/>
  <c r="I2040" i="3"/>
  <c r="H2040" i="3"/>
  <c r="G2040" i="3"/>
  <c r="F2040" i="3"/>
  <c r="E2040" i="3"/>
  <c r="D2040" i="3"/>
  <c r="C2040" i="3"/>
  <c r="B2040" i="3"/>
  <c r="A2040" i="3"/>
  <c r="M2039" i="3"/>
  <c r="K2039" i="3"/>
  <c r="J2039" i="3"/>
  <c r="I2039" i="3"/>
  <c r="H2039" i="3"/>
  <c r="G2039" i="3"/>
  <c r="F2039" i="3"/>
  <c r="E2039" i="3"/>
  <c r="D2039" i="3"/>
  <c r="C2039" i="3"/>
  <c r="B2039" i="3"/>
  <c r="A2039" i="3"/>
  <c r="O2038" i="3"/>
  <c r="M2038" i="3"/>
  <c r="K2038" i="3"/>
  <c r="J2038" i="3"/>
  <c r="I2038" i="3"/>
  <c r="H2038" i="3"/>
  <c r="G2038" i="3"/>
  <c r="F2038" i="3"/>
  <c r="E2038" i="3"/>
  <c r="D2038" i="3"/>
  <c r="C2038" i="3"/>
  <c r="B2038" i="3"/>
  <c r="A2038" i="3"/>
  <c r="O2037" i="3"/>
  <c r="M2037" i="3"/>
  <c r="K2037" i="3"/>
  <c r="J2037" i="3"/>
  <c r="I2037" i="3"/>
  <c r="H2037" i="3"/>
  <c r="G2037" i="3"/>
  <c r="F2037" i="3"/>
  <c r="E2037" i="3"/>
  <c r="D2037" i="3"/>
  <c r="C2037" i="3"/>
  <c r="B2037" i="3"/>
  <c r="A2037" i="3"/>
  <c r="J2036" i="3"/>
  <c r="I2036" i="3"/>
  <c r="H2036" i="3"/>
  <c r="G2036" i="3"/>
  <c r="F2036" i="3"/>
  <c r="E2036" i="3"/>
  <c r="D2036" i="3"/>
  <c r="C2036" i="3"/>
  <c r="B2036" i="3"/>
  <c r="A2036" i="3"/>
  <c r="O2035" i="3"/>
  <c r="M2035" i="3"/>
  <c r="K2035" i="3"/>
  <c r="J2035" i="3"/>
  <c r="I2035" i="3"/>
  <c r="H2035" i="3"/>
  <c r="G2035" i="3"/>
  <c r="F2035" i="3"/>
  <c r="E2035" i="3"/>
  <c r="D2035" i="3"/>
  <c r="C2035" i="3"/>
  <c r="B2035" i="3"/>
  <c r="A2035" i="3"/>
  <c r="O2034" i="3"/>
  <c r="M2034" i="3"/>
  <c r="K2034" i="3"/>
  <c r="J2034" i="3"/>
  <c r="I2034" i="3"/>
  <c r="H2034" i="3"/>
  <c r="G2034" i="3"/>
  <c r="F2034" i="3"/>
  <c r="E2034" i="3"/>
  <c r="D2034" i="3"/>
  <c r="C2034" i="3"/>
  <c r="B2034" i="3"/>
  <c r="A2034" i="3"/>
  <c r="O2033" i="3"/>
  <c r="M2033" i="3"/>
  <c r="K2033" i="3"/>
  <c r="J2033" i="3"/>
  <c r="I2033" i="3"/>
  <c r="H2033" i="3"/>
  <c r="G2033" i="3"/>
  <c r="F2033" i="3"/>
  <c r="E2033" i="3"/>
  <c r="D2033" i="3"/>
  <c r="C2033" i="3"/>
  <c r="B2033" i="3"/>
  <c r="A2033" i="3"/>
  <c r="J2032" i="3"/>
  <c r="I2032" i="3"/>
  <c r="H2032" i="3"/>
  <c r="G2032" i="3"/>
  <c r="F2032" i="3"/>
  <c r="E2032" i="3"/>
  <c r="D2032" i="3"/>
  <c r="C2032" i="3"/>
  <c r="B2032" i="3"/>
  <c r="A2032" i="3"/>
  <c r="O2031" i="3"/>
  <c r="M2031" i="3"/>
  <c r="K2031" i="3"/>
  <c r="J2031" i="3"/>
  <c r="I2031" i="3"/>
  <c r="H2031" i="3"/>
  <c r="G2031" i="3"/>
  <c r="F2031" i="3"/>
  <c r="E2031" i="3"/>
  <c r="D2031" i="3"/>
  <c r="C2031" i="3"/>
  <c r="B2031" i="3"/>
  <c r="A2031" i="3"/>
  <c r="J2030" i="3"/>
  <c r="I2030" i="3"/>
  <c r="H2030" i="3"/>
  <c r="G2030" i="3"/>
  <c r="F2030" i="3"/>
  <c r="E2030" i="3"/>
  <c r="D2030" i="3"/>
  <c r="C2030" i="3"/>
  <c r="B2030" i="3"/>
  <c r="A2030" i="3"/>
  <c r="J2029" i="3"/>
  <c r="I2029" i="3"/>
  <c r="H2029" i="3"/>
  <c r="G2029" i="3"/>
  <c r="F2029" i="3"/>
  <c r="E2029" i="3"/>
  <c r="D2029" i="3"/>
  <c r="C2029" i="3"/>
  <c r="B2029" i="3"/>
  <c r="A2029" i="3"/>
  <c r="J2028" i="3"/>
  <c r="I2028" i="3"/>
  <c r="H2028" i="3"/>
  <c r="G2028" i="3"/>
  <c r="F2028" i="3"/>
  <c r="E2028" i="3"/>
  <c r="D2028" i="3"/>
  <c r="C2028" i="3"/>
  <c r="B2028" i="3"/>
  <c r="A2028" i="3"/>
  <c r="K2027" i="3"/>
  <c r="J2027" i="3"/>
  <c r="I2027" i="3"/>
  <c r="H2027" i="3"/>
  <c r="G2027" i="3"/>
  <c r="F2027" i="3"/>
  <c r="E2027" i="3"/>
  <c r="D2027" i="3"/>
  <c r="C2027" i="3"/>
  <c r="B2027" i="3"/>
  <c r="A2027" i="3"/>
  <c r="J2026" i="3"/>
  <c r="I2026" i="3"/>
  <c r="H2026" i="3"/>
  <c r="G2026" i="3"/>
  <c r="F2026" i="3"/>
  <c r="E2026" i="3"/>
  <c r="D2026" i="3"/>
  <c r="C2026" i="3"/>
  <c r="B2026" i="3"/>
  <c r="A2026" i="3"/>
  <c r="J2025" i="3"/>
  <c r="I2025" i="3"/>
  <c r="H2025" i="3"/>
  <c r="G2025" i="3"/>
  <c r="F2025" i="3"/>
  <c r="E2025" i="3"/>
  <c r="D2025" i="3"/>
  <c r="C2025" i="3"/>
  <c r="B2025" i="3"/>
  <c r="A2025" i="3"/>
  <c r="J2024" i="3"/>
  <c r="I2024" i="3"/>
  <c r="H2024" i="3"/>
  <c r="G2024" i="3"/>
  <c r="F2024" i="3"/>
  <c r="E2024" i="3"/>
  <c r="D2024" i="3"/>
  <c r="C2024" i="3"/>
  <c r="B2024" i="3"/>
  <c r="A2024" i="3"/>
  <c r="J2023" i="3"/>
  <c r="I2023" i="3"/>
  <c r="H2023" i="3"/>
  <c r="G2023" i="3"/>
  <c r="F2023" i="3"/>
  <c r="E2023" i="3"/>
  <c r="D2023" i="3"/>
  <c r="C2023" i="3"/>
  <c r="B2023" i="3"/>
  <c r="A2023" i="3"/>
  <c r="O2022" i="3"/>
  <c r="M2022" i="3"/>
  <c r="K2022" i="3"/>
  <c r="J2022" i="3"/>
  <c r="I2022" i="3"/>
  <c r="H2022" i="3"/>
  <c r="G2022" i="3"/>
  <c r="F2022" i="3"/>
  <c r="E2022" i="3"/>
  <c r="D2022" i="3"/>
  <c r="C2022" i="3"/>
  <c r="B2022" i="3"/>
  <c r="A2022" i="3"/>
  <c r="O2021" i="3"/>
  <c r="K2021" i="3"/>
  <c r="J2021" i="3"/>
  <c r="I2021" i="3"/>
  <c r="H2021" i="3"/>
  <c r="G2021" i="3"/>
  <c r="F2021" i="3"/>
  <c r="E2021" i="3"/>
  <c r="D2021" i="3"/>
  <c r="C2021" i="3"/>
  <c r="B2021" i="3"/>
  <c r="A2021" i="3"/>
  <c r="J2020" i="3"/>
  <c r="I2020" i="3"/>
  <c r="H2020" i="3"/>
  <c r="G2020" i="3"/>
  <c r="F2020" i="3"/>
  <c r="E2020" i="3"/>
  <c r="D2020" i="3"/>
  <c r="C2020" i="3"/>
  <c r="B2020" i="3"/>
  <c r="A2020" i="3"/>
  <c r="K2019" i="3"/>
  <c r="J2019" i="3"/>
  <c r="I2019" i="3"/>
  <c r="H2019" i="3"/>
  <c r="G2019" i="3"/>
  <c r="F2019" i="3"/>
  <c r="E2019" i="3"/>
  <c r="D2019" i="3"/>
  <c r="C2019" i="3"/>
  <c r="B2019" i="3"/>
  <c r="A2019" i="3"/>
  <c r="O2018" i="3"/>
  <c r="M2018" i="3"/>
  <c r="K2018" i="3"/>
  <c r="J2018" i="3"/>
  <c r="I2018" i="3"/>
  <c r="H2018" i="3"/>
  <c r="G2018" i="3"/>
  <c r="F2018" i="3"/>
  <c r="E2018" i="3"/>
  <c r="D2018" i="3"/>
  <c r="C2018" i="3"/>
  <c r="B2018" i="3"/>
  <c r="A2018" i="3"/>
  <c r="J2017" i="3"/>
  <c r="I2017" i="3"/>
  <c r="H2017" i="3"/>
  <c r="G2017" i="3"/>
  <c r="F2017" i="3"/>
  <c r="E2017" i="3"/>
  <c r="D2017" i="3"/>
  <c r="C2017" i="3"/>
  <c r="B2017" i="3"/>
  <c r="A2017" i="3"/>
  <c r="J2016" i="3"/>
  <c r="I2016" i="3"/>
  <c r="H2016" i="3"/>
  <c r="G2016" i="3"/>
  <c r="F2016" i="3"/>
  <c r="E2016" i="3"/>
  <c r="D2016" i="3"/>
  <c r="C2016" i="3"/>
  <c r="B2016" i="3"/>
  <c r="A2016" i="3"/>
  <c r="O2015" i="3"/>
  <c r="K2015" i="3"/>
  <c r="J2015" i="3"/>
  <c r="I2015" i="3"/>
  <c r="H2015" i="3"/>
  <c r="G2015" i="3"/>
  <c r="F2015" i="3"/>
  <c r="E2015" i="3"/>
  <c r="D2015" i="3"/>
  <c r="C2015" i="3"/>
  <c r="B2015" i="3"/>
  <c r="A2015" i="3"/>
  <c r="J2014" i="3"/>
  <c r="I2014" i="3"/>
  <c r="H2014" i="3"/>
  <c r="G2014" i="3"/>
  <c r="F2014" i="3"/>
  <c r="E2014" i="3"/>
  <c r="D2014" i="3"/>
  <c r="C2014" i="3"/>
  <c r="B2014" i="3"/>
  <c r="A2014" i="3"/>
  <c r="O2013" i="3"/>
  <c r="K2013" i="3"/>
  <c r="J2013" i="3"/>
  <c r="I2013" i="3"/>
  <c r="H2013" i="3"/>
  <c r="G2013" i="3"/>
  <c r="F2013" i="3"/>
  <c r="E2013" i="3"/>
  <c r="D2013" i="3"/>
  <c r="C2013" i="3"/>
  <c r="B2013" i="3"/>
  <c r="A2013" i="3"/>
  <c r="K2012" i="3"/>
  <c r="J2012" i="3"/>
  <c r="I2012" i="3"/>
  <c r="H2012" i="3"/>
  <c r="G2012" i="3"/>
  <c r="F2012" i="3"/>
  <c r="E2012" i="3"/>
  <c r="D2012" i="3"/>
  <c r="C2012" i="3"/>
  <c r="B2012" i="3"/>
  <c r="A2012" i="3"/>
  <c r="O2011" i="3"/>
  <c r="K2011" i="3"/>
  <c r="J2011" i="3"/>
  <c r="I2011" i="3"/>
  <c r="H2011" i="3"/>
  <c r="G2011" i="3"/>
  <c r="F2011" i="3"/>
  <c r="E2011" i="3"/>
  <c r="D2011" i="3"/>
  <c r="C2011" i="3"/>
  <c r="B2011" i="3"/>
  <c r="A2011" i="3"/>
  <c r="O2010" i="3"/>
  <c r="M2010" i="3"/>
  <c r="K2010" i="3"/>
  <c r="J2010" i="3"/>
  <c r="I2010" i="3"/>
  <c r="H2010" i="3"/>
  <c r="G2010" i="3"/>
  <c r="F2010" i="3"/>
  <c r="E2010" i="3"/>
  <c r="D2010" i="3"/>
  <c r="C2010" i="3"/>
  <c r="B2010" i="3"/>
  <c r="A2010" i="3"/>
  <c r="O2009" i="3"/>
  <c r="K2009" i="3"/>
  <c r="J2009" i="3"/>
  <c r="I2009" i="3"/>
  <c r="H2009" i="3"/>
  <c r="G2009" i="3"/>
  <c r="F2009" i="3"/>
  <c r="E2009" i="3"/>
  <c r="D2009" i="3"/>
  <c r="C2009" i="3"/>
  <c r="B2009" i="3"/>
  <c r="A2009" i="3"/>
  <c r="K2008" i="3"/>
  <c r="J2008" i="3"/>
  <c r="I2008" i="3"/>
  <c r="H2008" i="3"/>
  <c r="G2008" i="3"/>
  <c r="F2008" i="3"/>
  <c r="E2008" i="3"/>
  <c r="D2008" i="3"/>
  <c r="C2008" i="3"/>
  <c r="B2008" i="3"/>
  <c r="A2008" i="3"/>
  <c r="K2007" i="3"/>
  <c r="J2007" i="3"/>
  <c r="I2007" i="3"/>
  <c r="H2007" i="3"/>
  <c r="G2007" i="3"/>
  <c r="F2007" i="3"/>
  <c r="E2007" i="3"/>
  <c r="D2007" i="3"/>
  <c r="C2007" i="3"/>
  <c r="B2007" i="3"/>
  <c r="A2007" i="3"/>
  <c r="O2006" i="3"/>
  <c r="K2006" i="3"/>
  <c r="J2006" i="3"/>
  <c r="I2006" i="3"/>
  <c r="H2006" i="3"/>
  <c r="G2006" i="3"/>
  <c r="F2006" i="3"/>
  <c r="E2006" i="3"/>
  <c r="D2006" i="3"/>
  <c r="C2006" i="3"/>
  <c r="B2006" i="3"/>
  <c r="A2006" i="3"/>
  <c r="O2005" i="3"/>
  <c r="M2005" i="3"/>
  <c r="K2005" i="3"/>
  <c r="J2005" i="3"/>
  <c r="I2005" i="3"/>
  <c r="H2005" i="3"/>
  <c r="G2005" i="3"/>
  <c r="F2005" i="3"/>
  <c r="E2005" i="3"/>
  <c r="D2005" i="3"/>
  <c r="C2005" i="3"/>
  <c r="B2005" i="3"/>
  <c r="A2005" i="3"/>
  <c r="J2004" i="3"/>
  <c r="I2004" i="3"/>
  <c r="H2004" i="3"/>
  <c r="G2004" i="3"/>
  <c r="F2004" i="3"/>
  <c r="E2004" i="3"/>
  <c r="D2004" i="3"/>
  <c r="C2004" i="3"/>
  <c r="B2004" i="3"/>
  <c r="A2004" i="3"/>
  <c r="M2003" i="3"/>
  <c r="K2003" i="3"/>
  <c r="J2003" i="3"/>
  <c r="I2003" i="3"/>
  <c r="H2003" i="3"/>
  <c r="G2003" i="3"/>
  <c r="F2003" i="3"/>
  <c r="E2003" i="3"/>
  <c r="D2003" i="3"/>
  <c r="C2003" i="3"/>
  <c r="B2003" i="3"/>
  <c r="A2003" i="3"/>
  <c r="O2002" i="3"/>
  <c r="M2002" i="3"/>
  <c r="K2002" i="3"/>
  <c r="J2002" i="3"/>
  <c r="I2002" i="3"/>
  <c r="H2002" i="3"/>
  <c r="G2002" i="3"/>
  <c r="F2002" i="3"/>
  <c r="E2002" i="3"/>
  <c r="D2002" i="3"/>
  <c r="C2002" i="3"/>
  <c r="B2002" i="3"/>
  <c r="A2002" i="3"/>
  <c r="K2001" i="3"/>
  <c r="J2001" i="3"/>
  <c r="I2001" i="3"/>
  <c r="H2001" i="3"/>
  <c r="G2001" i="3"/>
  <c r="F2001" i="3"/>
  <c r="E2001" i="3"/>
  <c r="D2001" i="3"/>
  <c r="C2001" i="3"/>
  <c r="B2001" i="3"/>
  <c r="A2001" i="3"/>
  <c r="O2000" i="3"/>
  <c r="M2000" i="3"/>
  <c r="K2000" i="3"/>
  <c r="J2000" i="3"/>
  <c r="I2000" i="3"/>
  <c r="H2000" i="3"/>
  <c r="G2000" i="3"/>
  <c r="F2000" i="3"/>
  <c r="E2000" i="3"/>
  <c r="D2000" i="3"/>
  <c r="C2000" i="3"/>
  <c r="B2000" i="3"/>
  <c r="A2000" i="3"/>
  <c r="J1999" i="3"/>
  <c r="I1999" i="3"/>
  <c r="H1999" i="3"/>
  <c r="G1999" i="3"/>
  <c r="F1999" i="3"/>
  <c r="E1999" i="3"/>
  <c r="D1999" i="3"/>
  <c r="C1999" i="3"/>
  <c r="B1999" i="3"/>
  <c r="A1999" i="3"/>
  <c r="O1998" i="3"/>
  <c r="K1998" i="3"/>
  <c r="J1998" i="3"/>
  <c r="I1998" i="3"/>
  <c r="H1998" i="3"/>
  <c r="G1998" i="3"/>
  <c r="F1998" i="3"/>
  <c r="E1998" i="3"/>
  <c r="D1998" i="3"/>
  <c r="C1998" i="3"/>
  <c r="B1998" i="3"/>
  <c r="A1998" i="3"/>
  <c r="J1997" i="3"/>
  <c r="I1997" i="3"/>
  <c r="H1997" i="3"/>
  <c r="G1997" i="3"/>
  <c r="F1997" i="3"/>
  <c r="E1997" i="3"/>
  <c r="D1997" i="3"/>
  <c r="C1997" i="3"/>
  <c r="B1997" i="3"/>
  <c r="A1997" i="3"/>
  <c r="J1996" i="3"/>
  <c r="I1996" i="3"/>
  <c r="H1996" i="3"/>
  <c r="G1996" i="3"/>
  <c r="F1996" i="3"/>
  <c r="E1996" i="3"/>
  <c r="D1996" i="3"/>
  <c r="C1996" i="3"/>
  <c r="B1996" i="3"/>
  <c r="A1996" i="3"/>
  <c r="J1995" i="3"/>
  <c r="I1995" i="3"/>
  <c r="H1995" i="3"/>
  <c r="G1995" i="3"/>
  <c r="F1995" i="3"/>
  <c r="E1995" i="3"/>
  <c r="D1995" i="3"/>
  <c r="C1995" i="3"/>
  <c r="B1995" i="3"/>
  <c r="A1995" i="3"/>
  <c r="J1994" i="3"/>
  <c r="I1994" i="3"/>
  <c r="H1994" i="3"/>
  <c r="G1994" i="3"/>
  <c r="F1994" i="3"/>
  <c r="E1994" i="3"/>
  <c r="D1994" i="3"/>
  <c r="C1994" i="3"/>
  <c r="B1994" i="3"/>
  <c r="A1994" i="3"/>
  <c r="J1993" i="3"/>
  <c r="I1993" i="3"/>
  <c r="H1993" i="3"/>
  <c r="G1993" i="3"/>
  <c r="F1993" i="3"/>
  <c r="E1993" i="3"/>
  <c r="D1993" i="3"/>
  <c r="C1993" i="3"/>
  <c r="B1993" i="3"/>
  <c r="A1993" i="3"/>
  <c r="O1992" i="3"/>
  <c r="K1992" i="3"/>
  <c r="J1992" i="3"/>
  <c r="I1992" i="3"/>
  <c r="H1992" i="3"/>
  <c r="G1992" i="3"/>
  <c r="F1992" i="3"/>
  <c r="E1992" i="3"/>
  <c r="D1992" i="3"/>
  <c r="C1992" i="3"/>
  <c r="B1992" i="3"/>
  <c r="A1992" i="3"/>
  <c r="O1991" i="3"/>
  <c r="K1991" i="3"/>
  <c r="J1991" i="3"/>
  <c r="I1991" i="3"/>
  <c r="H1991" i="3"/>
  <c r="G1991" i="3"/>
  <c r="F1991" i="3"/>
  <c r="E1991" i="3"/>
  <c r="D1991" i="3"/>
  <c r="C1991" i="3"/>
  <c r="B1991" i="3"/>
  <c r="A1991" i="3"/>
  <c r="J1990" i="3"/>
  <c r="I1990" i="3"/>
  <c r="H1990" i="3"/>
  <c r="G1990" i="3"/>
  <c r="F1990" i="3"/>
  <c r="E1990" i="3"/>
  <c r="D1990" i="3"/>
  <c r="C1990" i="3"/>
  <c r="B1990" i="3"/>
  <c r="A1990" i="3"/>
  <c r="O1989" i="3"/>
  <c r="K1989" i="3"/>
  <c r="J1989" i="3"/>
  <c r="I1989" i="3"/>
  <c r="H1989" i="3"/>
  <c r="G1989" i="3"/>
  <c r="F1989" i="3"/>
  <c r="E1989" i="3"/>
  <c r="D1989" i="3"/>
  <c r="C1989" i="3"/>
  <c r="B1989" i="3"/>
  <c r="A1989" i="3"/>
  <c r="O1988" i="3"/>
  <c r="K1988" i="3"/>
  <c r="J1988" i="3"/>
  <c r="I1988" i="3"/>
  <c r="H1988" i="3"/>
  <c r="G1988" i="3"/>
  <c r="F1988" i="3"/>
  <c r="E1988" i="3"/>
  <c r="D1988" i="3"/>
  <c r="C1988" i="3"/>
  <c r="B1988" i="3"/>
  <c r="A1988" i="3"/>
  <c r="J1987" i="3"/>
  <c r="I1987" i="3"/>
  <c r="H1987" i="3"/>
  <c r="G1987" i="3"/>
  <c r="F1987" i="3"/>
  <c r="E1987" i="3"/>
  <c r="D1987" i="3"/>
  <c r="C1987" i="3"/>
  <c r="B1987" i="3"/>
  <c r="A1987" i="3"/>
  <c r="J1986" i="3"/>
  <c r="I1986" i="3"/>
  <c r="H1986" i="3"/>
  <c r="G1986" i="3"/>
  <c r="F1986" i="3"/>
  <c r="E1986" i="3"/>
  <c r="D1986" i="3"/>
  <c r="C1986" i="3"/>
  <c r="B1986" i="3"/>
  <c r="A1986" i="3"/>
  <c r="M1985" i="3"/>
  <c r="K1985" i="3"/>
  <c r="J1985" i="3"/>
  <c r="I1985" i="3"/>
  <c r="H1985" i="3"/>
  <c r="G1985" i="3"/>
  <c r="F1985" i="3"/>
  <c r="E1985" i="3"/>
  <c r="D1985" i="3"/>
  <c r="C1985" i="3"/>
  <c r="B1985" i="3"/>
  <c r="A1985" i="3"/>
  <c r="M1984" i="3"/>
  <c r="K1984" i="3"/>
  <c r="J1984" i="3"/>
  <c r="I1984" i="3"/>
  <c r="H1984" i="3"/>
  <c r="G1984" i="3"/>
  <c r="F1984" i="3"/>
  <c r="E1984" i="3"/>
  <c r="D1984" i="3"/>
  <c r="C1984" i="3"/>
  <c r="B1984" i="3"/>
  <c r="A1984" i="3"/>
  <c r="O1983" i="3"/>
  <c r="M1983" i="3"/>
  <c r="K1983" i="3"/>
  <c r="J1983" i="3"/>
  <c r="I1983" i="3"/>
  <c r="H1983" i="3"/>
  <c r="G1983" i="3"/>
  <c r="F1983" i="3"/>
  <c r="E1983" i="3"/>
  <c r="D1983" i="3"/>
  <c r="C1983" i="3"/>
  <c r="B1983" i="3"/>
  <c r="A1983" i="3"/>
  <c r="J1982" i="3"/>
  <c r="I1982" i="3"/>
  <c r="H1982" i="3"/>
  <c r="G1982" i="3"/>
  <c r="F1982" i="3"/>
  <c r="E1982" i="3"/>
  <c r="D1982" i="3"/>
  <c r="C1982" i="3"/>
  <c r="B1982" i="3"/>
  <c r="A1982" i="3"/>
  <c r="J1981" i="3"/>
  <c r="I1981" i="3"/>
  <c r="H1981" i="3"/>
  <c r="G1981" i="3"/>
  <c r="F1981" i="3"/>
  <c r="E1981" i="3"/>
  <c r="D1981" i="3"/>
  <c r="C1981" i="3"/>
  <c r="B1981" i="3"/>
  <c r="A1981" i="3"/>
  <c r="O1980" i="3"/>
  <c r="M1980" i="3"/>
  <c r="K1980" i="3"/>
  <c r="J1980" i="3"/>
  <c r="I1980" i="3"/>
  <c r="H1980" i="3"/>
  <c r="G1980" i="3"/>
  <c r="F1980" i="3"/>
  <c r="E1980" i="3"/>
  <c r="D1980" i="3"/>
  <c r="C1980" i="3"/>
  <c r="B1980" i="3"/>
  <c r="A1980" i="3"/>
  <c r="M1979" i="3"/>
  <c r="K1979" i="3"/>
  <c r="J1979" i="3"/>
  <c r="I1979" i="3"/>
  <c r="H1979" i="3"/>
  <c r="G1979" i="3"/>
  <c r="F1979" i="3"/>
  <c r="E1979" i="3"/>
  <c r="D1979" i="3"/>
  <c r="C1979" i="3"/>
  <c r="B1979" i="3"/>
  <c r="A1979" i="3"/>
  <c r="M1978" i="3"/>
  <c r="K1978" i="3"/>
  <c r="J1978" i="3"/>
  <c r="I1978" i="3"/>
  <c r="H1978" i="3"/>
  <c r="G1978" i="3"/>
  <c r="F1978" i="3"/>
  <c r="E1978" i="3"/>
  <c r="D1978" i="3"/>
  <c r="C1978" i="3"/>
  <c r="B1978" i="3"/>
  <c r="A1978" i="3"/>
  <c r="O1977" i="3"/>
  <c r="M1977" i="3"/>
  <c r="K1977" i="3"/>
  <c r="J1977" i="3"/>
  <c r="I1977" i="3"/>
  <c r="H1977" i="3"/>
  <c r="G1977" i="3"/>
  <c r="F1977" i="3"/>
  <c r="E1977" i="3"/>
  <c r="D1977" i="3"/>
  <c r="C1977" i="3"/>
  <c r="B1977" i="3"/>
  <c r="A1977" i="3"/>
  <c r="O1976" i="3"/>
  <c r="K1976" i="3"/>
  <c r="J1976" i="3"/>
  <c r="I1976" i="3"/>
  <c r="H1976" i="3"/>
  <c r="G1976" i="3"/>
  <c r="F1976" i="3"/>
  <c r="E1976" i="3"/>
  <c r="D1976" i="3"/>
  <c r="C1976" i="3"/>
  <c r="B1976" i="3"/>
  <c r="A1976" i="3"/>
  <c r="M1975" i="3"/>
  <c r="K1975" i="3"/>
  <c r="J1975" i="3"/>
  <c r="I1975" i="3"/>
  <c r="H1975" i="3"/>
  <c r="G1975" i="3"/>
  <c r="F1975" i="3"/>
  <c r="E1975" i="3"/>
  <c r="D1975" i="3"/>
  <c r="C1975" i="3"/>
  <c r="B1975" i="3"/>
  <c r="A1975" i="3"/>
  <c r="J1974" i="3"/>
  <c r="I1974" i="3"/>
  <c r="H1974" i="3"/>
  <c r="G1974" i="3"/>
  <c r="F1974" i="3"/>
  <c r="E1974" i="3"/>
  <c r="D1974" i="3"/>
  <c r="C1974" i="3"/>
  <c r="B1974" i="3"/>
  <c r="A1974" i="3"/>
  <c r="M1973" i="3"/>
  <c r="K1973" i="3"/>
  <c r="J1973" i="3"/>
  <c r="I1973" i="3"/>
  <c r="H1973" i="3"/>
  <c r="G1973" i="3"/>
  <c r="F1973" i="3"/>
  <c r="E1973" i="3"/>
  <c r="D1973" i="3"/>
  <c r="C1973" i="3"/>
  <c r="B1973" i="3"/>
  <c r="A1973" i="3"/>
  <c r="J1972" i="3"/>
  <c r="I1972" i="3"/>
  <c r="H1972" i="3"/>
  <c r="G1972" i="3"/>
  <c r="F1972" i="3"/>
  <c r="E1972" i="3"/>
  <c r="D1972" i="3"/>
  <c r="C1972" i="3"/>
  <c r="B1972" i="3"/>
  <c r="A1972" i="3"/>
  <c r="J1971" i="3"/>
  <c r="I1971" i="3"/>
  <c r="H1971" i="3"/>
  <c r="G1971" i="3"/>
  <c r="F1971" i="3"/>
  <c r="E1971" i="3"/>
  <c r="D1971" i="3"/>
  <c r="C1971" i="3"/>
  <c r="B1971" i="3"/>
  <c r="A1971" i="3"/>
  <c r="O1970" i="3"/>
  <c r="K1970" i="3"/>
  <c r="J1970" i="3"/>
  <c r="I1970" i="3"/>
  <c r="H1970" i="3"/>
  <c r="G1970" i="3"/>
  <c r="F1970" i="3"/>
  <c r="E1970" i="3"/>
  <c r="D1970" i="3"/>
  <c r="C1970" i="3"/>
  <c r="B1970" i="3"/>
  <c r="A1970" i="3"/>
  <c r="O1969" i="3"/>
  <c r="M1969" i="3"/>
  <c r="K1969" i="3"/>
  <c r="J1969" i="3"/>
  <c r="I1969" i="3"/>
  <c r="H1969" i="3"/>
  <c r="G1969" i="3"/>
  <c r="F1969" i="3"/>
  <c r="E1969" i="3"/>
  <c r="D1969" i="3"/>
  <c r="C1969" i="3"/>
  <c r="B1969" i="3"/>
  <c r="A1969" i="3"/>
  <c r="J1968" i="3"/>
  <c r="I1968" i="3"/>
  <c r="H1968" i="3"/>
  <c r="G1968" i="3"/>
  <c r="F1968" i="3"/>
  <c r="E1968" i="3"/>
  <c r="D1968" i="3"/>
  <c r="C1968" i="3"/>
  <c r="B1968" i="3"/>
  <c r="A1968" i="3"/>
  <c r="O1967" i="3"/>
  <c r="K1967" i="3"/>
  <c r="J1967" i="3"/>
  <c r="I1967" i="3"/>
  <c r="H1967" i="3"/>
  <c r="G1967" i="3"/>
  <c r="F1967" i="3"/>
  <c r="E1967" i="3"/>
  <c r="D1967" i="3"/>
  <c r="C1967" i="3"/>
  <c r="B1967" i="3"/>
  <c r="A1967" i="3"/>
  <c r="J1966" i="3"/>
  <c r="I1966" i="3"/>
  <c r="H1966" i="3"/>
  <c r="G1966" i="3"/>
  <c r="F1966" i="3"/>
  <c r="E1966" i="3"/>
  <c r="D1966" i="3"/>
  <c r="C1966" i="3"/>
  <c r="B1966" i="3"/>
  <c r="A1966" i="3"/>
  <c r="M1965" i="3"/>
  <c r="K1965" i="3"/>
  <c r="J1965" i="3"/>
  <c r="I1965" i="3"/>
  <c r="H1965" i="3"/>
  <c r="G1965" i="3"/>
  <c r="F1965" i="3"/>
  <c r="E1965" i="3"/>
  <c r="D1965" i="3"/>
  <c r="C1965" i="3"/>
  <c r="B1965" i="3"/>
  <c r="A1965" i="3"/>
  <c r="J1964" i="3"/>
  <c r="I1964" i="3"/>
  <c r="H1964" i="3"/>
  <c r="G1964" i="3"/>
  <c r="F1964" i="3"/>
  <c r="E1964" i="3"/>
  <c r="D1964" i="3"/>
  <c r="C1964" i="3"/>
  <c r="B1964" i="3"/>
  <c r="A1964" i="3"/>
  <c r="J1963" i="3"/>
  <c r="I1963" i="3"/>
  <c r="H1963" i="3"/>
  <c r="G1963" i="3"/>
  <c r="F1963" i="3"/>
  <c r="E1963" i="3"/>
  <c r="D1963" i="3"/>
  <c r="C1963" i="3"/>
  <c r="B1963" i="3"/>
  <c r="A1963" i="3"/>
  <c r="J1962" i="3"/>
  <c r="I1962" i="3"/>
  <c r="H1962" i="3"/>
  <c r="G1962" i="3"/>
  <c r="F1962" i="3"/>
  <c r="E1962" i="3"/>
  <c r="D1962" i="3"/>
  <c r="C1962" i="3"/>
  <c r="B1962" i="3"/>
  <c r="A1962" i="3"/>
  <c r="O1961" i="3"/>
  <c r="M1961" i="3"/>
  <c r="K1961" i="3"/>
  <c r="J1961" i="3"/>
  <c r="I1961" i="3"/>
  <c r="H1961" i="3"/>
  <c r="G1961" i="3"/>
  <c r="F1961" i="3"/>
  <c r="E1961" i="3"/>
  <c r="D1961" i="3"/>
  <c r="C1961" i="3"/>
  <c r="B1961" i="3"/>
  <c r="A1961" i="3"/>
  <c r="J1960" i="3"/>
  <c r="I1960" i="3"/>
  <c r="H1960" i="3"/>
  <c r="G1960" i="3"/>
  <c r="F1960" i="3"/>
  <c r="E1960" i="3"/>
  <c r="D1960" i="3"/>
  <c r="C1960" i="3"/>
  <c r="B1960" i="3"/>
  <c r="A1960" i="3"/>
  <c r="J1959" i="3"/>
  <c r="I1959" i="3"/>
  <c r="H1959" i="3"/>
  <c r="G1959" i="3"/>
  <c r="F1959" i="3"/>
  <c r="E1959" i="3"/>
  <c r="D1959" i="3"/>
  <c r="C1959" i="3"/>
  <c r="B1959" i="3"/>
  <c r="A1959" i="3"/>
  <c r="O1958" i="3"/>
  <c r="M1958" i="3"/>
  <c r="K1958" i="3"/>
  <c r="J1958" i="3"/>
  <c r="I1958" i="3"/>
  <c r="H1958" i="3"/>
  <c r="G1958" i="3"/>
  <c r="F1958" i="3"/>
  <c r="E1958" i="3"/>
  <c r="D1958" i="3"/>
  <c r="C1958" i="3"/>
  <c r="B1958" i="3"/>
  <c r="A1958" i="3"/>
  <c r="J1957" i="3"/>
  <c r="I1957" i="3"/>
  <c r="H1957" i="3"/>
  <c r="G1957" i="3"/>
  <c r="F1957" i="3"/>
  <c r="E1957" i="3"/>
  <c r="D1957" i="3"/>
  <c r="C1957" i="3"/>
  <c r="B1957" i="3"/>
  <c r="A1957" i="3"/>
  <c r="O1956" i="3"/>
  <c r="M1956" i="3"/>
  <c r="K1956" i="3"/>
  <c r="J1956" i="3"/>
  <c r="I1956" i="3"/>
  <c r="H1956" i="3"/>
  <c r="G1956" i="3"/>
  <c r="F1956" i="3"/>
  <c r="E1956" i="3"/>
  <c r="D1956" i="3"/>
  <c r="C1956" i="3"/>
  <c r="B1956" i="3"/>
  <c r="A1956" i="3"/>
  <c r="J1955" i="3"/>
  <c r="I1955" i="3"/>
  <c r="H1955" i="3"/>
  <c r="G1955" i="3"/>
  <c r="F1955" i="3"/>
  <c r="E1955" i="3"/>
  <c r="D1955" i="3"/>
  <c r="C1955" i="3"/>
  <c r="B1955" i="3"/>
  <c r="A1955" i="3"/>
  <c r="J1954" i="3"/>
  <c r="I1954" i="3"/>
  <c r="H1954" i="3"/>
  <c r="G1954" i="3"/>
  <c r="F1954" i="3"/>
  <c r="E1954" i="3"/>
  <c r="D1954" i="3"/>
  <c r="C1954" i="3"/>
  <c r="B1954" i="3"/>
  <c r="A1954" i="3"/>
  <c r="O1953" i="3"/>
  <c r="K1953" i="3"/>
  <c r="J1953" i="3"/>
  <c r="I1953" i="3"/>
  <c r="H1953" i="3"/>
  <c r="G1953" i="3"/>
  <c r="F1953" i="3"/>
  <c r="E1953" i="3"/>
  <c r="D1953" i="3"/>
  <c r="C1953" i="3"/>
  <c r="B1953" i="3"/>
  <c r="A1953" i="3"/>
  <c r="J1952" i="3"/>
  <c r="I1952" i="3"/>
  <c r="H1952" i="3"/>
  <c r="G1952" i="3"/>
  <c r="F1952" i="3"/>
  <c r="E1952" i="3"/>
  <c r="D1952" i="3"/>
  <c r="C1952" i="3"/>
  <c r="B1952" i="3"/>
  <c r="A1952" i="3"/>
  <c r="J1951" i="3"/>
  <c r="I1951" i="3"/>
  <c r="H1951" i="3"/>
  <c r="G1951" i="3"/>
  <c r="F1951" i="3"/>
  <c r="E1951" i="3"/>
  <c r="D1951" i="3"/>
  <c r="C1951" i="3"/>
  <c r="B1951" i="3"/>
  <c r="A1951" i="3"/>
  <c r="J1950" i="3"/>
  <c r="I1950" i="3"/>
  <c r="H1950" i="3"/>
  <c r="G1950" i="3"/>
  <c r="F1950" i="3"/>
  <c r="E1950" i="3"/>
  <c r="D1950" i="3"/>
  <c r="C1950" i="3"/>
  <c r="B1950" i="3"/>
  <c r="A1950" i="3"/>
  <c r="J1949" i="3"/>
  <c r="I1949" i="3"/>
  <c r="H1949" i="3"/>
  <c r="G1949" i="3"/>
  <c r="F1949" i="3"/>
  <c r="E1949" i="3"/>
  <c r="D1949" i="3"/>
  <c r="C1949" i="3"/>
  <c r="B1949" i="3"/>
  <c r="A1949" i="3"/>
  <c r="J1948" i="3"/>
  <c r="I1948" i="3"/>
  <c r="H1948" i="3"/>
  <c r="G1948" i="3"/>
  <c r="F1948" i="3"/>
  <c r="E1948" i="3"/>
  <c r="D1948" i="3"/>
  <c r="C1948" i="3"/>
  <c r="B1948" i="3"/>
  <c r="A1948" i="3"/>
  <c r="M1947" i="3"/>
  <c r="K1947" i="3"/>
  <c r="J1947" i="3"/>
  <c r="I1947" i="3"/>
  <c r="H1947" i="3"/>
  <c r="G1947" i="3"/>
  <c r="F1947" i="3"/>
  <c r="E1947" i="3"/>
  <c r="D1947" i="3"/>
  <c r="C1947" i="3"/>
  <c r="B1947" i="3"/>
  <c r="A1947" i="3"/>
  <c r="J1946" i="3"/>
  <c r="I1946" i="3"/>
  <c r="H1946" i="3"/>
  <c r="G1946" i="3"/>
  <c r="F1946" i="3"/>
  <c r="E1946" i="3"/>
  <c r="D1946" i="3"/>
  <c r="C1946" i="3"/>
  <c r="B1946" i="3"/>
  <c r="A1946" i="3"/>
  <c r="M1945" i="3"/>
  <c r="K1945" i="3"/>
  <c r="J1945" i="3"/>
  <c r="I1945" i="3"/>
  <c r="H1945" i="3"/>
  <c r="G1945" i="3"/>
  <c r="F1945" i="3"/>
  <c r="E1945" i="3"/>
  <c r="D1945" i="3"/>
  <c r="C1945" i="3"/>
  <c r="B1945" i="3"/>
  <c r="A1945" i="3"/>
  <c r="J1944" i="3"/>
  <c r="I1944" i="3"/>
  <c r="H1944" i="3"/>
  <c r="G1944" i="3"/>
  <c r="F1944" i="3"/>
  <c r="E1944" i="3"/>
  <c r="D1944" i="3"/>
  <c r="C1944" i="3"/>
  <c r="B1944" i="3"/>
  <c r="A1944" i="3"/>
  <c r="O1943" i="3"/>
  <c r="K1943" i="3"/>
  <c r="J1943" i="3"/>
  <c r="I1943" i="3"/>
  <c r="H1943" i="3"/>
  <c r="G1943" i="3"/>
  <c r="F1943" i="3"/>
  <c r="E1943" i="3"/>
  <c r="D1943" i="3"/>
  <c r="C1943" i="3"/>
  <c r="B1943" i="3"/>
  <c r="A1943" i="3"/>
  <c r="O1942" i="3"/>
  <c r="M1942" i="3"/>
  <c r="K1942" i="3"/>
  <c r="J1942" i="3"/>
  <c r="I1942" i="3"/>
  <c r="H1942" i="3"/>
  <c r="G1942" i="3"/>
  <c r="F1942" i="3"/>
  <c r="E1942" i="3"/>
  <c r="D1942" i="3"/>
  <c r="C1942" i="3"/>
  <c r="B1942" i="3"/>
  <c r="A1942" i="3"/>
  <c r="J1941" i="3"/>
  <c r="I1941" i="3"/>
  <c r="H1941" i="3"/>
  <c r="G1941" i="3"/>
  <c r="F1941" i="3"/>
  <c r="E1941" i="3"/>
  <c r="D1941" i="3"/>
  <c r="C1941" i="3"/>
  <c r="B1941" i="3"/>
  <c r="A1941" i="3"/>
  <c r="K1940" i="3"/>
  <c r="J1940" i="3"/>
  <c r="I1940" i="3"/>
  <c r="H1940" i="3"/>
  <c r="G1940" i="3"/>
  <c r="F1940" i="3"/>
  <c r="E1940" i="3"/>
  <c r="D1940" i="3"/>
  <c r="C1940" i="3"/>
  <c r="B1940" i="3"/>
  <c r="A1940" i="3"/>
  <c r="M1939" i="3"/>
  <c r="K1939" i="3"/>
  <c r="J1939" i="3"/>
  <c r="I1939" i="3"/>
  <c r="H1939" i="3"/>
  <c r="G1939" i="3"/>
  <c r="F1939" i="3"/>
  <c r="E1939" i="3"/>
  <c r="D1939" i="3"/>
  <c r="C1939" i="3"/>
  <c r="B1939" i="3"/>
  <c r="A1939" i="3"/>
  <c r="J1938" i="3"/>
  <c r="I1938" i="3"/>
  <c r="H1938" i="3"/>
  <c r="G1938" i="3"/>
  <c r="F1938" i="3"/>
  <c r="E1938" i="3"/>
  <c r="D1938" i="3"/>
  <c r="C1938" i="3"/>
  <c r="B1938" i="3"/>
  <c r="A1938" i="3"/>
  <c r="J1937" i="3"/>
  <c r="I1937" i="3"/>
  <c r="H1937" i="3"/>
  <c r="G1937" i="3"/>
  <c r="F1937" i="3"/>
  <c r="E1937" i="3"/>
  <c r="D1937" i="3"/>
  <c r="C1937" i="3"/>
  <c r="B1937" i="3"/>
  <c r="A1937" i="3"/>
  <c r="O1936" i="3"/>
  <c r="M1936" i="3"/>
  <c r="K1936" i="3"/>
  <c r="J1936" i="3"/>
  <c r="I1936" i="3"/>
  <c r="H1936" i="3"/>
  <c r="G1936" i="3"/>
  <c r="F1936" i="3"/>
  <c r="E1936" i="3"/>
  <c r="D1936" i="3"/>
  <c r="C1936" i="3"/>
  <c r="B1936" i="3"/>
  <c r="A1936" i="3"/>
  <c r="M1935" i="3"/>
  <c r="K1935" i="3"/>
  <c r="J1935" i="3"/>
  <c r="I1935" i="3"/>
  <c r="H1935" i="3"/>
  <c r="G1935" i="3"/>
  <c r="F1935" i="3"/>
  <c r="E1935" i="3"/>
  <c r="D1935" i="3"/>
  <c r="C1935" i="3"/>
  <c r="B1935" i="3"/>
  <c r="A1935" i="3"/>
  <c r="O1934" i="3"/>
  <c r="K1934" i="3"/>
  <c r="J1934" i="3"/>
  <c r="I1934" i="3"/>
  <c r="H1934" i="3"/>
  <c r="G1934" i="3"/>
  <c r="F1934" i="3"/>
  <c r="E1934" i="3"/>
  <c r="D1934" i="3"/>
  <c r="C1934" i="3"/>
  <c r="B1934" i="3"/>
  <c r="A1934" i="3"/>
  <c r="K1933" i="3"/>
  <c r="J1933" i="3"/>
  <c r="I1933" i="3"/>
  <c r="H1933" i="3"/>
  <c r="G1933" i="3"/>
  <c r="F1933" i="3"/>
  <c r="E1933" i="3"/>
  <c r="D1933" i="3"/>
  <c r="C1933" i="3"/>
  <c r="B1933" i="3"/>
  <c r="A1933" i="3"/>
  <c r="J1932" i="3"/>
  <c r="I1932" i="3"/>
  <c r="H1932" i="3"/>
  <c r="G1932" i="3"/>
  <c r="F1932" i="3"/>
  <c r="E1932" i="3"/>
  <c r="D1932" i="3"/>
  <c r="C1932" i="3"/>
  <c r="B1932" i="3"/>
  <c r="A1932" i="3"/>
  <c r="J1931" i="3"/>
  <c r="I1931" i="3"/>
  <c r="H1931" i="3"/>
  <c r="G1931" i="3"/>
  <c r="F1931" i="3"/>
  <c r="E1931" i="3"/>
  <c r="D1931" i="3"/>
  <c r="C1931" i="3"/>
  <c r="B1931" i="3"/>
  <c r="A1931" i="3"/>
  <c r="M1930" i="3"/>
  <c r="K1930" i="3"/>
  <c r="J1930" i="3"/>
  <c r="I1930" i="3"/>
  <c r="H1930" i="3"/>
  <c r="G1930" i="3"/>
  <c r="F1930" i="3"/>
  <c r="E1930" i="3"/>
  <c r="D1930" i="3"/>
  <c r="C1930" i="3"/>
  <c r="B1930" i="3"/>
  <c r="A1930" i="3"/>
  <c r="J1929" i="3"/>
  <c r="I1929" i="3"/>
  <c r="H1929" i="3"/>
  <c r="G1929" i="3"/>
  <c r="F1929" i="3"/>
  <c r="E1929" i="3"/>
  <c r="D1929" i="3"/>
  <c r="C1929" i="3"/>
  <c r="B1929" i="3"/>
  <c r="A1929" i="3"/>
  <c r="O1928" i="3"/>
  <c r="M1928" i="3"/>
  <c r="K1928" i="3"/>
  <c r="J1928" i="3"/>
  <c r="I1928" i="3"/>
  <c r="H1928" i="3"/>
  <c r="G1928" i="3"/>
  <c r="F1928" i="3"/>
  <c r="E1928" i="3"/>
  <c r="D1928" i="3"/>
  <c r="C1928" i="3"/>
  <c r="B1928" i="3"/>
  <c r="A1928" i="3"/>
  <c r="O1927" i="3"/>
  <c r="M1927" i="3"/>
  <c r="K1927" i="3"/>
  <c r="J1927" i="3"/>
  <c r="I1927" i="3"/>
  <c r="H1927" i="3"/>
  <c r="G1927" i="3"/>
  <c r="F1927" i="3"/>
  <c r="E1927" i="3"/>
  <c r="D1927" i="3"/>
  <c r="C1927" i="3"/>
  <c r="B1927" i="3"/>
  <c r="A1927" i="3"/>
  <c r="J1926" i="3"/>
  <c r="I1926" i="3"/>
  <c r="H1926" i="3"/>
  <c r="G1926" i="3"/>
  <c r="F1926" i="3"/>
  <c r="E1926" i="3"/>
  <c r="D1926" i="3"/>
  <c r="C1926" i="3"/>
  <c r="B1926" i="3"/>
  <c r="A1926" i="3"/>
  <c r="J1925" i="3"/>
  <c r="I1925" i="3"/>
  <c r="H1925" i="3"/>
  <c r="G1925" i="3"/>
  <c r="F1925" i="3"/>
  <c r="E1925" i="3"/>
  <c r="D1925" i="3"/>
  <c r="C1925" i="3"/>
  <c r="B1925" i="3"/>
  <c r="A1925" i="3"/>
  <c r="O1924" i="3"/>
  <c r="K1924" i="3"/>
  <c r="J1924" i="3"/>
  <c r="I1924" i="3"/>
  <c r="H1924" i="3"/>
  <c r="G1924" i="3"/>
  <c r="F1924" i="3"/>
  <c r="E1924" i="3"/>
  <c r="D1924" i="3"/>
  <c r="C1924" i="3"/>
  <c r="B1924" i="3"/>
  <c r="A1924" i="3"/>
  <c r="O1923" i="3"/>
  <c r="K1923" i="3"/>
  <c r="J1923" i="3"/>
  <c r="I1923" i="3"/>
  <c r="H1923" i="3"/>
  <c r="G1923" i="3"/>
  <c r="F1923" i="3"/>
  <c r="E1923" i="3"/>
  <c r="D1923" i="3"/>
  <c r="C1923" i="3"/>
  <c r="B1923" i="3"/>
  <c r="A1923" i="3"/>
  <c r="J1922" i="3"/>
  <c r="I1922" i="3"/>
  <c r="H1922" i="3"/>
  <c r="G1922" i="3"/>
  <c r="F1922" i="3"/>
  <c r="E1922" i="3"/>
  <c r="D1922" i="3"/>
  <c r="C1922" i="3"/>
  <c r="B1922" i="3"/>
  <c r="A1922" i="3"/>
  <c r="J1921" i="3"/>
  <c r="I1921" i="3"/>
  <c r="H1921" i="3"/>
  <c r="G1921" i="3"/>
  <c r="F1921" i="3"/>
  <c r="E1921" i="3"/>
  <c r="D1921" i="3"/>
  <c r="C1921" i="3"/>
  <c r="B1921" i="3"/>
  <c r="A1921" i="3"/>
  <c r="O1920" i="3"/>
  <c r="M1920" i="3"/>
  <c r="K1920" i="3"/>
  <c r="J1920" i="3"/>
  <c r="I1920" i="3"/>
  <c r="H1920" i="3"/>
  <c r="G1920" i="3"/>
  <c r="F1920" i="3"/>
  <c r="E1920" i="3"/>
  <c r="D1920" i="3"/>
  <c r="C1920" i="3"/>
  <c r="B1920" i="3"/>
  <c r="A1920" i="3"/>
  <c r="J1919" i="3"/>
  <c r="I1919" i="3"/>
  <c r="H1919" i="3"/>
  <c r="G1919" i="3"/>
  <c r="F1919" i="3"/>
  <c r="E1919" i="3"/>
  <c r="D1919" i="3"/>
  <c r="C1919" i="3"/>
  <c r="B1919" i="3"/>
  <c r="A1919" i="3"/>
  <c r="O1918" i="3"/>
  <c r="K1918" i="3"/>
  <c r="J1918" i="3"/>
  <c r="I1918" i="3"/>
  <c r="H1918" i="3"/>
  <c r="G1918" i="3"/>
  <c r="F1918" i="3"/>
  <c r="E1918" i="3"/>
  <c r="D1918" i="3"/>
  <c r="C1918" i="3"/>
  <c r="B1918" i="3"/>
  <c r="A1918" i="3"/>
  <c r="M1917" i="3"/>
  <c r="K1917" i="3"/>
  <c r="J1917" i="3"/>
  <c r="I1917" i="3"/>
  <c r="H1917" i="3"/>
  <c r="G1917" i="3"/>
  <c r="F1917" i="3"/>
  <c r="E1917" i="3"/>
  <c r="D1917" i="3"/>
  <c r="C1917" i="3"/>
  <c r="B1917" i="3"/>
  <c r="A1917" i="3"/>
  <c r="O1916" i="3"/>
  <c r="K1916" i="3"/>
  <c r="J1916" i="3"/>
  <c r="I1916" i="3"/>
  <c r="H1916" i="3"/>
  <c r="G1916" i="3"/>
  <c r="F1916" i="3"/>
  <c r="E1916" i="3"/>
  <c r="D1916" i="3"/>
  <c r="C1916" i="3"/>
  <c r="B1916" i="3"/>
  <c r="A1916" i="3"/>
  <c r="O1915" i="3"/>
  <c r="K1915" i="3"/>
  <c r="J1915" i="3"/>
  <c r="I1915" i="3"/>
  <c r="H1915" i="3"/>
  <c r="G1915" i="3"/>
  <c r="F1915" i="3"/>
  <c r="E1915" i="3"/>
  <c r="D1915" i="3"/>
  <c r="C1915" i="3"/>
  <c r="B1915" i="3"/>
  <c r="A1915" i="3"/>
  <c r="J1914" i="3"/>
  <c r="I1914" i="3"/>
  <c r="H1914" i="3"/>
  <c r="G1914" i="3"/>
  <c r="F1914" i="3"/>
  <c r="E1914" i="3"/>
  <c r="D1914" i="3"/>
  <c r="C1914" i="3"/>
  <c r="B1914" i="3"/>
  <c r="A1914" i="3"/>
  <c r="J1913" i="3"/>
  <c r="I1913" i="3"/>
  <c r="H1913" i="3"/>
  <c r="G1913" i="3"/>
  <c r="F1913" i="3"/>
  <c r="E1913" i="3"/>
  <c r="D1913" i="3"/>
  <c r="C1913" i="3"/>
  <c r="B1913" i="3"/>
  <c r="A1913" i="3"/>
  <c r="J1912" i="3"/>
  <c r="I1912" i="3"/>
  <c r="H1912" i="3"/>
  <c r="G1912" i="3"/>
  <c r="F1912" i="3"/>
  <c r="E1912" i="3"/>
  <c r="D1912" i="3"/>
  <c r="C1912" i="3"/>
  <c r="B1912" i="3"/>
  <c r="A1912" i="3"/>
  <c r="M1911" i="3"/>
  <c r="K1911" i="3"/>
  <c r="J1911" i="3"/>
  <c r="I1911" i="3"/>
  <c r="H1911" i="3"/>
  <c r="G1911" i="3"/>
  <c r="F1911" i="3"/>
  <c r="E1911" i="3"/>
  <c r="D1911" i="3"/>
  <c r="C1911" i="3"/>
  <c r="B1911" i="3"/>
  <c r="A1911" i="3"/>
  <c r="J1910" i="3"/>
  <c r="I1910" i="3"/>
  <c r="H1910" i="3"/>
  <c r="G1910" i="3"/>
  <c r="F1910" i="3"/>
  <c r="E1910" i="3"/>
  <c r="D1910" i="3"/>
  <c r="C1910" i="3"/>
  <c r="B1910" i="3"/>
  <c r="A1910" i="3"/>
  <c r="M1909" i="3"/>
  <c r="K1909" i="3"/>
  <c r="J1909" i="3"/>
  <c r="I1909" i="3"/>
  <c r="H1909" i="3"/>
  <c r="G1909" i="3"/>
  <c r="F1909" i="3"/>
  <c r="E1909" i="3"/>
  <c r="D1909" i="3"/>
  <c r="C1909" i="3"/>
  <c r="B1909" i="3"/>
  <c r="A1909" i="3"/>
  <c r="J1908" i="3"/>
  <c r="I1908" i="3"/>
  <c r="H1908" i="3"/>
  <c r="G1908" i="3"/>
  <c r="F1908" i="3"/>
  <c r="E1908" i="3"/>
  <c r="D1908" i="3"/>
  <c r="C1908" i="3"/>
  <c r="B1908" i="3"/>
  <c r="A1908" i="3"/>
  <c r="J1907" i="3"/>
  <c r="I1907" i="3"/>
  <c r="H1907" i="3"/>
  <c r="G1907" i="3"/>
  <c r="F1907" i="3"/>
  <c r="E1907" i="3"/>
  <c r="D1907" i="3"/>
  <c r="C1907" i="3"/>
  <c r="B1907" i="3"/>
  <c r="A1907" i="3"/>
  <c r="K1906" i="3"/>
  <c r="J1906" i="3"/>
  <c r="I1906" i="3"/>
  <c r="H1906" i="3"/>
  <c r="G1906" i="3"/>
  <c r="F1906" i="3"/>
  <c r="E1906" i="3"/>
  <c r="D1906" i="3"/>
  <c r="C1906" i="3"/>
  <c r="B1906" i="3"/>
  <c r="A1906" i="3"/>
  <c r="J1905" i="3"/>
  <c r="I1905" i="3"/>
  <c r="H1905" i="3"/>
  <c r="G1905" i="3"/>
  <c r="F1905" i="3"/>
  <c r="E1905" i="3"/>
  <c r="D1905" i="3"/>
  <c r="C1905" i="3"/>
  <c r="B1905" i="3"/>
  <c r="A1905" i="3"/>
  <c r="O1904" i="3"/>
  <c r="K1904" i="3"/>
  <c r="J1904" i="3"/>
  <c r="I1904" i="3"/>
  <c r="H1904" i="3"/>
  <c r="G1904" i="3"/>
  <c r="F1904" i="3"/>
  <c r="E1904" i="3"/>
  <c r="D1904" i="3"/>
  <c r="C1904" i="3"/>
  <c r="B1904" i="3"/>
  <c r="A1904" i="3"/>
  <c r="J1903" i="3"/>
  <c r="I1903" i="3"/>
  <c r="H1903" i="3"/>
  <c r="G1903" i="3"/>
  <c r="F1903" i="3"/>
  <c r="E1903" i="3"/>
  <c r="D1903" i="3"/>
  <c r="C1903" i="3"/>
  <c r="B1903" i="3"/>
  <c r="A1903" i="3"/>
  <c r="O1902" i="3"/>
  <c r="M1902" i="3"/>
  <c r="K1902" i="3"/>
  <c r="J1902" i="3"/>
  <c r="I1902" i="3"/>
  <c r="H1902" i="3"/>
  <c r="G1902" i="3"/>
  <c r="F1902" i="3"/>
  <c r="E1902" i="3"/>
  <c r="D1902" i="3"/>
  <c r="C1902" i="3"/>
  <c r="B1902" i="3"/>
  <c r="A1902" i="3"/>
  <c r="J1901" i="3"/>
  <c r="I1901" i="3"/>
  <c r="H1901" i="3"/>
  <c r="G1901" i="3"/>
  <c r="F1901" i="3"/>
  <c r="E1901" i="3"/>
  <c r="D1901" i="3"/>
  <c r="C1901" i="3"/>
  <c r="B1901" i="3"/>
  <c r="A1901" i="3"/>
  <c r="J1900" i="3"/>
  <c r="I1900" i="3"/>
  <c r="H1900" i="3"/>
  <c r="G1900" i="3"/>
  <c r="F1900" i="3"/>
  <c r="E1900" i="3"/>
  <c r="D1900" i="3"/>
  <c r="C1900" i="3"/>
  <c r="B1900" i="3"/>
  <c r="A1900" i="3"/>
  <c r="K1899" i="3"/>
  <c r="J1899" i="3"/>
  <c r="I1899" i="3"/>
  <c r="H1899" i="3"/>
  <c r="G1899" i="3"/>
  <c r="F1899" i="3"/>
  <c r="E1899" i="3"/>
  <c r="D1899" i="3"/>
  <c r="C1899" i="3"/>
  <c r="B1899" i="3"/>
  <c r="A1899" i="3"/>
  <c r="O1898" i="3"/>
  <c r="M1898" i="3"/>
  <c r="K1898" i="3"/>
  <c r="J1898" i="3"/>
  <c r="I1898" i="3"/>
  <c r="H1898" i="3"/>
  <c r="G1898" i="3"/>
  <c r="F1898" i="3"/>
  <c r="E1898" i="3"/>
  <c r="D1898" i="3"/>
  <c r="C1898" i="3"/>
  <c r="B1898" i="3"/>
  <c r="A1898" i="3"/>
  <c r="O1897" i="3"/>
  <c r="M1897" i="3"/>
  <c r="K1897" i="3"/>
  <c r="J1897" i="3"/>
  <c r="I1897" i="3"/>
  <c r="H1897" i="3"/>
  <c r="G1897" i="3"/>
  <c r="F1897" i="3"/>
  <c r="E1897" i="3"/>
  <c r="D1897" i="3"/>
  <c r="C1897" i="3"/>
  <c r="B1897" i="3"/>
  <c r="A1897" i="3"/>
  <c r="J1896" i="3"/>
  <c r="I1896" i="3"/>
  <c r="H1896" i="3"/>
  <c r="G1896" i="3"/>
  <c r="F1896" i="3"/>
  <c r="E1896" i="3"/>
  <c r="D1896" i="3"/>
  <c r="C1896" i="3"/>
  <c r="B1896" i="3"/>
  <c r="A1896" i="3"/>
  <c r="J1895" i="3"/>
  <c r="I1895" i="3"/>
  <c r="H1895" i="3"/>
  <c r="G1895" i="3"/>
  <c r="F1895" i="3"/>
  <c r="E1895" i="3"/>
  <c r="D1895" i="3"/>
  <c r="C1895" i="3"/>
  <c r="B1895" i="3"/>
  <c r="A1895" i="3"/>
  <c r="J1894" i="3"/>
  <c r="I1894" i="3"/>
  <c r="H1894" i="3"/>
  <c r="G1894" i="3"/>
  <c r="F1894" i="3"/>
  <c r="E1894" i="3"/>
  <c r="D1894" i="3"/>
  <c r="C1894" i="3"/>
  <c r="B1894" i="3"/>
  <c r="A1894" i="3"/>
  <c r="O1893" i="3"/>
  <c r="M1893" i="3"/>
  <c r="K1893" i="3"/>
  <c r="J1893" i="3"/>
  <c r="I1893" i="3"/>
  <c r="H1893" i="3"/>
  <c r="G1893" i="3"/>
  <c r="F1893" i="3"/>
  <c r="E1893" i="3"/>
  <c r="D1893" i="3"/>
  <c r="C1893" i="3"/>
  <c r="B1893" i="3"/>
  <c r="A1893" i="3"/>
  <c r="K1892" i="3"/>
  <c r="J1892" i="3"/>
  <c r="I1892" i="3"/>
  <c r="H1892" i="3"/>
  <c r="G1892" i="3"/>
  <c r="F1892" i="3"/>
  <c r="E1892" i="3"/>
  <c r="D1892" i="3"/>
  <c r="C1892" i="3"/>
  <c r="B1892" i="3"/>
  <c r="A1892" i="3"/>
  <c r="O1891" i="3"/>
  <c r="M1891" i="3"/>
  <c r="K1891" i="3"/>
  <c r="J1891" i="3"/>
  <c r="I1891" i="3"/>
  <c r="H1891" i="3"/>
  <c r="G1891" i="3"/>
  <c r="F1891" i="3"/>
  <c r="E1891" i="3"/>
  <c r="D1891" i="3"/>
  <c r="C1891" i="3"/>
  <c r="B1891" i="3"/>
  <c r="A1891" i="3"/>
  <c r="J1890" i="3"/>
  <c r="I1890" i="3"/>
  <c r="H1890" i="3"/>
  <c r="G1890" i="3"/>
  <c r="F1890" i="3"/>
  <c r="E1890" i="3"/>
  <c r="D1890" i="3"/>
  <c r="C1890" i="3"/>
  <c r="B1890" i="3"/>
  <c r="A1890" i="3"/>
  <c r="O1889" i="3"/>
  <c r="M1889" i="3"/>
  <c r="K1889" i="3"/>
  <c r="J1889" i="3"/>
  <c r="I1889" i="3"/>
  <c r="H1889" i="3"/>
  <c r="G1889" i="3"/>
  <c r="F1889" i="3"/>
  <c r="E1889" i="3"/>
  <c r="D1889" i="3"/>
  <c r="C1889" i="3"/>
  <c r="B1889" i="3"/>
  <c r="A1889" i="3"/>
  <c r="J1888" i="3"/>
  <c r="I1888" i="3"/>
  <c r="H1888" i="3"/>
  <c r="G1888" i="3"/>
  <c r="F1888" i="3"/>
  <c r="E1888" i="3"/>
  <c r="D1888" i="3"/>
  <c r="C1888" i="3"/>
  <c r="B1888" i="3"/>
  <c r="A1888" i="3"/>
  <c r="K1887" i="3"/>
  <c r="J1887" i="3"/>
  <c r="I1887" i="3"/>
  <c r="H1887" i="3"/>
  <c r="G1887" i="3"/>
  <c r="F1887" i="3"/>
  <c r="E1887" i="3"/>
  <c r="D1887" i="3"/>
  <c r="C1887" i="3"/>
  <c r="B1887" i="3"/>
  <c r="A1887" i="3"/>
  <c r="O1886" i="3"/>
  <c r="M1886" i="3"/>
  <c r="K1886" i="3"/>
  <c r="J1886" i="3"/>
  <c r="I1886" i="3"/>
  <c r="H1886" i="3"/>
  <c r="G1886" i="3"/>
  <c r="F1886" i="3"/>
  <c r="E1886" i="3"/>
  <c r="D1886" i="3"/>
  <c r="C1886" i="3"/>
  <c r="B1886" i="3"/>
  <c r="A1886" i="3"/>
  <c r="O1885" i="3"/>
  <c r="M1885" i="3"/>
  <c r="K1885" i="3"/>
  <c r="J1885" i="3"/>
  <c r="I1885" i="3"/>
  <c r="H1885" i="3"/>
  <c r="G1885" i="3"/>
  <c r="F1885" i="3"/>
  <c r="E1885" i="3"/>
  <c r="D1885" i="3"/>
  <c r="C1885" i="3"/>
  <c r="B1885" i="3"/>
  <c r="A1885" i="3"/>
  <c r="J1884" i="3"/>
  <c r="I1884" i="3"/>
  <c r="H1884" i="3"/>
  <c r="G1884" i="3"/>
  <c r="F1884" i="3"/>
  <c r="E1884" i="3"/>
  <c r="D1884" i="3"/>
  <c r="C1884" i="3"/>
  <c r="B1884" i="3"/>
  <c r="A1884" i="3"/>
  <c r="O1883" i="3"/>
  <c r="M1883" i="3"/>
  <c r="K1883" i="3"/>
  <c r="J1883" i="3"/>
  <c r="I1883" i="3"/>
  <c r="H1883" i="3"/>
  <c r="G1883" i="3"/>
  <c r="F1883" i="3"/>
  <c r="E1883" i="3"/>
  <c r="D1883" i="3"/>
  <c r="C1883" i="3"/>
  <c r="B1883" i="3"/>
  <c r="A1883" i="3"/>
  <c r="J1882" i="3"/>
  <c r="I1882" i="3"/>
  <c r="H1882" i="3"/>
  <c r="G1882" i="3"/>
  <c r="F1882" i="3"/>
  <c r="E1882" i="3"/>
  <c r="D1882" i="3"/>
  <c r="C1882" i="3"/>
  <c r="B1882" i="3"/>
  <c r="A1882" i="3"/>
  <c r="O1881" i="3"/>
  <c r="K1881" i="3"/>
  <c r="J1881" i="3"/>
  <c r="I1881" i="3"/>
  <c r="H1881" i="3"/>
  <c r="G1881" i="3"/>
  <c r="F1881" i="3"/>
  <c r="E1881" i="3"/>
  <c r="D1881" i="3"/>
  <c r="C1881" i="3"/>
  <c r="B1881" i="3"/>
  <c r="A1881" i="3"/>
  <c r="O1880" i="3"/>
  <c r="M1880" i="3"/>
  <c r="K1880" i="3"/>
  <c r="J1880" i="3"/>
  <c r="I1880" i="3"/>
  <c r="H1880" i="3"/>
  <c r="G1880" i="3"/>
  <c r="F1880" i="3"/>
  <c r="E1880" i="3"/>
  <c r="D1880" i="3"/>
  <c r="C1880" i="3"/>
  <c r="B1880" i="3"/>
  <c r="A1880" i="3"/>
  <c r="O1879" i="3"/>
  <c r="K1879" i="3"/>
  <c r="J1879" i="3"/>
  <c r="I1879" i="3"/>
  <c r="H1879" i="3"/>
  <c r="G1879" i="3"/>
  <c r="F1879" i="3"/>
  <c r="E1879" i="3"/>
  <c r="D1879" i="3"/>
  <c r="C1879" i="3"/>
  <c r="B1879" i="3"/>
  <c r="A1879" i="3"/>
  <c r="O1878" i="3"/>
  <c r="M1878" i="3"/>
  <c r="K1878" i="3"/>
  <c r="J1878" i="3"/>
  <c r="I1878" i="3"/>
  <c r="H1878" i="3"/>
  <c r="G1878" i="3"/>
  <c r="F1878" i="3"/>
  <c r="E1878" i="3"/>
  <c r="D1878" i="3"/>
  <c r="C1878" i="3"/>
  <c r="B1878" i="3"/>
  <c r="A1878" i="3"/>
  <c r="K1877" i="3"/>
  <c r="J1877" i="3"/>
  <c r="I1877" i="3"/>
  <c r="H1877" i="3"/>
  <c r="G1877" i="3"/>
  <c r="F1877" i="3"/>
  <c r="E1877" i="3"/>
  <c r="D1877" i="3"/>
  <c r="C1877" i="3"/>
  <c r="B1877" i="3"/>
  <c r="A1877" i="3"/>
  <c r="K1876" i="3"/>
  <c r="J1876" i="3"/>
  <c r="I1876" i="3"/>
  <c r="H1876" i="3"/>
  <c r="G1876" i="3"/>
  <c r="F1876" i="3"/>
  <c r="E1876" i="3"/>
  <c r="D1876" i="3"/>
  <c r="C1876" i="3"/>
  <c r="B1876" i="3"/>
  <c r="A1876" i="3"/>
  <c r="K1875" i="3"/>
  <c r="J1875" i="3"/>
  <c r="I1875" i="3"/>
  <c r="H1875" i="3"/>
  <c r="G1875" i="3"/>
  <c r="F1875" i="3"/>
  <c r="E1875" i="3"/>
  <c r="D1875" i="3"/>
  <c r="C1875" i="3"/>
  <c r="B1875" i="3"/>
  <c r="A1875" i="3"/>
  <c r="O1874" i="3"/>
  <c r="M1874" i="3"/>
  <c r="K1874" i="3"/>
  <c r="J1874" i="3"/>
  <c r="I1874" i="3"/>
  <c r="H1874" i="3"/>
  <c r="G1874" i="3"/>
  <c r="F1874" i="3"/>
  <c r="E1874" i="3"/>
  <c r="D1874" i="3"/>
  <c r="C1874" i="3"/>
  <c r="B1874" i="3"/>
  <c r="A1874" i="3"/>
  <c r="M1873" i="3"/>
  <c r="K1873" i="3"/>
  <c r="J1873" i="3"/>
  <c r="I1873" i="3"/>
  <c r="H1873" i="3"/>
  <c r="G1873" i="3"/>
  <c r="F1873" i="3"/>
  <c r="E1873" i="3"/>
  <c r="D1873" i="3"/>
  <c r="C1873" i="3"/>
  <c r="B1873" i="3"/>
  <c r="A1873" i="3"/>
  <c r="O1872" i="3"/>
  <c r="M1872" i="3"/>
  <c r="K1872" i="3"/>
  <c r="J1872" i="3"/>
  <c r="I1872" i="3"/>
  <c r="H1872" i="3"/>
  <c r="G1872" i="3"/>
  <c r="F1872" i="3"/>
  <c r="E1872" i="3"/>
  <c r="D1872" i="3"/>
  <c r="C1872" i="3"/>
  <c r="B1872" i="3"/>
  <c r="A1872" i="3"/>
  <c r="O1871" i="3"/>
  <c r="K1871" i="3"/>
  <c r="J1871" i="3"/>
  <c r="I1871" i="3"/>
  <c r="H1871" i="3"/>
  <c r="G1871" i="3"/>
  <c r="F1871" i="3"/>
  <c r="E1871" i="3"/>
  <c r="D1871" i="3"/>
  <c r="C1871" i="3"/>
  <c r="B1871" i="3"/>
  <c r="A1871" i="3"/>
  <c r="O1870" i="3"/>
  <c r="M1870" i="3"/>
  <c r="K1870" i="3"/>
  <c r="J1870" i="3"/>
  <c r="I1870" i="3"/>
  <c r="H1870" i="3"/>
  <c r="G1870" i="3"/>
  <c r="F1870" i="3"/>
  <c r="E1870" i="3"/>
  <c r="D1870" i="3"/>
  <c r="C1870" i="3"/>
  <c r="B1870" i="3"/>
  <c r="A1870" i="3"/>
  <c r="O1869" i="3"/>
  <c r="M1869" i="3"/>
  <c r="K1869" i="3"/>
  <c r="J1869" i="3"/>
  <c r="I1869" i="3"/>
  <c r="H1869" i="3"/>
  <c r="G1869" i="3"/>
  <c r="F1869" i="3"/>
  <c r="E1869" i="3"/>
  <c r="D1869" i="3"/>
  <c r="C1869" i="3"/>
  <c r="B1869" i="3"/>
  <c r="A1869" i="3"/>
  <c r="O1868" i="3"/>
  <c r="M1868" i="3"/>
  <c r="K1868" i="3"/>
  <c r="J1868" i="3"/>
  <c r="I1868" i="3"/>
  <c r="H1868" i="3"/>
  <c r="G1868" i="3"/>
  <c r="F1868" i="3"/>
  <c r="E1868" i="3"/>
  <c r="D1868" i="3"/>
  <c r="C1868" i="3"/>
  <c r="B1868" i="3"/>
  <c r="A1868" i="3"/>
  <c r="K1867" i="3"/>
  <c r="J1867" i="3"/>
  <c r="I1867" i="3"/>
  <c r="H1867" i="3"/>
  <c r="G1867" i="3"/>
  <c r="F1867" i="3"/>
  <c r="E1867" i="3"/>
  <c r="D1867" i="3"/>
  <c r="C1867" i="3"/>
  <c r="B1867" i="3"/>
  <c r="A1867" i="3"/>
  <c r="O1866" i="3"/>
  <c r="M1866" i="3"/>
  <c r="K1866" i="3"/>
  <c r="J1866" i="3"/>
  <c r="I1866" i="3"/>
  <c r="H1866" i="3"/>
  <c r="G1866" i="3"/>
  <c r="F1866" i="3"/>
  <c r="E1866" i="3"/>
  <c r="D1866" i="3"/>
  <c r="C1866" i="3"/>
  <c r="B1866" i="3"/>
  <c r="A1866" i="3"/>
  <c r="M1865" i="3"/>
  <c r="K1865" i="3"/>
  <c r="J1865" i="3"/>
  <c r="I1865" i="3"/>
  <c r="H1865" i="3"/>
  <c r="G1865" i="3"/>
  <c r="F1865" i="3"/>
  <c r="E1865" i="3"/>
  <c r="D1865" i="3"/>
  <c r="C1865" i="3"/>
  <c r="B1865" i="3"/>
  <c r="A1865" i="3"/>
  <c r="O1864" i="3"/>
  <c r="K1864" i="3"/>
  <c r="J1864" i="3"/>
  <c r="I1864" i="3"/>
  <c r="H1864" i="3"/>
  <c r="G1864" i="3"/>
  <c r="F1864" i="3"/>
  <c r="E1864" i="3"/>
  <c r="D1864" i="3"/>
  <c r="C1864" i="3"/>
  <c r="B1864" i="3"/>
  <c r="A1864" i="3"/>
  <c r="O1863" i="3"/>
  <c r="M1863" i="3"/>
  <c r="K1863" i="3"/>
  <c r="J1863" i="3"/>
  <c r="I1863" i="3"/>
  <c r="H1863" i="3"/>
  <c r="G1863" i="3"/>
  <c r="F1863" i="3"/>
  <c r="E1863" i="3"/>
  <c r="D1863" i="3"/>
  <c r="C1863" i="3"/>
  <c r="B1863" i="3"/>
  <c r="A1863" i="3"/>
  <c r="M1862" i="3"/>
  <c r="K1862" i="3"/>
  <c r="J1862" i="3"/>
  <c r="I1862" i="3"/>
  <c r="H1862" i="3"/>
  <c r="G1862" i="3"/>
  <c r="F1862" i="3"/>
  <c r="E1862" i="3"/>
  <c r="D1862" i="3"/>
  <c r="C1862" i="3"/>
  <c r="B1862" i="3"/>
  <c r="A1862" i="3"/>
  <c r="O1861" i="3"/>
  <c r="M1861" i="3"/>
  <c r="K1861" i="3"/>
  <c r="J1861" i="3"/>
  <c r="I1861" i="3"/>
  <c r="H1861" i="3"/>
  <c r="G1861" i="3"/>
  <c r="F1861" i="3"/>
  <c r="E1861" i="3"/>
  <c r="D1861" i="3"/>
  <c r="C1861" i="3"/>
  <c r="B1861" i="3"/>
  <c r="A1861" i="3"/>
  <c r="J1860" i="3"/>
  <c r="I1860" i="3"/>
  <c r="H1860" i="3"/>
  <c r="G1860" i="3"/>
  <c r="F1860" i="3"/>
  <c r="E1860" i="3"/>
  <c r="D1860" i="3"/>
  <c r="C1860" i="3"/>
  <c r="B1860" i="3"/>
  <c r="A1860" i="3"/>
  <c r="O1859" i="3"/>
  <c r="M1859" i="3"/>
  <c r="K1859" i="3"/>
  <c r="J1859" i="3"/>
  <c r="I1859" i="3"/>
  <c r="H1859" i="3"/>
  <c r="G1859" i="3"/>
  <c r="F1859" i="3"/>
  <c r="E1859" i="3"/>
  <c r="D1859" i="3"/>
  <c r="C1859" i="3"/>
  <c r="B1859" i="3"/>
  <c r="A1859" i="3"/>
  <c r="M1858" i="3"/>
  <c r="K1858" i="3"/>
  <c r="J1858" i="3"/>
  <c r="I1858" i="3"/>
  <c r="H1858" i="3"/>
  <c r="G1858" i="3"/>
  <c r="F1858" i="3"/>
  <c r="E1858" i="3"/>
  <c r="D1858" i="3"/>
  <c r="C1858" i="3"/>
  <c r="B1858" i="3"/>
  <c r="A1858" i="3"/>
  <c r="M1857" i="3"/>
  <c r="K1857" i="3"/>
  <c r="J1857" i="3"/>
  <c r="I1857" i="3"/>
  <c r="H1857" i="3"/>
  <c r="G1857" i="3"/>
  <c r="F1857" i="3"/>
  <c r="E1857" i="3"/>
  <c r="D1857" i="3"/>
  <c r="C1857" i="3"/>
  <c r="B1857" i="3"/>
  <c r="A1857" i="3"/>
  <c r="O1856" i="3"/>
  <c r="K1856" i="3"/>
  <c r="J1856" i="3"/>
  <c r="I1856" i="3"/>
  <c r="H1856" i="3"/>
  <c r="G1856" i="3"/>
  <c r="F1856" i="3"/>
  <c r="E1856" i="3"/>
  <c r="D1856" i="3"/>
  <c r="C1856" i="3"/>
  <c r="B1856" i="3"/>
  <c r="A1856" i="3"/>
  <c r="O1855" i="3"/>
  <c r="K1855" i="3"/>
  <c r="J1855" i="3"/>
  <c r="I1855" i="3"/>
  <c r="H1855" i="3"/>
  <c r="G1855" i="3"/>
  <c r="F1855" i="3"/>
  <c r="E1855" i="3"/>
  <c r="D1855" i="3"/>
  <c r="C1855" i="3"/>
  <c r="B1855" i="3"/>
  <c r="A1855" i="3"/>
  <c r="J1854" i="3"/>
  <c r="I1854" i="3"/>
  <c r="H1854" i="3"/>
  <c r="G1854" i="3"/>
  <c r="F1854" i="3"/>
  <c r="E1854" i="3"/>
  <c r="D1854" i="3"/>
  <c r="C1854" i="3"/>
  <c r="B1854" i="3"/>
  <c r="A1854" i="3"/>
  <c r="J1853" i="3"/>
  <c r="I1853" i="3"/>
  <c r="H1853" i="3"/>
  <c r="G1853" i="3"/>
  <c r="F1853" i="3"/>
  <c r="E1853" i="3"/>
  <c r="D1853" i="3"/>
  <c r="C1853" i="3"/>
  <c r="B1853" i="3"/>
  <c r="A1853" i="3"/>
  <c r="O1852" i="3"/>
  <c r="M1852" i="3"/>
  <c r="K1852" i="3"/>
  <c r="J1852" i="3"/>
  <c r="I1852" i="3"/>
  <c r="H1852" i="3"/>
  <c r="G1852" i="3"/>
  <c r="F1852" i="3"/>
  <c r="E1852" i="3"/>
  <c r="D1852" i="3"/>
  <c r="C1852" i="3"/>
  <c r="B1852" i="3"/>
  <c r="A1852" i="3"/>
  <c r="O1851" i="3"/>
  <c r="M1851" i="3"/>
  <c r="K1851" i="3"/>
  <c r="J1851" i="3"/>
  <c r="I1851" i="3"/>
  <c r="H1851" i="3"/>
  <c r="G1851" i="3"/>
  <c r="F1851" i="3"/>
  <c r="E1851" i="3"/>
  <c r="D1851" i="3"/>
  <c r="C1851" i="3"/>
  <c r="B1851" i="3"/>
  <c r="A1851" i="3"/>
  <c r="J1850" i="3"/>
  <c r="I1850" i="3"/>
  <c r="H1850" i="3"/>
  <c r="G1850" i="3"/>
  <c r="F1850" i="3"/>
  <c r="E1850" i="3"/>
  <c r="D1850" i="3"/>
  <c r="C1850" i="3"/>
  <c r="B1850" i="3"/>
  <c r="A1850" i="3"/>
  <c r="O1849" i="3"/>
  <c r="M1849" i="3"/>
  <c r="K1849" i="3"/>
  <c r="J1849" i="3"/>
  <c r="I1849" i="3"/>
  <c r="H1849" i="3"/>
  <c r="G1849" i="3"/>
  <c r="F1849" i="3"/>
  <c r="E1849" i="3"/>
  <c r="D1849" i="3"/>
  <c r="C1849" i="3"/>
  <c r="B1849" i="3"/>
  <c r="A1849" i="3"/>
  <c r="J1848" i="3"/>
  <c r="I1848" i="3"/>
  <c r="H1848" i="3"/>
  <c r="G1848" i="3"/>
  <c r="F1848" i="3"/>
  <c r="E1848" i="3"/>
  <c r="D1848" i="3"/>
  <c r="C1848" i="3"/>
  <c r="B1848" i="3"/>
  <c r="A1848" i="3"/>
  <c r="J1847" i="3"/>
  <c r="I1847" i="3"/>
  <c r="H1847" i="3"/>
  <c r="G1847" i="3"/>
  <c r="F1847" i="3"/>
  <c r="E1847" i="3"/>
  <c r="D1847" i="3"/>
  <c r="C1847" i="3"/>
  <c r="B1847" i="3"/>
  <c r="A1847" i="3"/>
  <c r="J1846" i="3"/>
  <c r="I1846" i="3"/>
  <c r="H1846" i="3"/>
  <c r="G1846" i="3"/>
  <c r="F1846" i="3"/>
  <c r="E1846" i="3"/>
  <c r="D1846" i="3"/>
  <c r="C1846" i="3"/>
  <c r="B1846" i="3"/>
  <c r="A1846" i="3"/>
  <c r="J1845" i="3"/>
  <c r="I1845" i="3"/>
  <c r="H1845" i="3"/>
  <c r="G1845" i="3"/>
  <c r="F1845" i="3"/>
  <c r="E1845" i="3"/>
  <c r="D1845" i="3"/>
  <c r="C1845" i="3"/>
  <c r="B1845" i="3"/>
  <c r="A1845" i="3"/>
  <c r="O1844" i="3"/>
  <c r="M1844" i="3"/>
  <c r="K1844" i="3"/>
  <c r="J1844" i="3"/>
  <c r="I1844" i="3"/>
  <c r="H1844" i="3"/>
  <c r="G1844" i="3"/>
  <c r="F1844" i="3"/>
  <c r="E1844" i="3"/>
  <c r="D1844" i="3"/>
  <c r="C1844" i="3"/>
  <c r="B1844" i="3"/>
  <c r="A1844" i="3"/>
  <c r="J1843" i="3"/>
  <c r="I1843" i="3"/>
  <c r="H1843" i="3"/>
  <c r="G1843" i="3"/>
  <c r="F1843" i="3"/>
  <c r="E1843" i="3"/>
  <c r="D1843" i="3"/>
  <c r="C1843" i="3"/>
  <c r="B1843" i="3"/>
  <c r="A1843" i="3"/>
  <c r="O1842" i="3"/>
  <c r="M1842" i="3"/>
  <c r="K1842" i="3"/>
  <c r="J1842" i="3"/>
  <c r="I1842" i="3"/>
  <c r="H1842" i="3"/>
  <c r="G1842" i="3"/>
  <c r="F1842" i="3"/>
  <c r="E1842" i="3"/>
  <c r="D1842" i="3"/>
  <c r="C1842" i="3"/>
  <c r="B1842" i="3"/>
  <c r="A1842" i="3"/>
  <c r="O1841" i="3"/>
  <c r="M1841" i="3"/>
  <c r="K1841" i="3"/>
  <c r="J1841" i="3"/>
  <c r="I1841" i="3"/>
  <c r="H1841" i="3"/>
  <c r="G1841" i="3"/>
  <c r="F1841" i="3"/>
  <c r="E1841" i="3"/>
  <c r="D1841" i="3"/>
  <c r="C1841" i="3"/>
  <c r="B1841" i="3"/>
  <c r="A1841" i="3"/>
  <c r="O1840" i="3"/>
  <c r="M1840" i="3"/>
  <c r="K1840" i="3"/>
  <c r="J1840" i="3"/>
  <c r="I1840" i="3"/>
  <c r="H1840" i="3"/>
  <c r="G1840" i="3"/>
  <c r="F1840" i="3"/>
  <c r="E1840" i="3"/>
  <c r="D1840" i="3"/>
  <c r="C1840" i="3"/>
  <c r="B1840" i="3"/>
  <c r="A1840" i="3"/>
  <c r="O1839" i="3"/>
  <c r="M1839" i="3"/>
  <c r="K1839" i="3"/>
  <c r="J1839" i="3"/>
  <c r="I1839" i="3"/>
  <c r="H1839" i="3"/>
  <c r="G1839" i="3"/>
  <c r="F1839" i="3"/>
  <c r="E1839" i="3"/>
  <c r="D1839" i="3"/>
  <c r="C1839" i="3"/>
  <c r="B1839" i="3"/>
  <c r="A1839" i="3"/>
  <c r="J1838" i="3"/>
  <c r="I1838" i="3"/>
  <c r="H1838" i="3"/>
  <c r="G1838" i="3"/>
  <c r="F1838" i="3"/>
  <c r="E1838" i="3"/>
  <c r="D1838" i="3"/>
  <c r="C1838" i="3"/>
  <c r="B1838" i="3"/>
  <c r="A1838" i="3"/>
  <c r="O1837" i="3"/>
  <c r="M1837" i="3"/>
  <c r="K1837" i="3"/>
  <c r="J1837" i="3"/>
  <c r="I1837" i="3"/>
  <c r="H1837" i="3"/>
  <c r="G1837" i="3"/>
  <c r="F1837" i="3"/>
  <c r="E1837" i="3"/>
  <c r="D1837" i="3"/>
  <c r="C1837" i="3"/>
  <c r="B1837" i="3"/>
  <c r="A1837" i="3"/>
  <c r="J1836" i="3"/>
  <c r="I1836" i="3"/>
  <c r="H1836" i="3"/>
  <c r="G1836" i="3"/>
  <c r="F1836" i="3"/>
  <c r="E1836" i="3"/>
  <c r="D1836" i="3"/>
  <c r="C1836" i="3"/>
  <c r="B1836" i="3"/>
  <c r="A1836" i="3"/>
  <c r="O1835" i="3"/>
  <c r="M1835" i="3"/>
  <c r="K1835" i="3"/>
  <c r="J1835" i="3"/>
  <c r="I1835" i="3"/>
  <c r="H1835" i="3"/>
  <c r="G1835" i="3"/>
  <c r="F1835" i="3"/>
  <c r="E1835" i="3"/>
  <c r="D1835" i="3"/>
  <c r="C1835" i="3"/>
  <c r="B1835" i="3"/>
  <c r="A1835" i="3"/>
  <c r="K1834" i="3"/>
  <c r="J1834" i="3"/>
  <c r="I1834" i="3"/>
  <c r="H1834" i="3"/>
  <c r="G1834" i="3"/>
  <c r="F1834" i="3"/>
  <c r="E1834" i="3"/>
  <c r="D1834" i="3"/>
  <c r="C1834" i="3"/>
  <c r="B1834" i="3"/>
  <c r="A1834" i="3"/>
  <c r="O1833" i="3"/>
  <c r="M1833" i="3"/>
  <c r="K1833" i="3"/>
  <c r="J1833" i="3"/>
  <c r="I1833" i="3"/>
  <c r="H1833" i="3"/>
  <c r="G1833" i="3"/>
  <c r="F1833" i="3"/>
  <c r="E1833" i="3"/>
  <c r="D1833" i="3"/>
  <c r="C1833" i="3"/>
  <c r="B1833" i="3"/>
  <c r="A1833" i="3"/>
  <c r="J1832" i="3"/>
  <c r="I1832" i="3"/>
  <c r="H1832" i="3"/>
  <c r="G1832" i="3"/>
  <c r="F1832" i="3"/>
  <c r="E1832" i="3"/>
  <c r="D1832" i="3"/>
  <c r="C1832" i="3"/>
  <c r="B1832" i="3"/>
  <c r="A1832" i="3"/>
  <c r="J1831" i="3"/>
  <c r="I1831" i="3"/>
  <c r="H1831" i="3"/>
  <c r="G1831" i="3"/>
  <c r="F1831" i="3"/>
  <c r="E1831" i="3"/>
  <c r="D1831" i="3"/>
  <c r="C1831" i="3"/>
  <c r="B1831" i="3"/>
  <c r="A1831" i="3"/>
  <c r="O1830" i="3"/>
  <c r="M1830" i="3"/>
  <c r="K1830" i="3"/>
  <c r="J1830" i="3"/>
  <c r="I1830" i="3"/>
  <c r="H1830" i="3"/>
  <c r="G1830" i="3"/>
  <c r="F1830" i="3"/>
  <c r="E1830" i="3"/>
  <c r="D1830" i="3"/>
  <c r="C1830" i="3"/>
  <c r="B1830" i="3"/>
  <c r="A1830" i="3"/>
  <c r="J1829" i="3"/>
  <c r="I1829" i="3"/>
  <c r="H1829" i="3"/>
  <c r="G1829" i="3"/>
  <c r="F1829" i="3"/>
  <c r="E1829" i="3"/>
  <c r="D1829" i="3"/>
  <c r="C1829" i="3"/>
  <c r="B1829" i="3"/>
  <c r="A1829" i="3"/>
  <c r="M1828" i="3"/>
  <c r="K1828" i="3"/>
  <c r="J1828" i="3"/>
  <c r="I1828" i="3"/>
  <c r="H1828" i="3"/>
  <c r="G1828" i="3"/>
  <c r="F1828" i="3"/>
  <c r="E1828" i="3"/>
  <c r="D1828" i="3"/>
  <c r="C1828" i="3"/>
  <c r="B1828" i="3"/>
  <c r="A1828" i="3"/>
  <c r="O1827" i="3"/>
  <c r="M1827" i="3"/>
  <c r="K1827" i="3"/>
  <c r="J1827" i="3"/>
  <c r="I1827" i="3"/>
  <c r="H1827" i="3"/>
  <c r="G1827" i="3"/>
  <c r="F1827" i="3"/>
  <c r="E1827" i="3"/>
  <c r="D1827" i="3"/>
  <c r="C1827" i="3"/>
  <c r="B1827" i="3"/>
  <c r="A1827" i="3"/>
  <c r="J1826" i="3"/>
  <c r="I1826" i="3"/>
  <c r="H1826" i="3"/>
  <c r="G1826" i="3"/>
  <c r="F1826" i="3"/>
  <c r="E1826" i="3"/>
  <c r="D1826" i="3"/>
  <c r="C1826" i="3"/>
  <c r="B1826" i="3"/>
  <c r="A1826" i="3"/>
  <c r="J1825" i="3"/>
  <c r="I1825" i="3"/>
  <c r="H1825" i="3"/>
  <c r="G1825" i="3"/>
  <c r="F1825" i="3"/>
  <c r="E1825" i="3"/>
  <c r="D1825" i="3"/>
  <c r="C1825" i="3"/>
  <c r="B1825" i="3"/>
  <c r="A1825" i="3"/>
  <c r="J1824" i="3"/>
  <c r="I1824" i="3"/>
  <c r="H1824" i="3"/>
  <c r="G1824" i="3"/>
  <c r="F1824" i="3"/>
  <c r="E1824" i="3"/>
  <c r="D1824" i="3"/>
  <c r="C1824" i="3"/>
  <c r="B1824" i="3"/>
  <c r="A1824" i="3"/>
  <c r="J1823" i="3"/>
  <c r="I1823" i="3"/>
  <c r="H1823" i="3"/>
  <c r="G1823" i="3"/>
  <c r="F1823" i="3"/>
  <c r="E1823" i="3"/>
  <c r="D1823" i="3"/>
  <c r="C1823" i="3"/>
  <c r="B1823" i="3"/>
  <c r="A1823" i="3"/>
  <c r="J1822" i="3"/>
  <c r="I1822" i="3"/>
  <c r="H1822" i="3"/>
  <c r="G1822" i="3"/>
  <c r="F1822" i="3"/>
  <c r="E1822" i="3"/>
  <c r="D1822" i="3"/>
  <c r="C1822" i="3"/>
  <c r="B1822" i="3"/>
  <c r="A1822" i="3"/>
  <c r="J1821" i="3"/>
  <c r="I1821" i="3"/>
  <c r="H1821" i="3"/>
  <c r="G1821" i="3"/>
  <c r="F1821" i="3"/>
  <c r="E1821" i="3"/>
  <c r="D1821" i="3"/>
  <c r="C1821" i="3"/>
  <c r="B1821" i="3"/>
  <c r="A1821" i="3"/>
  <c r="J1820" i="3"/>
  <c r="I1820" i="3"/>
  <c r="H1820" i="3"/>
  <c r="G1820" i="3"/>
  <c r="F1820" i="3"/>
  <c r="E1820" i="3"/>
  <c r="D1820" i="3"/>
  <c r="C1820" i="3"/>
  <c r="B1820" i="3"/>
  <c r="A1820" i="3"/>
  <c r="J1819" i="3"/>
  <c r="I1819" i="3"/>
  <c r="H1819" i="3"/>
  <c r="G1819" i="3"/>
  <c r="F1819" i="3"/>
  <c r="E1819" i="3"/>
  <c r="D1819" i="3"/>
  <c r="C1819" i="3"/>
  <c r="B1819" i="3"/>
  <c r="A1819" i="3"/>
  <c r="J1818" i="3"/>
  <c r="I1818" i="3"/>
  <c r="H1818" i="3"/>
  <c r="G1818" i="3"/>
  <c r="F1818" i="3"/>
  <c r="E1818" i="3"/>
  <c r="D1818" i="3"/>
  <c r="C1818" i="3"/>
  <c r="B1818" i="3"/>
  <c r="A1818" i="3"/>
  <c r="J1817" i="3"/>
  <c r="I1817" i="3"/>
  <c r="H1817" i="3"/>
  <c r="G1817" i="3"/>
  <c r="F1817" i="3"/>
  <c r="E1817" i="3"/>
  <c r="D1817" i="3"/>
  <c r="C1817" i="3"/>
  <c r="B1817" i="3"/>
  <c r="A1817" i="3"/>
  <c r="J1816" i="3"/>
  <c r="I1816" i="3"/>
  <c r="H1816" i="3"/>
  <c r="G1816" i="3"/>
  <c r="F1816" i="3"/>
  <c r="E1816" i="3"/>
  <c r="D1816" i="3"/>
  <c r="C1816" i="3"/>
  <c r="B1816" i="3"/>
  <c r="A1816" i="3"/>
  <c r="J1815" i="3"/>
  <c r="I1815" i="3"/>
  <c r="H1815" i="3"/>
  <c r="G1815" i="3"/>
  <c r="F1815" i="3"/>
  <c r="E1815" i="3"/>
  <c r="D1815" i="3"/>
  <c r="C1815" i="3"/>
  <c r="B1815" i="3"/>
  <c r="A1815" i="3"/>
  <c r="O1814" i="3"/>
  <c r="K1814" i="3"/>
  <c r="J1814" i="3"/>
  <c r="I1814" i="3"/>
  <c r="H1814" i="3"/>
  <c r="G1814" i="3"/>
  <c r="F1814" i="3"/>
  <c r="E1814" i="3"/>
  <c r="D1814" i="3"/>
  <c r="C1814" i="3"/>
  <c r="B1814" i="3"/>
  <c r="A1814" i="3"/>
  <c r="J1813" i="3"/>
  <c r="I1813" i="3"/>
  <c r="H1813" i="3"/>
  <c r="G1813" i="3"/>
  <c r="F1813" i="3"/>
  <c r="E1813" i="3"/>
  <c r="D1813" i="3"/>
  <c r="C1813" i="3"/>
  <c r="B1813" i="3"/>
  <c r="A1813" i="3"/>
  <c r="J1812" i="3"/>
  <c r="I1812" i="3"/>
  <c r="H1812" i="3"/>
  <c r="G1812" i="3"/>
  <c r="F1812" i="3"/>
  <c r="E1812" i="3"/>
  <c r="D1812" i="3"/>
  <c r="C1812" i="3"/>
  <c r="B1812" i="3"/>
  <c r="A1812" i="3"/>
  <c r="K1811" i="3"/>
  <c r="J1811" i="3"/>
  <c r="I1811" i="3"/>
  <c r="H1811" i="3"/>
  <c r="G1811" i="3"/>
  <c r="F1811" i="3"/>
  <c r="E1811" i="3"/>
  <c r="D1811" i="3"/>
  <c r="C1811" i="3"/>
  <c r="B1811" i="3"/>
  <c r="A1811" i="3"/>
  <c r="J1810" i="3"/>
  <c r="I1810" i="3"/>
  <c r="H1810" i="3"/>
  <c r="G1810" i="3"/>
  <c r="F1810" i="3"/>
  <c r="E1810" i="3"/>
  <c r="D1810" i="3"/>
  <c r="C1810" i="3"/>
  <c r="B1810" i="3"/>
  <c r="A1810" i="3"/>
  <c r="J1809" i="3"/>
  <c r="I1809" i="3"/>
  <c r="H1809" i="3"/>
  <c r="G1809" i="3"/>
  <c r="F1809" i="3"/>
  <c r="E1809" i="3"/>
  <c r="D1809" i="3"/>
  <c r="C1809" i="3"/>
  <c r="B1809" i="3"/>
  <c r="A1809" i="3"/>
  <c r="J1808" i="3"/>
  <c r="I1808" i="3"/>
  <c r="H1808" i="3"/>
  <c r="G1808" i="3"/>
  <c r="F1808" i="3"/>
  <c r="E1808" i="3"/>
  <c r="D1808" i="3"/>
  <c r="C1808" i="3"/>
  <c r="B1808" i="3"/>
  <c r="A1808" i="3"/>
  <c r="J1807" i="3"/>
  <c r="I1807" i="3"/>
  <c r="H1807" i="3"/>
  <c r="G1807" i="3"/>
  <c r="F1807" i="3"/>
  <c r="E1807" i="3"/>
  <c r="D1807" i="3"/>
  <c r="C1807" i="3"/>
  <c r="B1807" i="3"/>
  <c r="A1807" i="3"/>
  <c r="O1806" i="3"/>
  <c r="M1806" i="3"/>
  <c r="K1806" i="3"/>
  <c r="J1806" i="3"/>
  <c r="I1806" i="3"/>
  <c r="H1806" i="3"/>
  <c r="G1806" i="3"/>
  <c r="F1806" i="3"/>
  <c r="E1806" i="3"/>
  <c r="D1806" i="3"/>
  <c r="C1806" i="3"/>
  <c r="B1806" i="3"/>
  <c r="A1806" i="3"/>
  <c r="J1805" i="3"/>
  <c r="I1805" i="3"/>
  <c r="H1805" i="3"/>
  <c r="G1805" i="3"/>
  <c r="F1805" i="3"/>
  <c r="E1805" i="3"/>
  <c r="D1805" i="3"/>
  <c r="C1805" i="3"/>
  <c r="B1805" i="3"/>
  <c r="A1805" i="3"/>
  <c r="J1804" i="3"/>
  <c r="I1804" i="3"/>
  <c r="H1804" i="3"/>
  <c r="G1804" i="3"/>
  <c r="F1804" i="3"/>
  <c r="E1804" i="3"/>
  <c r="D1804" i="3"/>
  <c r="C1804" i="3"/>
  <c r="B1804" i="3"/>
  <c r="A1804" i="3"/>
  <c r="J1803" i="3"/>
  <c r="I1803" i="3"/>
  <c r="H1803" i="3"/>
  <c r="G1803" i="3"/>
  <c r="F1803" i="3"/>
  <c r="E1803" i="3"/>
  <c r="D1803" i="3"/>
  <c r="C1803" i="3"/>
  <c r="B1803" i="3"/>
  <c r="A1803" i="3"/>
  <c r="J1802" i="3"/>
  <c r="I1802" i="3"/>
  <c r="H1802" i="3"/>
  <c r="G1802" i="3"/>
  <c r="F1802" i="3"/>
  <c r="E1802" i="3"/>
  <c r="D1802" i="3"/>
  <c r="C1802" i="3"/>
  <c r="B1802" i="3"/>
  <c r="A1802" i="3"/>
  <c r="M1801" i="3"/>
  <c r="K1801" i="3"/>
  <c r="J1801" i="3"/>
  <c r="I1801" i="3"/>
  <c r="H1801" i="3"/>
  <c r="G1801" i="3"/>
  <c r="F1801" i="3"/>
  <c r="E1801" i="3"/>
  <c r="D1801" i="3"/>
  <c r="C1801" i="3"/>
  <c r="B1801" i="3"/>
  <c r="A1801" i="3"/>
  <c r="K1800" i="3"/>
  <c r="J1800" i="3"/>
  <c r="I1800" i="3"/>
  <c r="H1800" i="3"/>
  <c r="G1800" i="3"/>
  <c r="F1800" i="3"/>
  <c r="E1800" i="3"/>
  <c r="D1800" i="3"/>
  <c r="C1800" i="3"/>
  <c r="B1800" i="3"/>
  <c r="A1800" i="3"/>
  <c r="J1799" i="3"/>
  <c r="I1799" i="3"/>
  <c r="H1799" i="3"/>
  <c r="G1799" i="3"/>
  <c r="F1799" i="3"/>
  <c r="E1799" i="3"/>
  <c r="D1799" i="3"/>
  <c r="C1799" i="3"/>
  <c r="B1799" i="3"/>
  <c r="A1799" i="3"/>
  <c r="O1798" i="3"/>
  <c r="M1798" i="3"/>
  <c r="K1798" i="3"/>
  <c r="J1798" i="3"/>
  <c r="I1798" i="3"/>
  <c r="H1798" i="3"/>
  <c r="G1798" i="3"/>
  <c r="F1798" i="3"/>
  <c r="E1798" i="3"/>
  <c r="D1798" i="3"/>
  <c r="C1798" i="3"/>
  <c r="B1798" i="3"/>
  <c r="A1798" i="3"/>
  <c r="J1797" i="3"/>
  <c r="I1797" i="3"/>
  <c r="H1797" i="3"/>
  <c r="G1797" i="3"/>
  <c r="F1797" i="3"/>
  <c r="E1797" i="3"/>
  <c r="D1797" i="3"/>
  <c r="C1797" i="3"/>
  <c r="B1797" i="3"/>
  <c r="A1797" i="3"/>
  <c r="J1796" i="3"/>
  <c r="I1796" i="3"/>
  <c r="H1796" i="3"/>
  <c r="G1796" i="3"/>
  <c r="F1796" i="3"/>
  <c r="E1796" i="3"/>
  <c r="D1796" i="3"/>
  <c r="C1796" i="3"/>
  <c r="B1796" i="3"/>
  <c r="A1796" i="3"/>
  <c r="O1795" i="3"/>
  <c r="M1795" i="3"/>
  <c r="K1795" i="3"/>
  <c r="J1795" i="3"/>
  <c r="I1795" i="3"/>
  <c r="H1795" i="3"/>
  <c r="G1795" i="3"/>
  <c r="F1795" i="3"/>
  <c r="E1795" i="3"/>
  <c r="D1795" i="3"/>
  <c r="C1795" i="3"/>
  <c r="B1795" i="3"/>
  <c r="A1795" i="3"/>
  <c r="J1794" i="3"/>
  <c r="I1794" i="3"/>
  <c r="H1794" i="3"/>
  <c r="G1794" i="3"/>
  <c r="F1794" i="3"/>
  <c r="E1794" i="3"/>
  <c r="D1794" i="3"/>
  <c r="C1794" i="3"/>
  <c r="B1794" i="3"/>
  <c r="A1794" i="3"/>
  <c r="M1793" i="3"/>
  <c r="K1793" i="3"/>
  <c r="J1793" i="3"/>
  <c r="I1793" i="3"/>
  <c r="H1793" i="3"/>
  <c r="G1793" i="3"/>
  <c r="F1793" i="3"/>
  <c r="E1793" i="3"/>
  <c r="D1793" i="3"/>
  <c r="C1793" i="3"/>
  <c r="B1793" i="3"/>
  <c r="A1793" i="3"/>
  <c r="J1792" i="3"/>
  <c r="I1792" i="3"/>
  <c r="H1792" i="3"/>
  <c r="G1792" i="3"/>
  <c r="F1792" i="3"/>
  <c r="E1792" i="3"/>
  <c r="D1792" i="3"/>
  <c r="C1792" i="3"/>
  <c r="B1792" i="3"/>
  <c r="A1792" i="3"/>
  <c r="O1791" i="3"/>
  <c r="M1791" i="3"/>
  <c r="K1791" i="3"/>
  <c r="J1791" i="3"/>
  <c r="I1791" i="3"/>
  <c r="H1791" i="3"/>
  <c r="G1791" i="3"/>
  <c r="F1791" i="3"/>
  <c r="E1791" i="3"/>
  <c r="D1791" i="3"/>
  <c r="C1791" i="3"/>
  <c r="B1791" i="3"/>
  <c r="A1791" i="3"/>
  <c r="J1790" i="3"/>
  <c r="I1790" i="3"/>
  <c r="H1790" i="3"/>
  <c r="G1790" i="3"/>
  <c r="F1790" i="3"/>
  <c r="E1790" i="3"/>
  <c r="D1790" i="3"/>
  <c r="C1790" i="3"/>
  <c r="B1790" i="3"/>
  <c r="A1790" i="3"/>
  <c r="O1789" i="3"/>
  <c r="K1789" i="3"/>
  <c r="J1789" i="3"/>
  <c r="I1789" i="3"/>
  <c r="H1789" i="3"/>
  <c r="G1789" i="3"/>
  <c r="F1789" i="3"/>
  <c r="E1789" i="3"/>
  <c r="D1789" i="3"/>
  <c r="C1789" i="3"/>
  <c r="B1789" i="3"/>
  <c r="A1789" i="3"/>
  <c r="O1788" i="3"/>
  <c r="M1788" i="3"/>
  <c r="K1788" i="3"/>
  <c r="J1788" i="3"/>
  <c r="I1788" i="3"/>
  <c r="H1788" i="3"/>
  <c r="G1788" i="3"/>
  <c r="F1788" i="3"/>
  <c r="E1788" i="3"/>
  <c r="D1788" i="3"/>
  <c r="C1788" i="3"/>
  <c r="B1788" i="3"/>
  <c r="A1788" i="3"/>
  <c r="O1787" i="3"/>
  <c r="M1787" i="3"/>
  <c r="K1787" i="3"/>
  <c r="J1787" i="3"/>
  <c r="I1787" i="3"/>
  <c r="H1787" i="3"/>
  <c r="G1787" i="3"/>
  <c r="F1787" i="3"/>
  <c r="E1787" i="3"/>
  <c r="D1787" i="3"/>
  <c r="C1787" i="3"/>
  <c r="B1787" i="3"/>
  <c r="A1787" i="3"/>
  <c r="O1786" i="3"/>
  <c r="M1786" i="3"/>
  <c r="K1786" i="3"/>
  <c r="J1786" i="3"/>
  <c r="I1786" i="3"/>
  <c r="H1786" i="3"/>
  <c r="G1786" i="3"/>
  <c r="F1786" i="3"/>
  <c r="E1786" i="3"/>
  <c r="D1786" i="3"/>
  <c r="C1786" i="3"/>
  <c r="B1786" i="3"/>
  <c r="A1786" i="3"/>
  <c r="O1785" i="3"/>
  <c r="M1785" i="3"/>
  <c r="K1785" i="3"/>
  <c r="J1785" i="3"/>
  <c r="I1785" i="3"/>
  <c r="H1785" i="3"/>
  <c r="G1785" i="3"/>
  <c r="F1785" i="3"/>
  <c r="E1785" i="3"/>
  <c r="D1785" i="3"/>
  <c r="C1785" i="3"/>
  <c r="B1785" i="3"/>
  <c r="A1785" i="3"/>
  <c r="O1784" i="3"/>
  <c r="M1784" i="3"/>
  <c r="K1784" i="3"/>
  <c r="J1784" i="3"/>
  <c r="I1784" i="3"/>
  <c r="H1784" i="3"/>
  <c r="G1784" i="3"/>
  <c r="F1784" i="3"/>
  <c r="E1784" i="3"/>
  <c r="D1784" i="3"/>
  <c r="C1784" i="3"/>
  <c r="B1784" i="3"/>
  <c r="A1784" i="3"/>
  <c r="O1783" i="3"/>
  <c r="M1783" i="3"/>
  <c r="K1783" i="3"/>
  <c r="J1783" i="3"/>
  <c r="I1783" i="3"/>
  <c r="H1783" i="3"/>
  <c r="G1783" i="3"/>
  <c r="F1783" i="3"/>
  <c r="E1783" i="3"/>
  <c r="D1783" i="3"/>
  <c r="C1783" i="3"/>
  <c r="B1783" i="3"/>
  <c r="A1783" i="3"/>
  <c r="O1782" i="3"/>
  <c r="K1782" i="3"/>
  <c r="J1782" i="3"/>
  <c r="I1782" i="3"/>
  <c r="H1782" i="3"/>
  <c r="G1782" i="3"/>
  <c r="F1782" i="3"/>
  <c r="E1782" i="3"/>
  <c r="D1782" i="3"/>
  <c r="C1782" i="3"/>
  <c r="B1782" i="3"/>
  <c r="A1782" i="3"/>
  <c r="J1781" i="3"/>
  <c r="I1781" i="3"/>
  <c r="H1781" i="3"/>
  <c r="G1781" i="3"/>
  <c r="F1781" i="3"/>
  <c r="E1781" i="3"/>
  <c r="D1781" i="3"/>
  <c r="C1781" i="3"/>
  <c r="B1781" i="3"/>
  <c r="A1781" i="3"/>
  <c r="O1780" i="3"/>
  <c r="M1780" i="3"/>
  <c r="K1780" i="3"/>
  <c r="J1780" i="3"/>
  <c r="I1780" i="3"/>
  <c r="H1780" i="3"/>
  <c r="G1780" i="3"/>
  <c r="F1780" i="3"/>
  <c r="E1780" i="3"/>
  <c r="D1780" i="3"/>
  <c r="C1780" i="3"/>
  <c r="B1780" i="3"/>
  <c r="A1780" i="3"/>
  <c r="J1779" i="3"/>
  <c r="I1779" i="3"/>
  <c r="H1779" i="3"/>
  <c r="G1779" i="3"/>
  <c r="F1779" i="3"/>
  <c r="E1779" i="3"/>
  <c r="D1779" i="3"/>
  <c r="C1779" i="3"/>
  <c r="B1779" i="3"/>
  <c r="A1779" i="3"/>
  <c r="J1778" i="3"/>
  <c r="I1778" i="3"/>
  <c r="H1778" i="3"/>
  <c r="G1778" i="3"/>
  <c r="F1778" i="3"/>
  <c r="E1778" i="3"/>
  <c r="D1778" i="3"/>
  <c r="C1778" i="3"/>
  <c r="B1778" i="3"/>
  <c r="A1778" i="3"/>
  <c r="J1777" i="3"/>
  <c r="I1777" i="3"/>
  <c r="H1777" i="3"/>
  <c r="G1777" i="3"/>
  <c r="F1777" i="3"/>
  <c r="E1777" i="3"/>
  <c r="D1777" i="3"/>
  <c r="C1777" i="3"/>
  <c r="B1777" i="3"/>
  <c r="A1777" i="3"/>
  <c r="J1776" i="3"/>
  <c r="I1776" i="3"/>
  <c r="H1776" i="3"/>
  <c r="G1776" i="3"/>
  <c r="F1776" i="3"/>
  <c r="E1776" i="3"/>
  <c r="D1776" i="3"/>
  <c r="C1776" i="3"/>
  <c r="B1776" i="3"/>
  <c r="A1776" i="3"/>
  <c r="J1775" i="3"/>
  <c r="I1775" i="3"/>
  <c r="H1775" i="3"/>
  <c r="G1775" i="3"/>
  <c r="F1775" i="3"/>
  <c r="E1775" i="3"/>
  <c r="D1775" i="3"/>
  <c r="C1775" i="3"/>
  <c r="B1775" i="3"/>
  <c r="A1775" i="3"/>
  <c r="O1774" i="3"/>
  <c r="M1774" i="3"/>
  <c r="K1774" i="3"/>
  <c r="J1774" i="3"/>
  <c r="I1774" i="3"/>
  <c r="H1774" i="3"/>
  <c r="G1774" i="3"/>
  <c r="F1774" i="3"/>
  <c r="E1774" i="3"/>
  <c r="D1774" i="3"/>
  <c r="C1774" i="3"/>
  <c r="B1774" i="3"/>
  <c r="A1774" i="3"/>
  <c r="O1773" i="3"/>
  <c r="M1773" i="3"/>
  <c r="K1773" i="3"/>
  <c r="J1773" i="3"/>
  <c r="I1773" i="3"/>
  <c r="H1773" i="3"/>
  <c r="G1773" i="3"/>
  <c r="F1773" i="3"/>
  <c r="E1773" i="3"/>
  <c r="D1773" i="3"/>
  <c r="C1773" i="3"/>
  <c r="B1773" i="3"/>
  <c r="A1773" i="3"/>
  <c r="O1772" i="3"/>
  <c r="K1772" i="3"/>
  <c r="J1772" i="3"/>
  <c r="I1772" i="3"/>
  <c r="H1772" i="3"/>
  <c r="G1772" i="3"/>
  <c r="F1772" i="3"/>
  <c r="E1772" i="3"/>
  <c r="D1772" i="3"/>
  <c r="C1772" i="3"/>
  <c r="B1772" i="3"/>
  <c r="A1772" i="3"/>
  <c r="O1771" i="3"/>
  <c r="M1771" i="3"/>
  <c r="K1771" i="3"/>
  <c r="J1771" i="3"/>
  <c r="I1771" i="3"/>
  <c r="H1771" i="3"/>
  <c r="G1771" i="3"/>
  <c r="F1771" i="3"/>
  <c r="E1771" i="3"/>
  <c r="D1771" i="3"/>
  <c r="C1771" i="3"/>
  <c r="B1771" i="3"/>
  <c r="A1771" i="3"/>
  <c r="O1770" i="3"/>
  <c r="K1770" i="3"/>
  <c r="J1770" i="3"/>
  <c r="I1770" i="3"/>
  <c r="H1770" i="3"/>
  <c r="G1770" i="3"/>
  <c r="F1770" i="3"/>
  <c r="E1770" i="3"/>
  <c r="D1770" i="3"/>
  <c r="C1770" i="3"/>
  <c r="B1770" i="3"/>
  <c r="A1770" i="3"/>
  <c r="O1769" i="3"/>
  <c r="M1769" i="3"/>
  <c r="K1769" i="3"/>
  <c r="J1769" i="3"/>
  <c r="I1769" i="3"/>
  <c r="H1769" i="3"/>
  <c r="G1769" i="3"/>
  <c r="F1769" i="3"/>
  <c r="E1769" i="3"/>
  <c r="D1769" i="3"/>
  <c r="C1769" i="3"/>
  <c r="B1769" i="3"/>
  <c r="A1769" i="3"/>
  <c r="O1768" i="3"/>
  <c r="M1768" i="3"/>
  <c r="K1768" i="3"/>
  <c r="J1768" i="3"/>
  <c r="I1768" i="3"/>
  <c r="H1768" i="3"/>
  <c r="G1768" i="3"/>
  <c r="F1768" i="3"/>
  <c r="E1768" i="3"/>
  <c r="D1768" i="3"/>
  <c r="C1768" i="3"/>
  <c r="B1768" i="3"/>
  <c r="A1768" i="3"/>
  <c r="J1767" i="3"/>
  <c r="I1767" i="3"/>
  <c r="H1767" i="3"/>
  <c r="G1767" i="3"/>
  <c r="F1767" i="3"/>
  <c r="E1767" i="3"/>
  <c r="D1767" i="3"/>
  <c r="C1767" i="3"/>
  <c r="B1767" i="3"/>
  <c r="A1767" i="3"/>
  <c r="J1766" i="3"/>
  <c r="I1766" i="3"/>
  <c r="H1766" i="3"/>
  <c r="G1766" i="3"/>
  <c r="F1766" i="3"/>
  <c r="E1766" i="3"/>
  <c r="D1766" i="3"/>
  <c r="C1766" i="3"/>
  <c r="B1766" i="3"/>
  <c r="A1766" i="3"/>
  <c r="J1765" i="3"/>
  <c r="I1765" i="3"/>
  <c r="H1765" i="3"/>
  <c r="G1765" i="3"/>
  <c r="F1765" i="3"/>
  <c r="E1765" i="3"/>
  <c r="D1765" i="3"/>
  <c r="C1765" i="3"/>
  <c r="B1765" i="3"/>
  <c r="A1765" i="3"/>
  <c r="J1764" i="3"/>
  <c r="I1764" i="3"/>
  <c r="H1764" i="3"/>
  <c r="G1764" i="3"/>
  <c r="F1764" i="3"/>
  <c r="E1764" i="3"/>
  <c r="D1764" i="3"/>
  <c r="C1764" i="3"/>
  <c r="B1764" i="3"/>
  <c r="A1764" i="3"/>
  <c r="O1763" i="3"/>
  <c r="K1763" i="3"/>
  <c r="J1763" i="3"/>
  <c r="I1763" i="3"/>
  <c r="H1763" i="3"/>
  <c r="G1763" i="3"/>
  <c r="F1763" i="3"/>
  <c r="E1763" i="3"/>
  <c r="D1763" i="3"/>
  <c r="C1763" i="3"/>
  <c r="B1763" i="3"/>
  <c r="A1763" i="3"/>
  <c r="O1762" i="3"/>
  <c r="K1762" i="3"/>
  <c r="J1762" i="3"/>
  <c r="I1762" i="3"/>
  <c r="H1762" i="3"/>
  <c r="G1762" i="3"/>
  <c r="F1762" i="3"/>
  <c r="E1762" i="3"/>
  <c r="D1762" i="3"/>
  <c r="C1762" i="3"/>
  <c r="B1762" i="3"/>
  <c r="A1762" i="3"/>
  <c r="O1761" i="3"/>
  <c r="M1761" i="3"/>
  <c r="K1761" i="3"/>
  <c r="J1761" i="3"/>
  <c r="I1761" i="3"/>
  <c r="H1761" i="3"/>
  <c r="G1761" i="3"/>
  <c r="F1761" i="3"/>
  <c r="E1761" i="3"/>
  <c r="D1761" i="3"/>
  <c r="C1761" i="3"/>
  <c r="B1761" i="3"/>
  <c r="A1761" i="3"/>
  <c r="J1760" i="3"/>
  <c r="I1760" i="3"/>
  <c r="H1760" i="3"/>
  <c r="G1760" i="3"/>
  <c r="F1760" i="3"/>
  <c r="E1760" i="3"/>
  <c r="D1760" i="3"/>
  <c r="C1760" i="3"/>
  <c r="B1760" i="3"/>
  <c r="A1760" i="3"/>
  <c r="J1759" i="3"/>
  <c r="I1759" i="3"/>
  <c r="H1759" i="3"/>
  <c r="G1759" i="3"/>
  <c r="F1759" i="3"/>
  <c r="E1759" i="3"/>
  <c r="D1759" i="3"/>
  <c r="C1759" i="3"/>
  <c r="B1759" i="3"/>
  <c r="A1759" i="3"/>
  <c r="J1758" i="3"/>
  <c r="I1758" i="3"/>
  <c r="H1758" i="3"/>
  <c r="G1758" i="3"/>
  <c r="F1758" i="3"/>
  <c r="E1758" i="3"/>
  <c r="D1758" i="3"/>
  <c r="C1758" i="3"/>
  <c r="B1758" i="3"/>
  <c r="A1758" i="3"/>
  <c r="J1757" i="3"/>
  <c r="I1757" i="3"/>
  <c r="H1757" i="3"/>
  <c r="G1757" i="3"/>
  <c r="F1757" i="3"/>
  <c r="E1757" i="3"/>
  <c r="D1757" i="3"/>
  <c r="C1757" i="3"/>
  <c r="B1757" i="3"/>
  <c r="A1757" i="3"/>
  <c r="J1756" i="3"/>
  <c r="I1756" i="3"/>
  <c r="H1756" i="3"/>
  <c r="G1756" i="3"/>
  <c r="F1756" i="3"/>
  <c r="E1756" i="3"/>
  <c r="D1756" i="3"/>
  <c r="C1756" i="3"/>
  <c r="B1756" i="3"/>
  <c r="A1756" i="3"/>
  <c r="O1755" i="3"/>
  <c r="K1755" i="3"/>
  <c r="J1755" i="3"/>
  <c r="I1755" i="3"/>
  <c r="H1755" i="3"/>
  <c r="G1755" i="3"/>
  <c r="F1755" i="3"/>
  <c r="E1755" i="3"/>
  <c r="D1755" i="3"/>
  <c r="C1755" i="3"/>
  <c r="B1755" i="3"/>
  <c r="A1755" i="3"/>
  <c r="J1754" i="3"/>
  <c r="I1754" i="3"/>
  <c r="H1754" i="3"/>
  <c r="G1754" i="3"/>
  <c r="F1754" i="3"/>
  <c r="E1754" i="3"/>
  <c r="D1754" i="3"/>
  <c r="C1754" i="3"/>
  <c r="B1754" i="3"/>
  <c r="A1754" i="3"/>
  <c r="O1753" i="3"/>
  <c r="M1753" i="3"/>
  <c r="K1753" i="3"/>
  <c r="J1753" i="3"/>
  <c r="I1753" i="3"/>
  <c r="H1753" i="3"/>
  <c r="G1753" i="3"/>
  <c r="F1753" i="3"/>
  <c r="E1753" i="3"/>
  <c r="D1753" i="3"/>
  <c r="C1753" i="3"/>
  <c r="B1753" i="3"/>
  <c r="A1753" i="3"/>
  <c r="J1752" i="3"/>
  <c r="I1752" i="3"/>
  <c r="H1752" i="3"/>
  <c r="G1752" i="3"/>
  <c r="F1752" i="3"/>
  <c r="E1752" i="3"/>
  <c r="D1752" i="3"/>
  <c r="C1752" i="3"/>
  <c r="B1752" i="3"/>
  <c r="A1752" i="3"/>
  <c r="J1751" i="3"/>
  <c r="I1751" i="3"/>
  <c r="H1751" i="3"/>
  <c r="G1751" i="3"/>
  <c r="F1751" i="3"/>
  <c r="E1751" i="3"/>
  <c r="D1751" i="3"/>
  <c r="C1751" i="3"/>
  <c r="B1751" i="3"/>
  <c r="A1751" i="3"/>
  <c r="J1750" i="3"/>
  <c r="I1750" i="3"/>
  <c r="H1750" i="3"/>
  <c r="G1750" i="3"/>
  <c r="F1750" i="3"/>
  <c r="E1750" i="3"/>
  <c r="D1750" i="3"/>
  <c r="C1750" i="3"/>
  <c r="B1750" i="3"/>
  <c r="A1750" i="3"/>
  <c r="J1749" i="3"/>
  <c r="I1749" i="3"/>
  <c r="H1749" i="3"/>
  <c r="G1749" i="3"/>
  <c r="F1749" i="3"/>
  <c r="E1749" i="3"/>
  <c r="D1749" i="3"/>
  <c r="C1749" i="3"/>
  <c r="B1749" i="3"/>
  <c r="A1749" i="3"/>
  <c r="K1748" i="3"/>
  <c r="J1748" i="3"/>
  <c r="I1748" i="3"/>
  <c r="H1748" i="3"/>
  <c r="G1748" i="3"/>
  <c r="F1748" i="3"/>
  <c r="E1748" i="3"/>
  <c r="D1748" i="3"/>
  <c r="C1748" i="3"/>
  <c r="B1748" i="3"/>
  <c r="A1748" i="3"/>
  <c r="J1747" i="3"/>
  <c r="I1747" i="3"/>
  <c r="H1747" i="3"/>
  <c r="G1747" i="3"/>
  <c r="F1747" i="3"/>
  <c r="E1747" i="3"/>
  <c r="D1747" i="3"/>
  <c r="C1747" i="3"/>
  <c r="B1747" i="3"/>
  <c r="A1747" i="3"/>
  <c r="K1746" i="3"/>
  <c r="J1746" i="3"/>
  <c r="I1746" i="3"/>
  <c r="H1746" i="3"/>
  <c r="G1746" i="3"/>
  <c r="F1746" i="3"/>
  <c r="E1746" i="3"/>
  <c r="D1746" i="3"/>
  <c r="C1746" i="3"/>
  <c r="B1746" i="3"/>
  <c r="A1746" i="3"/>
  <c r="O1745" i="3"/>
  <c r="M1745" i="3"/>
  <c r="K1745" i="3"/>
  <c r="J1745" i="3"/>
  <c r="I1745" i="3"/>
  <c r="H1745" i="3"/>
  <c r="G1745" i="3"/>
  <c r="F1745" i="3"/>
  <c r="E1745" i="3"/>
  <c r="D1745" i="3"/>
  <c r="C1745" i="3"/>
  <c r="B1745" i="3"/>
  <c r="A1745" i="3"/>
  <c r="J1744" i="3"/>
  <c r="I1744" i="3"/>
  <c r="H1744" i="3"/>
  <c r="G1744" i="3"/>
  <c r="F1744" i="3"/>
  <c r="E1744" i="3"/>
  <c r="D1744" i="3"/>
  <c r="C1744" i="3"/>
  <c r="B1744" i="3"/>
  <c r="A1744" i="3"/>
  <c r="O1743" i="3"/>
  <c r="M1743" i="3"/>
  <c r="K1743" i="3"/>
  <c r="J1743" i="3"/>
  <c r="I1743" i="3"/>
  <c r="H1743" i="3"/>
  <c r="G1743" i="3"/>
  <c r="F1743" i="3"/>
  <c r="E1743" i="3"/>
  <c r="D1743" i="3"/>
  <c r="C1743" i="3"/>
  <c r="B1743" i="3"/>
  <c r="A1743" i="3"/>
  <c r="O1742" i="3"/>
  <c r="M1742" i="3"/>
  <c r="K1742" i="3"/>
  <c r="J1742" i="3"/>
  <c r="I1742" i="3"/>
  <c r="H1742" i="3"/>
  <c r="G1742" i="3"/>
  <c r="F1742" i="3"/>
  <c r="E1742" i="3"/>
  <c r="D1742" i="3"/>
  <c r="C1742" i="3"/>
  <c r="B1742" i="3"/>
  <c r="A1742" i="3"/>
  <c r="J1741" i="3"/>
  <c r="I1741" i="3"/>
  <c r="H1741" i="3"/>
  <c r="G1741" i="3"/>
  <c r="F1741" i="3"/>
  <c r="E1741" i="3"/>
  <c r="D1741" i="3"/>
  <c r="C1741" i="3"/>
  <c r="B1741" i="3"/>
  <c r="A1741" i="3"/>
  <c r="J1740" i="3"/>
  <c r="I1740" i="3"/>
  <c r="H1740" i="3"/>
  <c r="G1740" i="3"/>
  <c r="F1740" i="3"/>
  <c r="E1740" i="3"/>
  <c r="D1740" i="3"/>
  <c r="C1740" i="3"/>
  <c r="B1740" i="3"/>
  <c r="A1740" i="3"/>
  <c r="O1739" i="3"/>
  <c r="M1739" i="3"/>
  <c r="K1739" i="3"/>
  <c r="J1739" i="3"/>
  <c r="I1739" i="3"/>
  <c r="H1739" i="3"/>
  <c r="G1739" i="3"/>
  <c r="F1739" i="3"/>
  <c r="E1739" i="3"/>
  <c r="D1739" i="3"/>
  <c r="C1739" i="3"/>
  <c r="B1739" i="3"/>
  <c r="A1739" i="3"/>
  <c r="J1738" i="3"/>
  <c r="I1738" i="3"/>
  <c r="H1738" i="3"/>
  <c r="G1738" i="3"/>
  <c r="F1738" i="3"/>
  <c r="E1738" i="3"/>
  <c r="D1738" i="3"/>
  <c r="C1738" i="3"/>
  <c r="B1738" i="3"/>
  <c r="A1738" i="3"/>
  <c r="M1737" i="3"/>
  <c r="K1737" i="3"/>
  <c r="J1737" i="3"/>
  <c r="I1737" i="3"/>
  <c r="H1737" i="3"/>
  <c r="G1737" i="3"/>
  <c r="F1737" i="3"/>
  <c r="E1737" i="3"/>
  <c r="D1737" i="3"/>
  <c r="C1737" i="3"/>
  <c r="B1737" i="3"/>
  <c r="A1737" i="3"/>
  <c r="J1736" i="3"/>
  <c r="I1736" i="3"/>
  <c r="H1736" i="3"/>
  <c r="G1736" i="3"/>
  <c r="F1736" i="3"/>
  <c r="E1736" i="3"/>
  <c r="D1736" i="3"/>
  <c r="C1736" i="3"/>
  <c r="B1736" i="3"/>
  <c r="A1736" i="3"/>
  <c r="O1735" i="3"/>
  <c r="K1735" i="3"/>
  <c r="J1735" i="3"/>
  <c r="I1735" i="3"/>
  <c r="H1735" i="3"/>
  <c r="G1735" i="3"/>
  <c r="F1735" i="3"/>
  <c r="E1735" i="3"/>
  <c r="D1735" i="3"/>
  <c r="C1735" i="3"/>
  <c r="B1735" i="3"/>
  <c r="A1735" i="3"/>
  <c r="J1734" i="3"/>
  <c r="I1734" i="3"/>
  <c r="H1734" i="3"/>
  <c r="G1734" i="3"/>
  <c r="F1734" i="3"/>
  <c r="E1734" i="3"/>
  <c r="D1734" i="3"/>
  <c r="C1734" i="3"/>
  <c r="B1734" i="3"/>
  <c r="A1734" i="3"/>
  <c r="O1733" i="3"/>
  <c r="M1733" i="3"/>
  <c r="K1733" i="3"/>
  <c r="J1733" i="3"/>
  <c r="I1733" i="3"/>
  <c r="H1733" i="3"/>
  <c r="G1733" i="3"/>
  <c r="F1733" i="3"/>
  <c r="E1733" i="3"/>
  <c r="D1733" i="3"/>
  <c r="C1733" i="3"/>
  <c r="B1733" i="3"/>
  <c r="A1733" i="3"/>
  <c r="M1732" i="3"/>
  <c r="K1732" i="3"/>
  <c r="J1732" i="3"/>
  <c r="I1732" i="3"/>
  <c r="H1732" i="3"/>
  <c r="G1732" i="3"/>
  <c r="F1732" i="3"/>
  <c r="E1732" i="3"/>
  <c r="D1732" i="3"/>
  <c r="C1732" i="3"/>
  <c r="B1732" i="3"/>
  <c r="A1732" i="3"/>
  <c r="J1731" i="3"/>
  <c r="I1731" i="3"/>
  <c r="H1731" i="3"/>
  <c r="G1731" i="3"/>
  <c r="F1731" i="3"/>
  <c r="E1731" i="3"/>
  <c r="D1731" i="3"/>
  <c r="C1731" i="3"/>
  <c r="B1731" i="3"/>
  <c r="A1731" i="3"/>
  <c r="J1730" i="3"/>
  <c r="I1730" i="3"/>
  <c r="H1730" i="3"/>
  <c r="G1730" i="3"/>
  <c r="F1730" i="3"/>
  <c r="E1730" i="3"/>
  <c r="D1730" i="3"/>
  <c r="C1730" i="3"/>
  <c r="B1730" i="3"/>
  <c r="A1730" i="3"/>
  <c r="M1729" i="3"/>
  <c r="K1729" i="3"/>
  <c r="J1729" i="3"/>
  <c r="I1729" i="3"/>
  <c r="H1729" i="3"/>
  <c r="G1729" i="3"/>
  <c r="F1729" i="3"/>
  <c r="E1729" i="3"/>
  <c r="D1729" i="3"/>
  <c r="C1729" i="3"/>
  <c r="B1729" i="3"/>
  <c r="A1729" i="3"/>
  <c r="O1728" i="3"/>
  <c r="M1728" i="3"/>
  <c r="K1728" i="3"/>
  <c r="J1728" i="3"/>
  <c r="I1728" i="3"/>
  <c r="H1728" i="3"/>
  <c r="G1728" i="3"/>
  <c r="F1728" i="3"/>
  <c r="E1728" i="3"/>
  <c r="D1728" i="3"/>
  <c r="C1728" i="3"/>
  <c r="B1728" i="3"/>
  <c r="A1728" i="3"/>
  <c r="O1727" i="3"/>
  <c r="M1727" i="3"/>
  <c r="K1727" i="3"/>
  <c r="J1727" i="3"/>
  <c r="I1727" i="3"/>
  <c r="H1727" i="3"/>
  <c r="G1727" i="3"/>
  <c r="F1727" i="3"/>
  <c r="E1727" i="3"/>
  <c r="D1727" i="3"/>
  <c r="C1727" i="3"/>
  <c r="B1727" i="3"/>
  <c r="A1727" i="3"/>
  <c r="O1726" i="3"/>
  <c r="M1726" i="3"/>
  <c r="K1726" i="3"/>
  <c r="J1726" i="3"/>
  <c r="I1726" i="3"/>
  <c r="H1726" i="3"/>
  <c r="G1726" i="3"/>
  <c r="F1726" i="3"/>
  <c r="E1726" i="3"/>
  <c r="D1726" i="3"/>
  <c r="C1726" i="3"/>
  <c r="B1726" i="3"/>
  <c r="A1726" i="3"/>
  <c r="K1725" i="3"/>
  <c r="J1725" i="3"/>
  <c r="I1725" i="3"/>
  <c r="H1725" i="3"/>
  <c r="G1725" i="3"/>
  <c r="F1725" i="3"/>
  <c r="E1725" i="3"/>
  <c r="D1725" i="3"/>
  <c r="C1725" i="3"/>
  <c r="B1725" i="3"/>
  <c r="A1725" i="3"/>
  <c r="O1724" i="3"/>
  <c r="M1724" i="3"/>
  <c r="K1724" i="3"/>
  <c r="J1724" i="3"/>
  <c r="I1724" i="3"/>
  <c r="H1724" i="3"/>
  <c r="G1724" i="3"/>
  <c r="F1724" i="3"/>
  <c r="E1724" i="3"/>
  <c r="D1724" i="3"/>
  <c r="C1724" i="3"/>
  <c r="B1724" i="3"/>
  <c r="A1724" i="3"/>
  <c r="J1723" i="3"/>
  <c r="I1723" i="3"/>
  <c r="H1723" i="3"/>
  <c r="G1723" i="3"/>
  <c r="F1723" i="3"/>
  <c r="E1723" i="3"/>
  <c r="D1723" i="3"/>
  <c r="C1723" i="3"/>
  <c r="B1723" i="3"/>
  <c r="A1723" i="3"/>
  <c r="K1722" i="3"/>
  <c r="J1722" i="3"/>
  <c r="I1722" i="3"/>
  <c r="H1722" i="3"/>
  <c r="G1722" i="3"/>
  <c r="F1722" i="3"/>
  <c r="E1722" i="3"/>
  <c r="D1722" i="3"/>
  <c r="C1722" i="3"/>
  <c r="B1722" i="3"/>
  <c r="A1722" i="3"/>
  <c r="J1721" i="3"/>
  <c r="I1721" i="3"/>
  <c r="H1721" i="3"/>
  <c r="G1721" i="3"/>
  <c r="F1721" i="3"/>
  <c r="E1721" i="3"/>
  <c r="D1721" i="3"/>
  <c r="C1721" i="3"/>
  <c r="B1721" i="3"/>
  <c r="A1721" i="3"/>
  <c r="O1720" i="3"/>
  <c r="M1720" i="3"/>
  <c r="K1720" i="3"/>
  <c r="J1720" i="3"/>
  <c r="I1720" i="3"/>
  <c r="H1720" i="3"/>
  <c r="G1720" i="3"/>
  <c r="F1720" i="3"/>
  <c r="E1720" i="3"/>
  <c r="D1720" i="3"/>
  <c r="C1720" i="3"/>
  <c r="B1720" i="3"/>
  <c r="A1720" i="3"/>
  <c r="J1719" i="3"/>
  <c r="I1719" i="3"/>
  <c r="H1719" i="3"/>
  <c r="G1719" i="3"/>
  <c r="F1719" i="3"/>
  <c r="E1719" i="3"/>
  <c r="D1719" i="3"/>
  <c r="C1719" i="3"/>
  <c r="B1719" i="3"/>
  <c r="A1719" i="3"/>
  <c r="O1718" i="3"/>
  <c r="M1718" i="3"/>
  <c r="K1718" i="3"/>
  <c r="J1718" i="3"/>
  <c r="I1718" i="3"/>
  <c r="H1718" i="3"/>
  <c r="G1718" i="3"/>
  <c r="F1718" i="3"/>
  <c r="E1718" i="3"/>
  <c r="D1718" i="3"/>
  <c r="C1718" i="3"/>
  <c r="B1718" i="3"/>
  <c r="A1718" i="3"/>
  <c r="K1717" i="3"/>
  <c r="J1717" i="3"/>
  <c r="I1717" i="3"/>
  <c r="H1717" i="3"/>
  <c r="G1717" i="3"/>
  <c r="F1717" i="3"/>
  <c r="E1717" i="3"/>
  <c r="D1717" i="3"/>
  <c r="C1717" i="3"/>
  <c r="B1717" i="3"/>
  <c r="A1717" i="3"/>
  <c r="O1716" i="3"/>
  <c r="M1716" i="3"/>
  <c r="K1716" i="3"/>
  <c r="J1716" i="3"/>
  <c r="I1716" i="3"/>
  <c r="H1716" i="3"/>
  <c r="G1716" i="3"/>
  <c r="F1716" i="3"/>
  <c r="E1716" i="3"/>
  <c r="D1716" i="3"/>
  <c r="C1716" i="3"/>
  <c r="B1716" i="3"/>
  <c r="A1716" i="3"/>
  <c r="M1715" i="3"/>
  <c r="K1715" i="3"/>
  <c r="J1715" i="3"/>
  <c r="I1715" i="3"/>
  <c r="H1715" i="3"/>
  <c r="G1715" i="3"/>
  <c r="F1715" i="3"/>
  <c r="E1715" i="3"/>
  <c r="D1715" i="3"/>
  <c r="C1715" i="3"/>
  <c r="B1715" i="3"/>
  <c r="A1715" i="3"/>
  <c r="O1714" i="3"/>
  <c r="M1714" i="3"/>
  <c r="K1714" i="3"/>
  <c r="J1714" i="3"/>
  <c r="I1714" i="3"/>
  <c r="H1714" i="3"/>
  <c r="G1714" i="3"/>
  <c r="F1714" i="3"/>
  <c r="E1714" i="3"/>
  <c r="D1714" i="3"/>
  <c r="C1714" i="3"/>
  <c r="B1714" i="3"/>
  <c r="A1714" i="3"/>
  <c r="O1713" i="3"/>
  <c r="M1713" i="3"/>
  <c r="K1713" i="3"/>
  <c r="J1713" i="3"/>
  <c r="I1713" i="3"/>
  <c r="H1713" i="3"/>
  <c r="G1713" i="3"/>
  <c r="F1713" i="3"/>
  <c r="E1713" i="3"/>
  <c r="D1713" i="3"/>
  <c r="C1713" i="3"/>
  <c r="B1713" i="3"/>
  <c r="A1713" i="3"/>
  <c r="M1712" i="3"/>
  <c r="K1712" i="3"/>
  <c r="J1712" i="3"/>
  <c r="I1712" i="3"/>
  <c r="H1712" i="3"/>
  <c r="G1712" i="3"/>
  <c r="F1712" i="3"/>
  <c r="E1712" i="3"/>
  <c r="D1712" i="3"/>
  <c r="C1712" i="3"/>
  <c r="B1712" i="3"/>
  <c r="A1712" i="3"/>
  <c r="J1711" i="3"/>
  <c r="I1711" i="3"/>
  <c r="H1711" i="3"/>
  <c r="G1711" i="3"/>
  <c r="F1711" i="3"/>
  <c r="E1711" i="3"/>
  <c r="D1711" i="3"/>
  <c r="C1711" i="3"/>
  <c r="B1711" i="3"/>
  <c r="A1711" i="3"/>
  <c r="K1710" i="3"/>
  <c r="J1710" i="3"/>
  <c r="I1710" i="3"/>
  <c r="H1710" i="3"/>
  <c r="G1710" i="3"/>
  <c r="F1710" i="3"/>
  <c r="E1710" i="3"/>
  <c r="D1710" i="3"/>
  <c r="C1710" i="3"/>
  <c r="B1710" i="3"/>
  <c r="A1710" i="3"/>
  <c r="O1709" i="3"/>
  <c r="M1709" i="3"/>
  <c r="K1709" i="3"/>
  <c r="J1709" i="3"/>
  <c r="I1709" i="3"/>
  <c r="H1709" i="3"/>
  <c r="G1709" i="3"/>
  <c r="F1709" i="3"/>
  <c r="E1709" i="3"/>
  <c r="D1709" i="3"/>
  <c r="C1709" i="3"/>
  <c r="B1709" i="3"/>
  <c r="A1709" i="3"/>
  <c r="J1708" i="3"/>
  <c r="I1708" i="3"/>
  <c r="H1708" i="3"/>
  <c r="G1708" i="3"/>
  <c r="F1708" i="3"/>
  <c r="E1708" i="3"/>
  <c r="D1708" i="3"/>
  <c r="C1708" i="3"/>
  <c r="B1708" i="3"/>
  <c r="A1708" i="3"/>
  <c r="O1707" i="3"/>
  <c r="K1707" i="3"/>
  <c r="J1707" i="3"/>
  <c r="I1707" i="3"/>
  <c r="H1707" i="3"/>
  <c r="G1707" i="3"/>
  <c r="F1707" i="3"/>
  <c r="E1707" i="3"/>
  <c r="D1707" i="3"/>
  <c r="C1707" i="3"/>
  <c r="B1707" i="3"/>
  <c r="A1707" i="3"/>
  <c r="O1706" i="3"/>
  <c r="K1706" i="3"/>
  <c r="J1706" i="3"/>
  <c r="I1706" i="3"/>
  <c r="H1706" i="3"/>
  <c r="G1706" i="3"/>
  <c r="F1706" i="3"/>
  <c r="E1706" i="3"/>
  <c r="D1706" i="3"/>
  <c r="C1706" i="3"/>
  <c r="B1706" i="3"/>
  <c r="A1706" i="3"/>
  <c r="O1705" i="3"/>
  <c r="M1705" i="3"/>
  <c r="K1705" i="3"/>
  <c r="J1705" i="3"/>
  <c r="I1705" i="3"/>
  <c r="H1705" i="3"/>
  <c r="G1705" i="3"/>
  <c r="F1705" i="3"/>
  <c r="E1705" i="3"/>
  <c r="D1705" i="3"/>
  <c r="C1705" i="3"/>
  <c r="B1705" i="3"/>
  <c r="A1705" i="3"/>
  <c r="J1704" i="3"/>
  <c r="I1704" i="3"/>
  <c r="H1704" i="3"/>
  <c r="G1704" i="3"/>
  <c r="F1704" i="3"/>
  <c r="E1704" i="3"/>
  <c r="D1704" i="3"/>
  <c r="C1704" i="3"/>
  <c r="B1704" i="3"/>
  <c r="A1704" i="3"/>
  <c r="O1703" i="3"/>
  <c r="M1703" i="3"/>
  <c r="K1703" i="3"/>
  <c r="J1703" i="3"/>
  <c r="I1703" i="3"/>
  <c r="H1703" i="3"/>
  <c r="G1703" i="3"/>
  <c r="F1703" i="3"/>
  <c r="E1703" i="3"/>
  <c r="D1703" i="3"/>
  <c r="C1703" i="3"/>
  <c r="B1703" i="3"/>
  <c r="A1703" i="3"/>
  <c r="O1702" i="3"/>
  <c r="M1702" i="3"/>
  <c r="K1702" i="3"/>
  <c r="J1702" i="3"/>
  <c r="I1702" i="3"/>
  <c r="H1702" i="3"/>
  <c r="G1702" i="3"/>
  <c r="F1702" i="3"/>
  <c r="E1702" i="3"/>
  <c r="D1702" i="3"/>
  <c r="C1702" i="3"/>
  <c r="B1702" i="3"/>
  <c r="A1702" i="3"/>
  <c r="O1701" i="3"/>
  <c r="M1701" i="3"/>
  <c r="K1701" i="3"/>
  <c r="J1701" i="3"/>
  <c r="I1701" i="3"/>
  <c r="H1701" i="3"/>
  <c r="G1701" i="3"/>
  <c r="F1701" i="3"/>
  <c r="E1701" i="3"/>
  <c r="D1701" i="3"/>
  <c r="C1701" i="3"/>
  <c r="B1701" i="3"/>
  <c r="A1701" i="3"/>
  <c r="M1700" i="3"/>
  <c r="K1700" i="3"/>
  <c r="J1700" i="3"/>
  <c r="I1700" i="3"/>
  <c r="H1700" i="3"/>
  <c r="G1700" i="3"/>
  <c r="F1700" i="3"/>
  <c r="E1700" i="3"/>
  <c r="D1700" i="3"/>
  <c r="C1700" i="3"/>
  <c r="B1700" i="3"/>
  <c r="A1700" i="3"/>
  <c r="O1699" i="3"/>
  <c r="M1699" i="3"/>
  <c r="K1699" i="3"/>
  <c r="J1699" i="3"/>
  <c r="I1699" i="3"/>
  <c r="H1699" i="3"/>
  <c r="G1699" i="3"/>
  <c r="F1699" i="3"/>
  <c r="E1699" i="3"/>
  <c r="D1699" i="3"/>
  <c r="C1699" i="3"/>
  <c r="B1699" i="3"/>
  <c r="A1699" i="3"/>
  <c r="O1698" i="3"/>
  <c r="M1698" i="3"/>
  <c r="K1698" i="3"/>
  <c r="J1698" i="3"/>
  <c r="I1698" i="3"/>
  <c r="H1698" i="3"/>
  <c r="G1698" i="3"/>
  <c r="F1698" i="3"/>
  <c r="E1698" i="3"/>
  <c r="D1698" i="3"/>
  <c r="C1698" i="3"/>
  <c r="B1698" i="3"/>
  <c r="A1698" i="3"/>
  <c r="O1697" i="3"/>
  <c r="M1697" i="3"/>
  <c r="K1697" i="3"/>
  <c r="J1697" i="3"/>
  <c r="I1697" i="3"/>
  <c r="H1697" i="3"/>
  <c r="G1697" i="3"/>
  <c r="F1697" i="3"/>
  <c r="E1697" i="3"/>
  <c r="D1697" i="3"/>
  <c r="C1697" i="3"/>
  <c r="B1697" i="3"/>
  <c r="A1697" i="3"/>
  <c r="O1696" i="3"/>
  <c r="M1696" i="3"/>
  <c r="K1696" i="3"/>
  <c r="J1696" i="3"/>
  <c r="I1696" i="3"/>
  <c r="H1696" i="3"/>
  <c r="G1696" i="3"/>
  <c r="F1696" i="3"/>
  <c r="E1696" i="3"/>
  <c r="D1696" i="3"/>
  <c r="C1696" i="3"/>
  <c r="B1696" i="3"/>
  <c r="A1696" i="3"/>
  <c r="J1695" i="3"/>
  <c r="I1695" i="3"/>
  <c r="H1695" i="3"/>
  <c r="G1695" i="3"/>
  <c r="F1695" i="3"/>
  <c r="E1695" i="3"/>
  <c r="D1695" i="3"/>
  <c r="C1695" i="3"/>
  <c r="B1695" i="3"/>
  <c r="A1695" i="3"/>
  <c r="O1694" i="3"/>
  <c r="M1694" i="3"/>
  <c r="K1694" i="3"/>
  <c r="J1694" i="3"/>
  <c r="I1694" i="3"/>
  <c r="H1694" i="3"/>
  <c r="G1694" i="3"/>
  <c r="F1694" i="3"/>
  <c r="E1694" i="3"/>
  <c r="D1694" i="3"/>
  <c r="C1694" i="3"/>
  <c r="B1694" i="3"/>
  <c r="A1694" i="3"/>
  <c r="M1693" i="3"/>
  <c r="K1693" i="3"/>
  <c r="J1693" i="3"/>
  <c r="I1693" i="3"/>
  <c r="H1693" i="3"/>
  <c r="G1693" i="3"/>
  <c r="F1693" i="3"/>
  <c r="E1693" i="3"/>
  <c r="D1693" i="3"/>
  <c r="C1693" i="3"/>
  <c r="B1693" i="3"/>
  <c r="A1693" i="3"/>
  <c r="O1692" i="3"/>
  <c r="M1692" i="3"/>
  <c r="K1692" i="3"/>
  <c r="J1692" i="3"/>
  <c r="I1692" i="3"/>
  <c r="H1692" i="3"/>
  <c r="G1692" i="3"/>
  <c r="F1692" i="3"/>
  <c r="E1692" i="3"/>
  <c r="D1692" i="3"/>
  <c r="C1692" i="3"/>
  <c r="B1692" i="3"/>
  <c r="A1692" i="3"/>
  <c r="O1691" i="3"/>
  <c r="M1691" i="3"/>
  <c r="K1691" i="3"/>
  <c r="J1691" i="3"/>
  <c r="I1691" i="3"/>
  <c r="H1691" i="3"/>
  <c r="G1691" i="3"/>
  <c r="F1691" i="3"/>
  <c r="E1691" i="3"/>
  <c r="D1691" i="3"/>
  <c r="C1691" i="3"/>
  <c r="B1691" i="3"/>
  <c r="A1691" i="3"/>
  <c r="J1690" i="3"/>
  <c r="I1690" i="3"/>
  <c r="H1690" i="3"/>
  <c r="G1690" i="3"/>
  <c r="F1690" i="3"/>
  <c r="E1690" i="3"/>
  <c r="D1690" i="3"/>
  <c r="C1690" i="3"/>
  <c r="B1690" i="3"/>
  <c r="A1690" i="3"/>
  <c r="O1689" i="3"/>
  <c r="M1689" i="3"/>
  <c r="K1689" i="3"/>
  <c r="J1689" i="3"/>
  <c r="I1689" i="3"/>
  <c r="H1689" i="3"/>
  <c r="G1689" i="3"/>
  <c r="F1689" i="3"/>
  <c r="E1689" i="3"/>
  <c r="D1689" i="3"/>
  <c r="C1689" i="3"/>
  <c r="B1689" i="3"/>
  <c r="A1689" i="3"/>
  <c r="O1688" i="3"/>
  <c r="K1688" i="3"/>
  <c r="J1688" i="3"/>
  <c r="I1688" i="3"/>
  <c r="H1688" i="3"/>
  <c r="G1688" i="3"/>
  <c r="F1688" i="3"/>
  <c r="E1688" i="3"/>
  <c r="D1688" i="3"/>
  <c r="C1688" i="3"/>
  <c r="B1688" i="3"/>
  <c r="A1688" i="3"/>
  <c r="O1687" i="3"/>
  <c r="K1687" i="3"/>
  <c r="J1687" i="3"/>
  <c r="I1687" i="3"/>
  <c r="H1687" i="3"/>
  <c r="G1687" i="3"/>
  <c r="F1687" i="3"/>
  <c r="E1687" i="3"/>
  <c r="D1687" i="3"/>
  <c r="C1687" i="3"/>
  <c r="B1687" i="3"/>
  <c r="A1687" i="3"/>
  <c r="O1686" i="3"/>
  <c r="M1686" i="3"/>
  <c r="K1686" i="3"/>
  <c r="J1686" i="3"/>
  <c r="I1686" i="3"/>
  <c r="H1686" i="3"/>
  <c r="G1686" i="3"/>
  <c r="F1686" i="3"/>
  <c r="E1686" i="3"/>
  <c r="D1686" i="3"/>
  <c r="C1686" i="3"/>
  <c r="B1686" i="3"/>
  <c r="A1686" i="3"/>
  <c r="O1685" i="3"/>
  <c r="M1685" i="3"/>
  <c r="K1685" i="3"/>
  <c r="J1685" i="3"/>
  <c r="I1685" i="3"/>
  <c r="H1685" i="3"/>
  <c r="G1685" i="3"/>
  <c r="F1685" i="3"/>
  <c r="E1685" i="3"/>
  <c r="D1685" i="3"/>
  <c r="C1685" i="3"/>
  <c r="B1685" i="3"/>
  <c r="A1685" i="3"/>
  <c r="K1684" i="3"/>
  <c r="J1684" i="3"/>
  <c r="I1684" i="3"/>
  <c r="H1684" i="3"/>
  <c r="G1684" i="3"/>
  <c r="F1684" i="3"/>
  <c r="E1684" i="3"/>
  <c r="D1684" i="3"/>
  <c r="C1684" i="3"/>
  <c r="B1684" i="3"/>
  <c r="A1684" i="3"/>
  <c r="O1683" i="3"/>
  <c r="M1683" i="3"/>
  <c r="K1683" i="3"/>
  <c r="J1683" i="3"/>
  <c r="I1683" i="3"/>
  <c r="H1683" i="3"/>
  <c r="G1683" i="3"/>
  <c r="F1683" i="3"/>
  <c r="E1683" i="3"/>
  <c r="D1683" i="3"/>
  <c r="C1683" i="3"/>
  <c r="B1683" i="3"/>
  <c r="A1683" i="3"/>
  <c r="J1682" i="3"/>
  <c r="I1682" i="3"/>
  <c r="H1682" i="3"/>
  <c r="G1682" i="3"/>
  <c r="F1682" i="3"/>
  <c r="E1682" i="3"/>
  <c r="D1682" i="3"/>
  <c r="C1682" i="3"/>
  <c r="B1682" i="3"/>
  <c r="A1682" i="3"/>
  <c r="J1681" i="3"/>
  <c r="I1681" i="3"/>
  <c r="H1681" i="3"/>
  <c r="G1681" i="3"/>
  <c r="F1681" i="3"/>
  <c r="E1681" i="3"/>
  <c r="D1681" i="3"/>
  <c r="C1681" i="3"/>
  <c r="B1681" i="3"/>
  <c r="A1681" i="3"/>
  <c r="O1680" i="3"/>
  <c r="K1680" i="3"/>
  <c r="J1680" i="3"/>
  <c r="I1680" i="3"/>
  <c r="H1680" i="3"/>
  <c r="G1680" i="3"/>
  <c r="F1680" i="3"/>
  <c r="E1680" i="3"/>
  <c r="D1680" i="3"/>
  <c r="C1680" i="3"/>
  <c r="B1680" i="3"/>
  <c r="A1680" i="3"/>
  <c r="O1679" i="3"/>
  <c r="K1679" i="3"/>
  <c r="J1679" i="3"/>
  <c r="I1679" i="3"/>
  <c r="H1679" i="3"/>
  <c r="G1679" i="3"/>
  <c r="F1679" i="3"/>
  <c r="E1679" i="3"/>
  <c r="D1679" i="3"/>
  <c r="C1679" i="3"/>
  <c r="B1679" i="3"/>
  <c r="A1679" i="3"/>
  <c r="K1678" i="3"/>
  <c r="J1678" i="3"/>
  <c r="I1678" i="3"/>
  <c r="H1678" i="3"/>
  <c r="G1678" i="3"/>
  <c r="F1678" i="3"/>
  <c r="E1678" i="3"/>
  <c r="D1678" i="3"/>
  <c r="C1678" i="3"/>
  <c r="B1678" i="3"/>
  <c r="A1678" i="3"/>
  <c r="K1677" i="3"/>
  <c r="J1677" i="3"/>
  <c r="I1677" i="3"/>
  <c r="H1677" i="3"/>
  <c r="G1677" i="3"/>
  <c r="F1677" i="3"/>
  <c r="E1677" i="3"/>
  <c r="D1677" i="3"/>
  <c r="C1677" i="3"/>
  <c r="B1677" i="3"/>
  <c r="A1677" i="3"/>
  <c r="K1676" i="3"/>
  <c r="J1676" i="3"/>
  <c r="I1676" i="3"/>
  <c r="H1676" i="3"/>
  <c r="G1676" i="3"/>
  <c r="F1676" i="3"/>
  <c r="E1676" i="3"/>
  <c r="D1676" i="3"/>
  <c r="C1676" i="3"/>
  <c r="B1676" i="3"/>
  <c r="A1676" i="3"/>
  <c r="O1675" i="3"/>
  <c r="K1675" i="3"/>
  <c r="J1675" i="3"/>
  <c r="I1675" i="3"/>
  <c r="H1675" i="3"/>
  <c r="G1675" i="3"/>
  <c r="F1675" i="3"/>
  <c r="E1675" i="3"/>
  <c r="D1675" i="3"/>
  <c r="C1675" i="3"/>
  <c r="B1675" i="3"/>
  <c r="A1675" i="3"/>
  <c r="O1674" i="3"/>
  <c r="K1674" i="3"/>
  <c r="J1674" i="3"/>
  <c r="I1674" i="3"/>
  <c r="H1674" i="3"/>
  <c r="G1674" i="3"/>
  <c r="F1674" i="3"/>
  <c r="E1674" i="3"/>
  <c r="D1674" i="3"/>
  <c r="C1674" i="3"/>
  <c r="B1674" i="3"/>
  <c r="A1674" i="3"/>
  <c r="J1673" i="3"/>
  <c r="I1673" i="3"/>
  <c r="H1673" i="3"/>
  <c r="G1673" i="3"/>
  <c r="F1673" i="3"/>
  <c r="E1673" i="3"/>
  <c r="D1673" i="3"/>
  <c r="C1673" i="3"/>
  <c r="B1673" i="3"/>
  <c r="A1673" i="3"/>
  <c r="O1672" i="3"/>
  <c r="M1672" i="3"/>
  <c r="K1672" i="3"/>
  <c r="J1672" i="3"/>
  <c r="I1672" i="3"/>
  <c r="H1672" i="3"/>
  <c r="G1672" i="3"/>
  <c r="F1672" i="3"/>
  <c r="E1672" i="3"/>
  <c r="D1672" i="3"/>
  <c r="C1672" i="3"/>
  <c r="B1672" i="3"/>
  <c r="A1672" i="3"/>
  <c r="O1671" i="3"/>
  <c r="M1671" i="3"/>
  <c r="K1671" i="3"/>
  <c r="J1671" i="3"/>
  <c r="I1671" i="3"/>
  <c r="H1671" i="3"/>
  <c r="G1671" i="3"/>
  <c r="F1671" i="3"/>
  <c r="E1671" i="3"/>
  <c r="D1671" i="3"/>
  <c r="C1671" i="3"/>
  <c r="B1671" i="3"/>
  <c r="A1671" i="3"/>
  <c r="O1670" i="3"/>
  <c r="M1670" i="3"/>
  <c r="K1670" i="3"/>
  <c r="J1670" i="3"/>
  <c r="I1670" i="3"/>
  <c r="H1670" i="3"/>
  <c r="G1670" i="3"/>
  <c r="F1670" i="3"/>
  <c r="E1670" i="3"/>
  <c r="D1670" i="3"/>
  <c r="C1670" i="3"/>
  <c r="B1670" i="3"/>
  <c r="A1670" i="3"/>
  <c r="M1669" i="3"/>
  <c r="K1669" i="3"/>
  <c r="J1669" i="3"/>
  <c r="I1669" i="3"/>
  <c r="H1669" i="3"/>
  <c r="G1669" i="3"/>
  <c r="F1669" i="3"/>
  <c r="E1669" i="3"/>
  <c r="D1669" i="3"/>
  <c r="C1669" i="3"/>
  <c r="B1669" i="3"/>
  <c r="A1669" i="3"/>
  <c r="K1668" i="3"/>
  <c r="J1668" i="3"/>
  <c r="I1668" i="3"/>
  <c r="H1668" i="3"/>
  <c r="G1668" i="3"/>
  <c r="F1668" i="3"/>
  <c r="E1668" i="3"/>
  <c r="D1668" i="3"/>
  <c r="C1668" i="3"/>
  <c r="B1668" i="3"/>
  <c r="A1668" i="3"/>
  <c r="O1667" i="3"/>
  <c r="M1667" i="3"/>
  <c r="K1667" i="3"/>
  <c r="J1667" i="3"/>
  <c r="I1667" i="3"/>
  <c r="H1667" i="3"/>
  <c r="G1667" i="3"/>
  <c r="F1667" i="3"/>
  <c r="E1667" i="3"/>
  <c r="D1667" i="3"/>
  <c r="C1667" i="3"/>
  <c r="B1667" i="3"/>
  <c r="A1667" i="3"/>
  <c r="J1666" i="3"/>
  <c r="I1666" i="3"/>
  <c r="H1666" i="3"/>
  <c r="G1666" i="3"/>
  <c r="F1666" i="3"/>
  <c r="E1666" i="3"/>
  <c r="D1666" i="3"/>
  <c r="C1666" i="3"/>
  <c r="B1666" i="3"/>
  <c r="A1666" i="3"/>
  <c r="J1665" i="3"/>
  <c r="I1665" i="3"/>
  <c r="H1665" i="3"/>
  <c r="G1665" i="3"/>
  <c r="F1665" i="3"/>
  <c r="E1665" i="3"/>
  <c r="D1665" i="3"/>
  <c r="C1665" i="3"/>
  <c r="B1665" i="3"/>
  <c r="A1665" i="3"/>
  <c r="O1664" i="3"/>
  <c r="M1664" i="3"/>
  <c r="K1664" i="3"/>
  <c r="J1664" i="3"/>
  <c r="I1664" i="3"/>
  <c r="H1664" i="3"/>
  <c r="G1664" i="3"/>
  <c r="F1664" i="3"/>
  <c r="E1664" i="3"/>
  <c r="D1664" i="3"/>
  <c r="C1664" i="3"/>
  <c r="B1664" i="3"/>
  <c r="A1664" i="3"/>
  <c r="O1663" i="3"/>
  <c r="M1663" i="3"/>
  <c r="K1663" i="3"/>
  <c r="J1663" i="3"/>
  <c r="I1663" i="3"/>
  <c r="H1663" i="3"/>
  <c r="G1663" i="3"/>
  <c r="F1663" i="3"/>
  <c r="E1663" i="3"/>
  <c r="D1663" i="3"/>
  <c r="C1663" i="3"/>
  <c r="B1663" i="3"/>
  <c r="A1663" i="3"/>
  <c r="O1662" i="3"/>
  <c r="K1662" i="3"/>
  <c r="J1662" i="3"/>
  <c r="I1662" i="3"/>
  <c r="H1662" i="3"/>
  <c r="G1662" i="3"/>
  <c r="F1662" i="3"/>
  <c r="E1662" i="3"/>
  <c r="D1662" i="3"/>
  <c r="C1662" i="3"/>
  <c r="B1662" i="3"/>
  <c r="A1662" i="3"/>
  <c r="O1661" i="3"/>
  <c r="M1661" i="3"/>
  <c r="K1661" i="3"/>
  <c r="J1661" i="3"/>
  <c r="I1661" i="3"/>
  <c r="H1661" i="3"/>
  <c r="G1661" i="3"/>
  <c r="F1661" i="3"/>
  <c r="E1661" i="3"/>
  <c r="D1661" i="3"/>
  <c r="C1661" i="3"/>
  <c r="B1661" i="3"/>
  <c r="A1661" i="3"/>
  <c r="O1660" i="3"/>
  <c r="M1660" i="3"/>
  <c r="K1660" i="3"/>
  <c r="J1660" i="3"/>
  <c r="I1660" i="3"/>
  <c r="H1660" i="3"/>
  <c r="G1660" i="3"/>
  <c r="F1660" i="3"/>
  <c r="E1660" i="3"/>
  <c r="D1660" i="3"/>
  <c r="C1660" i="3"/>
  <c r="B1660" i="3"/>
  <c r="A1660" i="3"/>
  <c r="J1659" i="3"/>
  <c r="I1659" i="3"/>
  <c r="H1659" i="3"/>
  <c r="G1659" i="3"/>
  <c r="F1659" i="3"/>
  <c r="E1659" i="3"/>
  <c r="D1659" i="3"/>
  <c r="C1659" i="3"/>
  <c r="B1659" i="3"/>
  <c r="A1659" i="3"/>
  <c r="O1658" i="3"/>
  <c r="M1658" i="3"/>
  <c r="K1658" i="3"/>
  <c r="J1658" i="3"/>
  <c r="I1658" i="3"/>
  <c r="H1658" i="3"/>
  <c r="G1658" i="3"/>
  <c r="F1658" i="3"/>
  <c r="E1658" i="3"/>
  <c r="D1658" i="3"/>
  <c r="C1658" i="3"/>
  <c r="B1658" i="3"/>
  <c r="A1658" i="3"/>
  <c r="O1657" i="3"/>
  <c r="K1657" i="3"/>
  <c r="J1657" i="3"/>
  <c r="I1657" i="3"/>
  <c r="H1657" i="3"/>
  <c r="G1657" i="3"/>
  <c r="F1657" i="3"/>
  <c r="E1657" i="3"/>
  <c r="D1657" i="3"/>
  <c r="C1657" i="3"/>
  <c r="B1657" i="3"/>
  <c r="A1657" i="3"/>
  <c r="O1656" i="3"/>
  <c r="M1656" i="3"/>
  <c r="K1656" i="3"/>
  <c r="J1656" i="3"/>
  <c r="I1656" i="3"/>
  <c r="H1656" i="3"/>
  <c r="G1656" i="3"/>
  <c r="F1656" i="3"/>
  <c r="E1656" i="3"/>
  <c r="D1656" i="3"/>
  <c r="C1656" i="3"/>
  <c r="B1656" i="3"/>
  <c r="A1656" i="3"/>
  <c r="M1655" i="3"/>
  <c r="K1655" i="3"/>
  <c r="J1655" i="3"/>
  <c r="I1655" i="3"/>
  <c r="H1655" i="3"/>
  <c r="G1655" i="3"/>
  <c r="F1655" i="3"/>
  <c r="E1655" i="3"/>
  <c r="D1655" i="3"/>
  <c r="C1655" i="3"/>
  <c r="B1655" i="3"/>
  <c r="A1655" i="3"/>
  <c r="J1654" i="3"/>
  <c r="I1654" i="3"/>
  <c r="H1654" i="3"/>
  <c r="G1654" i="3"/>
  <c r="F1654" i="3"/>
  <c r="E1654" i="3"/>
  <c r="D1654" i="3"/>
  <c r="C1654" i="3"/>
  <c r="B1654" i="3"/>
  <c r="A1654" i="3"/>
  <c r="O1653" i="3"/>
  <c r="K1653" i="3"/>
  <c r="J1653" i="3"/>
  <c r="I1653" i="3"/>
  <c r="H1653" i="3"/>
  <c r="G1653" i="3"/>
  <c r="F1653" i="3"/>
  <c r="E1653" i="3"/>
  <c r="D1653" i="3"/>
  <c r="C1653" i="3"/>
  <c r="B1653" i="3"/>
  <c r="A1653" i="3"/>
  <c r="O1652" i="3"/>
  <c r="M1652" i="3"/>
  <c r="K1652" i="3"/>
  <c r="J1652" i="3"/>
  <c r="I1652" i="3"/>
  <c r="H1652" i="3"/>
  <c r="G1652" i="3"/>
  <c r="F1652" i="3"/>
  <c r="E1652" i="3"/>
  <c r="D1652" i="3"/>
  <c r="C1652" i="3"/>
  <c r="B1652" i="3"/>
  <c r="A1652" i="3"/>
  <c r="O1651" i="3"/>
  <c r="M1651" i="3"/>
  <c r="K1651" i="3"/>
  <c r="J1651" i="3"/>
  <c r="I1651" i="3"/>
  <c r="H1651" i="3"/>
  <c r="G1651" i="3"/>
  <c r="F1651" i="3"/>
  <c r="E1651" i="3"/>
  <c r="D1651" i="3"/>
  <c r="C1651" i="3"/>
  <c r="B1651" i="3"/>
  <c r="A1651" i="3"/>
  <c r="M1650" i="3"/>
  <c r="K1650" i="3"/>
  <c r="J1650" i="3"/>
  <c r="I1650" i="3"/>
  <c r="H1650" i="3"/>
  <c r="G1650" i="3"/>
  <c r="F1650" i="3"/>
  <c r="E1650" i="3"/>
  <c r="D1650" i="3"/>
  <c r="C1650" i="3"/>
  <c r="B1650" i="3"/>
  <c r="A1650" i="3"/>
  <c r="J1649" i="3"/>
  <c r="I1649" i="3"/>
  <c r="H1649" i="3"/>
  <c r="G1649" i="3"/>
  <c r="F1649" i="3"/>
  <c r="E1649" i="3"/>
  <c r="D1649" i="3"/>
  <c r="C1649" i="3"/>
  <c r="B1649" i="3"/>
  <c r="A1649" i="3"/>
  <c r="O1648" i="3"/>
  <c r="M1648" i="3"/>
  <c r="K1648" i="3"/>
  <c r="J1648" i="3"/>
  <c r="I1648" i="3"/>
  <c r="H1648" i="3"/>
  <c r="G1648" i="3"/>
  <c r="F1648" i="3"/>
  <c r="E1648" i="3"/>
  <c r="D1648" i="3"/>
  <c r="C1648" i="3"/>
  <c r="B1648" i="3"/>
  <c r="A1648" i="3"/>
  <c r="J1647" i="3"/>
  <c r="I1647" i="3"/>
  <c r="H1647" i="3"/>
  <c r="G1647" i="3"/>
  <c r="F1647" i="3"/>
  <c r="E1647" i="3"/>
  <c r="D1647" i="3"/>
  <c r="C1647" i="3"/>
  <c r="B1647" i="3"/>
  <c r="A1647" i="3"/>
  <c r="O1646" i="3"/>
  <c r="K1646" i="3"/>
  <c r="J1646" i="3"/>
  <c r="I1646" i="3"/>
  <c r="H1646" i="3"/>
  <c r="G1646" i="3"/>
  <c r="F1646" i="3"/>
  <c r="E1646" i="3"/>
  <c r="D1646" i="3"/>
  <c r="C1646" i="3"/>
  <c r="B1646" i="3"/>
  <c r="A1646" i="3"/>
  <c r="K1645" i="3"/>
  <c r="J1645" i="3"/>
  <c r="I1645" i="3"/>
  <c r="H1645" i="3"/>
  <c r="G1645" i="3"/>
  <c r="F1645" i="3"/>
  <c r="E1645" i="3"/>
  <c r="D1645" i="3"/>
  <c r="C1645" i="3"/>
  <c r="B1645" i="3"/>
  <c r="A1645" i="3"/>
  <c r="O1644" i="3"/>
  <c r="M1644" i="3"/>
  <c r="K1644" i="3"/>
  <c r="J1644" i="3"/>
  <c r="I1644" i="3"/>
  <c r="H1644" i="3"/>
  <c r="G1644" i="3"/>
  <c r="F1644" i="3"/>
  <c r="E1644" i="3"/>
  <c r="D1644" i="3"/>
  <c r="C1644" i="3"/>
  <c r="B1644" i="3"/>
  <c r="A1644" i="3"/>
  <c r="J1643" i="3"/>
  <c r="I1643" i="3"/>
  <c r="H1643" i="3"/>
  <c r="G1643" i="3"/>
  <c r="F1643" i="3"/>
  <c r="E1643" i="3"/>
  <c r="D1643" i="3"/>
  <c r="C1643" i="3"/>
  <c r="B1643" i="3"/>
  <c r="A1643" i="3"/>
  <c r="O1642" i="3"/>
  <c r="K1642" i="3"/>
  <c r="J1642" i="3"/>
  <c r="I1642" i="3"/>
  <c r="H1642" i="3"/>
  <c r="G1642" i="3"/>
  <c r="F1642" i="3"/>
  <c r="E1642" i="3"/>
  <c r="D1642" i="3"/>
  <c r="C1642" i="3"/>
  <c r="B1642" i="3"/>
  <c r="A1642" i="3"/>
  <c r="O1641" i="3"/>
  <c r="M1641" i="3"/>
  <c r="K1641" i="3"/>
  <c r="J1641" i="3"/>
  <c r="I1641" i="3"/>
  <c r="H1641" i="3"/>
  <c r="G1641" i="3"/>
  <c r="F1641" i="3"/>
  <c r="E1641" i="3"/>
  <c r="D1641" i="3"/>
  <c r="C1641" i="3"/>
  <c r="B1641" i="3"/>
  <c r="A1641" i="3"/>
  <c r="O1640" i="3"/>
  <c r="M1640" i="3"/>
  <c r="K1640" i="3"/>
  <c r="J1640" i="3"/>
  <c r="I1640" i="3"/>
  <c r="H1640" i="3"/>
  <c r="G1640" i="3"/>
  <c r="F1640" i="3"/>
  <c r="E1640" i="3"/>
  <c r="D1640" i="3"/>
  <c r="C1640" i="3"/>
  <c r="B1640" i="3"/>
  <c r="A1640" i="3"/>
  <c r="M1639" i="3"/>
  <c r="K1639" i="3"/>
  <c r="J1639" i="3"/>
  <c r="I1639" i="3"/>
  <c r="H1639" i="3"/>
  <c r="G1639" i="3"/>
  <c r="F1639" i="3"/>
  <c r="E1639" i="3"/>
  <c r="D1639" i="3"/>
  <c r="C1639" i="3"/>
  <c r="B1639" i="3"/>
  <c r="A1639" i="3"/>
  <c r="J1638" i="3"/>
  <c r="I1638" i="3"/>
  <c r="H1638" i="3"/>
  <c r="G1638" i="3"/>
  <c r="F1638" i="3"/>
  <c r="E1638" i="3"/>
  <c r="D1638" i="3"/>
  <c r="C1638" i="3"/>
  <c r="B1638" i="3"/>
  <c r="A1638" i="3"/>
  <c r="J1637" i="3"/>
  <c r="I1637" i="3"/>
  <c r="H1637" i="3"/>
  <c r="G1637" i="3"/>
  <c r="F1637" i="3"/>
  <c r="E1637" i="3"/>
  <c r="D1637" i="3"/>
  <c r="C1637" i="3"/>
  <c r="B1637" i="3"/>
  <c r="A1637" i="3"/>
  <c r="K1636" i="3"/>
  <c r="J1636" i="3"/>
  <c r="I1636" i="3"/>
  <c r="H1636" i="3"/>
  <c r="G1636" i="3"/>
  <c r="F1636" i="3"/>
  <c r="E1636" i="3"/>
  <c r="D1636" i="3"/>
  <c r="C1636" i="3"/>
  <c r="B1636" i="3"/>
  <c r="A1636" i="3"/>
  <c r="O1635" i="3"/>
  <c r="M1635" i="3"/>
  <c r="K1635" i="3"/>
  <c r="J1635" i="3"/>
  <c r="I1635" i="3"/>
  <c r="H1635" i="3"/>
  <c r="G1635" i="3"/>
  <c r="F1635" i="3"/>
  <c r="E1635" i="3"/>
  <c r="D1635" i="3"/>
  <c r="C1635" i="3"/>
  <c r="B1635" i="3"/>
  <c r="A1635" i="3"/>
  <c r="O1634" i="3"/>
  <c r="M1634" i="3"/>
  <c r="K1634" i="3"/>
  <c r="J1634" i="3"/>
  <c r="I1634" i="3"/>
  <c r="H1634" i="3"/>
  <c r="G1634" i="3"/>
  <c r="F1634" i="3"/>
  <c r="E1634" i="3"/>
  <c r="D1634" i="3"/>
  <c r="C1634" i="3"/>
  <c r="B1634" i="3"/>
  <c r="A1634" i="3"/>
  <c r="O1633" i="3"/>
  <c r="K1633" i="3"/>
  <c r="J1633" i="3"/>
  <c r="I1633" i="3"/>
  <c r="H1633" i="3"/>
  <c r="G1633" i="3"/>
  <c r="F1633" i="3"/>
  <c r="E1633" i="3"/>
  <c r="D1633" i="3"/>
  <c r="C1633" i="3"/>
  <c r="B1633" i="3"/>
  <c r="A1633" i="3"/>
  <c r="K1632" i="3"/>
  <c r="J1632" i="3"/>
  <c r="I1632" i="3"/>
  <c r="H1632" i="3"/>
  <c r="G1632" i="3"/>
  <c r="F1632" i="3"/>
  <c r="E1632" i="3"/>
  <c r="D1632" i="3"/>
  <c r="C1632" i="3"/>
  <c r="B1632" i="3"/>
  <c r="A1632" i="3"/>
  <c r="J1631" i="3"/>
  <c r="I1631" i="3"/>
  <c r="H1631" i="3"/>
  <c r="G1631" i="3"/>
  <c r="F1631" i="3"/>
  <c r="E1631" i="3"/>
  <c r="D1631" i="3"/>
  <c r="C1631" i="3"/>
  <c r="B1631" i="3"/>
  <c r="A1631" i="3"/>
  <c r="O1630" i="3"/>
  <c r="M1630" i="3"/>
  <c r="K1630" i="3"/>
  <c r="J1630" i="3"/>
  <c r="I1630" i="3"/>
  <c r="H1630" i="3"/>
  <c r="G1630" i="3"/>
  <c r="F1630" i="3"/>
  <c r="E1630" i="3"/>
  <c r="D1630" i="3"/>
  <c r="C1630" i="3"/>
  <c r="B1630" i="3"/>
  <c r="A1630" i="3"/>
  <c r="M1629" i="3"/>
  <c r="K1629" i="3"/>
  <c r="J1629" i="3"/>
  <c r="I1629" i="3"/>
  <c r="H1629" i="3"/>
  <c r="G1629" i="3"/>
  <c r="F1629" i="3"/>
  <c r="E1629" i="3"/>
  <c r="D1629" i="3"/>
  <c r="C1629" i="3"/>
  <c r="B1629" i="3"/>
  <c r="A1629" i="3"/>
  <c r="K1628" i="3"/>
  <c r="J1628" i="3"/>
  <c r="I1628" i="3"/>
  <c r="H1628" i="3"/>
  <c r="G1628" i="3"/>
  <c r="F1628" i="3"/>
  <c r="E1628" i="3"/>
  <c r="D1628" i="3"/>
  <c r="C1628" i="3"/>
  <c r="B1628" i="3"/>
  <c r="A1628" i="3"/>
  <c r="O1627" i="3"/>
  <c r="K1627" i="3"/>
  <c r="J1627" i="3"/>
  <c r="I1627" i="3"/>
  <c r="H1627" i="3"/>
  <c r="G1627" i="3"/>
  <c r="F1627" i="3"/>
  <c r="E1627" i="3"/>
  <c r="D1627" i="3"/>
  <c r="C1627" i="3"/>
  <c r="B1627" i="3"/>
  <c r="A1627" i="3"/>
  <c r="J1626" i="3"/>
  <c r="I1626" i="3"/>
  <c r="H1626" i="3"/>
  <c r="G1626" i="3"/>
  <c r="F1626" i="3"/>
  <c r="E1626" i="3"/>
  <c r="D1626" i="3"/>
  <c r="C1626" i="3"/>
  <c r="B1626" i="3"/>
  <c r="A1626" i="3"/>
  <c r="J1625" i="3"/>
  <c r="I1625" i="3"/>
  <c r="H1625" i="3"/>
  <c r="G1625" i="3"/>
  <c r="F1625" i="3"/>
  <c r="E1625" i="3"/>
  <c r="D1625" i="3"/>
  <c r="C1625" i="3"/>
  <c r="B1625" i="3"/>
  <c r="A1625" i="3"/>
  <c r="M1624" i="3"/>
  <c r="K1624" i="3"/>
  <c r="J1624" i="3"/>
  <c r="I1624" i="3"/>
  <c r="H1624" i="3"/>
  <c r="G1624" i="3"/>
  <c r="F1624" i="3"/>
  <c r="E1624" i="3"/>
  <c r="D1624" i="3"/>
  <c r="C1624" i="3"/>
  <c r="B1624" i="3"/>
  <c r="A1624" i="3"/>
  <c r="O1623" i="3"/>
  <c r="M1623" i="3"/>
  <c r="K1623" i="3"/>
  <c r="J1623" i="3"/>
  <c r="I1623" i="3"/>
  <c r="H1623" i="3"/>
  <c r="G1623" i="3"/>
  <c r="F1623" i="3"/>
  <c r="E1623" i="3"/>
  <c r="D1623" i="3"/>
  <c r="C1623" i="3"/>
  <c r="B1623" i="3"/>
  <c r="A1623" i="3"/>
  <c r="O1622" i="3"/>
  <c r="M1622" i="3"/>
  <c r="K1622" i="3"/>
  <c r="J1622" i="3"/>
  <c r="I1622" i="3"/>
  <c r="H1622" i="3"/>
  <c r="G1622" i="3"/>
  <c r="F1622" i="3"/>
  <c r="E1622" i="3"/>
  <c r="D1622" i="3"/>
  <c r="C1622" i="3"/>
  <c r="B1622" i="3"/>
  <c r="A1622" i="3"/>
  <c r="O1621" i="3"/>
  <c r="M1621" i="3"/>
  <c r="K1621" i="3"/>
  <c r="J1621" i="3"/>
  <c r="I1621" i="3"/>
  <c r="H1621" i="3"/>
  <c r="G1621" i="3"/>
  <c r="F1621" i="3"/>
  <c r="E1621" i="3"/>
  <c r="D1621" i="3"/>
  <c r="C1621" i="3"/>
  <c r="B1621" i="3"/>
  <c r="A1621" i="3"/>
  <c r="J1620" i="3"/>
  <c r="I1620" i="3"/>
  <c r="H1620" i="3"/>
  <c r="G1620" i="3"/>
  <c r="F1620" i="3"/>
  <c r="E1620" i="3"/>
  <c r="D1620" i="3"/>
  <c r="C1620" i="3"/>
  <c r="B1620" i="3"/>
  <c r="A1620" i="3"/>
  <c r="M1619" i="3"/>
  <c r="K1619" i="3"/>
  <c r="J1619" i="3"/>
  <c r="I1619" i="3"/>
  <c r="H1619" i="3"/>
  <c r="G1619" i="3"/>
  <c r="F1619" i="3"/>
  <c r="E1619" i="3"/>
  <c r="D1619" i="3"/>
  <c r="C1619" i="3"/>
  <c r="B1619" i="3"/>
  <c r="A1619" i="3"/>
  <c r="M1618" i="3"/>
  <c r="K1618" i="3"/>
  <c r="J1618" i="3"/>
  <c r="I1618" i="3"/>
  <c r="H1618" i="3"/>
  <c r="G1618" i="3"/>
  <c r="F1618" i="3"/>
  <c r="E1618" i="3"/>
  <c r="D1618" i="3"/>
  <c r="C1618" i="3"/>
  <c r="B1618" i="3"/>
  <c r="A1618" i="3"/>
  <c r="O1617" i="3"/>
  <c r="K1617" i="3"/>
  <c r="J1617" i="3"/>
  <c r="I1617" i="3"/>
  <c r="H1617" i="3"/>
  <c r="G1617" i="3"/>
  <c r="F1617" i="3"/>
  <c r="E1617" i="3"/>
  <c r="D1617" i="3"/>
  <c r="C1617" i="3"/>
  <c r="B1617" i="3"/>
  <c r="A1617" i="3"/>
  <c r="J1616" i="3"/>
  <c r="I1616" i="3"/>
  <c r="H1616" i="3"/>
  <c r="G1616" i="3"/>
  <c r="F1616" i="3"/>
  <c r="E1616" i="3"/>
  <c r="D1616" i="3"/>
  <c r="C1616" i="3"/>
  <c r="B1616" i="3"/>
  <c r="A1616" i="3"/>
  <c r="K1615" i="3"/>
  <c r="J1615" i="3"/>
  <c r="I1615" i="3"/>
  <c r="H1615" i="3"/>
  <c r="G1615" i="3"/>
  <c r="F1615" i="3"/>
  <c r="E1615" i="3"/>
  <c r="D1615" i="3"/>
  <c r="C1615" i="3"/>
  <c r="B1615" i="3"/>
  <c r="A1615" i="3"/>
  <c r="J1614" i="3"/>
  <c r="I1614" i="3"/>
  <c r="H1614" i="3"/>
  <c r="G1614" i="3"/>
  <c r="F1614" i="3"/>
  <c r="E1614" i="3"/>
  <c r="D1614" i="3"/>
  <c r="C1614" i="3"/>
  <c r="B1614" i="3"/>
  <c r="A1614" i="3"/>
  <c r="O1613" i="3"/>
  <c r="K1613" i="3"/>
  <c r="J1613" i="3"/>
  <c r="I1613" i="3"/>
  <c r="H1613" i="3"/>
  <c r="G1613" i="3"/>
  <c r="F1613" i="3"/>
  <c r="E1613" i="3"/>
  <c r="D1613" i="3"/>
  <c r="C1613" i="3"/>
  <c r="B1613" i="3"/>
  <c r="A1613" i="3"/>
  <c r="K1612" i="3"/>
  <c r="J1612" i="3"/>
  <c r="I1612" i="3"/>
  <c r="H1612" i="3"/>
  <c r="G1612" i="3"/>
  <c r="F1612" i="3"/>
  <c r="E1612" i="3"/>
  <c r="D1612" i="3"/>
  <c r="C1612" i="3"/>
  <c r="B1612" i="3"/>
  <c r="A1612" i="3"/>
  <c r="K1611" i="3"/>
  <c r="J1611" i="3"/>
  <c r="I1611" i="3"/>
  <c r="H1611" i="3"/>
  <c r="G1611" i="3"/>
  <c r="F1611" i="3"/>
  <c r="E1611" i="3"/>
  <c r="D1611" i="3"/>
  <c r="C1611" i="3"/>
  <c r="B1611" i="3"/>
  <c r="A1611" i="3"/>
  <c r="O1610" i="3"/>
  <c r="M1610" i="3"/>
  <c r="K1610" i="3"/>
  <c r="J1610" i="3"/>
  <c r="I1610" i="3"/>
  <c r="H1610" i="3"/>
  <c r="G1610" i="3"/>
  <c r="F1610" i="3"/>
  <c r="E1610" i="3"/>
  <c r="D1610" i="3"/>
  <c r="C1610" i="3"/>
  <c r="B1610" i="3"/>
  <c r="A1610" i="3"/>
  <c r="K1609" i="3"/>
  <c r="J1609" i="3"/>
  <c r="I1609" i="3"/>
  <c r="H1609" i="3"/>
  <c r="G1609" i="3"/>
  <c r="F1609" i="3"/>
  <c r="E1609" i="3"/>
  <c r="D1609" i="3"/>
  <c r="C1609" i="3"/>
  <c r="B1609" i="3"/>
  <c r="A1609" i="3"/>
  <c r="O1608" i="3"/>
  <c r="K1608" i="3"/>
  <c r="J1608" i="3"/>
  <c r="I1608" i="3"/>
  <c r="H1608" i="3"/>
  <c r="G1608" i="3"/>
  <c r="F1608" i="3"/>
  <c r="E1608" i="3"/>
  <c r="D1608" i="3"/>
  <c r="C1608" i="3"/>
  <c r="B1608" i="3"/>
  <c r="A1608" i="3"/>
  <c r="O1607" i="3"/>
  <c r="K1607" i="3"/>
  <c r="J1607" i="3"/>
  <c r="I1607" i="3"/>
  <c r="H1607" i="3"/>
  <c r="G1607" i="3"/>
  <c r="F1607" i="3"/>
  <c r="E1607" i="3"/>
  <c r="D1607" i="3"/>
  <c r="C1607" i="3"/>
  <c r="B1607" i="3"/>
  <c r="A1607" i="3"/>
  <c r="O1606" i="3"/>
  <c r="M1606" i="3"/>
  <c r="K1606" i="3"/>
  <c r="J1606" i="3"/>
  <c r="I1606" i="3"/>
  <c r="H1606" i="3"/>
  <c r="G1606" i="3"/>
  <c r="F1606" i="3"/>
  <c r="E1606" i="3"/>
  <c r="D1606" i="3"/>
  <c r="C1606" i="3"/>
  <c r="B1606" i="3"/>
  <c r="A1606" i="3"/>
  <c r="O1605" i="3"/>
  <c r="K1605" i="3"/>
  <c r="J1605" i="3"/>
  <c r="I1605" i="3"/>
  <c r="H1605" i="3"/>
  <c r="G1605" i="3"/>
  <c r="F1605" i="3"/>
  <c r="E1605" i="3"/>
  <c r="D1605" i="3"/>
  <c r="C1605" i="3"/>
  <c r="B1605" i="3"/>
  <c r="A1605" i="3"/>
  <c r="O1604" i="3"/>
  <c r="M1604" i="3"/>
  <c r="K1604" i="3"/>
  <c r="J1604" i="3"/>
  <c r="I1604" i="3"/>
  <c r="H1604" i="3"/>
  <c r="G1604" i="3"/>
  <c r="F1604" i="3"/>
  <c r="E1604" i="3"/>
  <c r="D1604" i="3"/>
  <c r="C1604" i="3"/>
  <c r="B1604" i="3"/>
  <c r="A1604" i="3"/>
  <c r="O1603" i="3"/>
  <c r="M1603" i="3"/>
  <c r="K1603" i="3"/>
  <c r="J1603" i="3"/>
  <c r="I1603" i="3"/>
  <c r="H1603" i="3"/>
  <c r="G1603" i="3"/>
  <c r="F1603" i="3"/>
  <c r="E1603" i="3"/>
  <c r="D1603" i="3"/>
  <c r="C1603" i="3"/>
  <c r="B1603" i="3"/>
  <c r="A1603" i="3"/>
  <c r="O1602" i="3"/>
  <c r="M1602" i="3"/>
  <c r="K1602" i="3"/>
  <c r="J1602" i="3"/>
  <c r="I1602" i="3"/>
  <c r="H1602" i="3"/>
  <c r="G1602" i="3"/>
  <c r="F1602" i="3"/>
  <c r="E1602" i="3"/>
  <c r="D1602" i="3"/>
  <c r="C1602" i="3"/>
  <c r="B1602" i="3"/>
  <c r="A1602" i="3"/>
  <c r="O1601" i="3"/>
  <c r="M1601" i="3"/>
  <c r="K1601" i="3"/>
  <c r="J1601" i="3"/>
  <c r="I1601" i="3"/>
  <c r="H1601" i="3"/>
  <c r="G1601" i="3"/>
  <c r="F1601" i="3"/>
  <c r="E1601" i="3"/>
  <c r="D1601" i="3"/>
  <c r="C1601" i="3"/>
  <c r="B1601" i="3"/>
  <c r="A1601" i="3"/>
  <c r="J1600" i="3"/>
  <c r="I1600" i="3"/>
  <c r="H1600" i="3"/>
  <c r="G1600" i="3"/>
  <c r="F1600" i="3"/>
  <c r="E1600" i="3"/>
  <c r="D1600" i="3"/>
  <c r="C1600" i="3"/>
  <c r="B1600" i="3"/>
  <c r="A1600" i="3"/>
  <c r="O1599" i="3"/>
  <c r="M1599" i="3"/>
  <c r="K1599" i="3"/>
  <c r="J1599" i="3"/>
  <c r="I1599" i="3"/>
  <c r="H1599" i="3"/>
  <c r="G1599" i="3"/>
  <c r="F1599" i="3"/>
  <c r="E1599" i="3"/>
  <c r="D1599" i="3"/>
  <c r="C1599" i="3"/>
  <c r="B1599" i="3"/>
  <c r="A1599" i="3"/>
  <c r="J1598" i="3"/>
  <c r="I1598" i="3"/>
  <c r="H1598" i="3"/>
  <c r="G1598" i="3"/>
  <c r="F1598" i="3"/>
  <c r="E1598" i="3"/>
  <c r="D1598" i="3"/>
  <c r="C1598" i="3"/>
  <c r="B1598" i="3"/>
  <c r="A1598" i="3"/>
  <c r="J1597" i="3"/>
  <c r="I1597" i="3"/>
  <c r="H1597" i="3"/>
  <c r="G1597" i="3"/>
  <c r="F1597" i="3"/>
  <c r="E1597" i="3"/>
  <c r="D1597" i="3"/>
  <c r="C1597" i="3"/>
  <c r="B1597" i="3"/>
  <c r="A1597" i="3"/>
  <c r="O1596" i="3"/>
  <c r="M1596" i="3"/>
  <c r="K1596" i="3"/>
  <c r="J1596" i="3"/>
  <c r="I1596" i="3"/>
  <c r="H1596" i="3"/>
  <c r="G1596" i="3"/>
  <c r="F1596" i="3"/>
  <c r="E1596" i="3"/>
  <c r="D1596" i="3"/>
  <c r="C1596" i="3"/>
  <c r="B1596" i="3"/>
  <c r="A1596" i="3"/>
  <c r="J1595" i="3"/>
  <c r="I1595" i="3"/>
  <c r="H1595" i="3"/>
  <c r="G1595" i="3"/>
  <c r="F1595" i="3"/>
  <c r="E1595" i="3"/>
  <c r="D1595" i="3"/>
  <c r="C1595" i="3"/>
  <c r="B1595" i="3"/>
  <c r="A1595" i="3"/>
  <c r="O1594" i="3"/>
  <c r="M1594" i="3"/>
  <c r="K1594" i="3"/>
  <c r="J1594" i="3"/>
  <c r="I1594" i="3"/>
  <c r="H1594" i="3"/>
  <c r="G1594" i="3"/>
  <c r="F1594" i="3"/>
  <c r="E1594" i="3"/>
  <c r="D1594" i="3"/>
  <c r="C1594" i="3"/>
  <c r="B1594" i="3"/>
  <c r="A1594" i="3"/>
  <c r="O1593" i="3"/>
  <c r="K1593" i="3"/>
  <c r="J1593" i="3"/>
  <c r="I1593" i="3"/>
  <c r="H1593" i="3"/>
  <c r="G1593" i="3"/>
  <c r="F1593" i="3"/>
  <c r="E1593" i="3"/>
  <c r="D1593" i="3"/>
  <c r="C1593" i="3"/>
  <c r="B1593" i="3"/>
  <c r="A1593" i="3"/>
  <c r="J1592" i="3"/>
  <c r="I1592" i="3"/>
  <c r="H1592" i="3"/>
  <c r="G1592" i="3"/>
  <c r="F1592" i="3"/>
  <c r="E1592" i="3"/>
  <c r="D1592" i="3"/>
  <c r="C1592" i="3"/>
  <c r="B1592" i="3"/>
  <c r="A1592" i="3"/>
  <c r="K1591" i="3"/>
  <c r="J1591" i="3"/>
  <c r="I1591" i="3"/>
  <c r="H1591" i="3"/>
  <c r="G1591" i="3"/>
  <c r="F1591" i="3"/>
  <c r="E1591" i="3"/>
  <c r="D1591" i="3"/>
  <c r="C1591" i="3"/>
  <c r="B1591" i="3"/>
  <c r="A1591" i="3"/>
  <c r="O1590" i="3"/>
  <c r="M1590" i="3"/>
  <c r="K1590" i="3"/>
  <c r="J1590" i="3"/>
  <c r="I1590" i="3"/>
  <c r="H1590" i="3"/>
  <c r="G1590" i="3"/>
  <c r="F1590" i="3"/>
  <c r="E1590" i="3"/>
  <c r="D1590" i="3"/>
  <c r="C1590" i="3"/>
  <c r="B1590" i="3"/>
  <c r="A1590" i="3"/>
  <c r="O1589" i="3"/>
  <c r="M1589" i="3"/>
  <c r="K1589" i="3"/>
  <c r="J1589" i="3"/>
  <c r="I1589" i="3"/>
  <c r="H1589" i="3"/>
  <c r="G1589" i="3"/>
  <c r="F1589" i="3"/>
  <c r="E1589" i="3"/>
  <c r="D1589" i="3"/>
  <c r="C1589" i="3"/>
  <c r="B1589" i="3"/>
  <c r="A1589" i="3"/>
  <c r="O1588" i="3"/>
  <c r="M1588" i="3"/>
  <c r="K1588" i="3"/>
  <c r="J1588" i="3"/>
  <c r="I1588" i="3"/>
  <c r="H1588" i="3"/>
  <c r="G1588" i="3"/>
  <c r="F1588" i="3"/>
  <c r="E1588" i="3"/>
  <c r="D1588" i="3"/>
  <c r="C1588" i="3"/>
  <c r="B1588" i="3"/>
  <c r="A1588" i="3"/>
  <c r="J1587" i="3"/>
  <c r="I1587" i="3"/>
  <c r="H1587" i="3"/>
  <c r="G1587" i="3"/>
  <c r="F1587" i="3"/>
  <c r="E1587" i="3"/>
  <c r="D1587" i="3"/>
  <c r="C1587" i="3"/>
  <c r="B1587" i="3"/>
  <c r="A1587" i="3"/>
  <c r="M1586" i="3"/>
  <c r="K1586" i="3"/>
  <c r="J1586" i="3"/>
  <c r="I1586" i="3"/>
  <c r="H1586" i="3"/>
  <c r="G1586" i="3"/>
  <c r="F1586" i="3"/>
  <c r="E1586" i="3"/>
  <c r="D1586" i="3"/>
  <c r="C1586" i="3"/>
  <c r="B1586" i="3"/>
  <c r="A1586" i="3"/>
  <c r="J1585" i="3"/>
  <c r="I1585" i="3"/>
  <c r="H1585" i="3"/>
  <c r="G1585" i="3"/>
  <c r="F1585" i="3"/>
  <c r="E1585" i="3"/>
  <c r="D1585" i="3"/>
  <c r="C1585" i="3"/>
  <c r="B1585" i="3"/>
  <c r="A1585" i="3"/>
  <c r="J1584" i="3"/>
  <c r="I1584" i="3"/>
  <c r="H1584" i="3"/>
  <c r="G1584" i="3"/>
  <c r="F1584" i="3"/>
  <c r="E1584" i="3"/>
  <c r="D1584" i="3"/>
  <c r="C1584" i="3"/>
  <c r="B1584" i="3"/>
  <c r="A1584" i="3"/>
  <c r="O1583" i="3"/>
  <c r="K1583" i="3"/>
  <c r="J1583" i="3"/>
  <c r="I1583" i="3"/>
  <c r="H1583" i="3"/>
  <c r="G1583" i="3"/>
  <c r="F1583" i="3"/>
  <c r="E1583" i="3"/>
  <c r="D1583" i="3"/>
  <c r="C1583" i="3"/>
  <c r="B1583" i="3"/>
  <c r="A1583" i="3"/>
  <c r="O1582" i="3"/>
  <c r="M1582" i="3"/>
  <c r="K1582" i="3"/>
  <c r="J1582" i="3"/>
  <c r="I1582" i="3"/>
  <c r="H1582" i="3"/>
  <c r="G1582" i="3"/>
  <c r="F1582" i="3"/>
  <c r="E1582" i="3"/>
  <c r="D1582" i="3"/>
  <c r="C1582" i="3"/>
  <c r="B1582" i="3"/>
  <c r="A1582" i="3"/>
  <c r="J1581" i="3"/>
  <c r="I1581" i="3"/>
  <c r="H1581" i="3"/>
  <c r="G1581" i="3"/>
  <c r="F1581" i="3"/>
  <c r="E1581" i="3"/>
  <c r="D1581" i="3"/>
  <c r="C1581" i="3"/>
  <c r="B1581" i="3"/>
  <c r="A1581" i="3"/>
  <c r="O1580" i="3"/>
  <c r="K1580" i="3"/>
  <c r="J1580" i="3"/>
  <c r="I1580" i="3"/>
  <c r="H1580" i="3"/>
  <c r="G1580" i="3"/>
  <c r="F1580" i="3"/>
  <c r="E1580" i="3"/>
  <c r="D1580" i="3"/>
  <c r="C1580" i="3"/>
  <c r="B1580" i="3"/>
  <c r="A1580" i="3"/>
  <c r="O1579" i="3"/>
  <c r="K1579" i="3"/>
  <c r="J1579" i="3"/>
  <c r="I1579" i="3"/>
  <c r="H1579" i="3"/>
  <c r="G1579" i="3"/>
  <c r="F1579" i="3"/>
  <c r="E1579" i="3"/>
  <c r="D1579" i="3"/>
  <c r="C1579" i="3"/>
  <c r="B1579" i="3"/>
  <c r="A1579" i="3"/>
  <c r="J1578" i="3"/>
  <c r="I1578" i="3"/>
  <c r="H1578" i="3"/>
  <c r="G1578" i="3"/>
  <c r="F1578" i="3"/>
  <c r="E1578" i="3"/>
  <c r="D1578" i="3"/>
  <c r="C1578" i="3"/>
  <c r="B1578" i="3"/>
  <c r="A1578" i="3"/>
  <c r="J1577" i="3"/>
  <c r="I1577" i="3"/>
  <c r="H1577" i="3"/>
  <c r="G1577" i="3"/>
  <c r="F1577" i="3"/>
  <c r="E1577" i="3"/>
  <c r="D1577" i="3"/>
  <c r="C1577" i="3"/>
  <c r="B1577" i="3"/>
  <c r="A1577" i="3"/>
  <c r="O1576" i="3"/>
  <c r="M1576" i="3"/>
  <c r="K1576" i="3"/>
  <c r="J1576" i="3"/>
  <c r="I1576" i="3"/>
  <c r="H1576" i="3"/>
  <c r="G1576" i="3"/>
  <c r="F1576" i="3"/>
  <c r="E1576" i="3"/>
  <c r="D1576" i="3"/>
  <c r="C1576" i="3"/>
  <c r="B1576" i="3"/>
  <c r="A1576" i="3"/>
  <c r="O1575" i="3"/>
  <c r="M1575" i="3"/>
  <c r="K1575" i="3"/>
  <c r="J1575" i="3"/>
  <c r="I1575" i="3"/>
  <c r="H1575" i="3"/>
  <c r="G1575" i="3"/>
  <c r="F1575" i="3"/>
  <c r="E1575" i="3"/>
  <c r="D1575" i="3"/>
  <c r="C1575" i="3"/>
  <c r="B1575" i="3"/>
  <c r="A1575" i="3"/>
  <c r="O1574" i="3"/>
  <c r="M1574" i="3"/>
  <c r="K1574" i="3"/>
  <c r="J1574" i="3"/>
  <c r="I1574" i="3"/>
  <c r="H1574" i="3"/>
  <c r="G1574" i="3"/>
  <c r="F1574" i="3"/>
  <c r="E1574" i="3"/>
  <c r="D1574" i="3"/>
  <c r="C1574" i="3"/>
  <c r="B1574" i="3"/>
  <c r="A1574" i="3"/>
  <c r="O1573" i="3"/>
  <c r="M1573" i="3"/>
  <c r="K1573" i="3"/>
  <c r="J1573" i="3"/>
  <c r="I1573" i="3"/>
  <c r="H1573" i="3"/>
  <c r="G1573" i="3"/>
  <c r="F1573" i="3"/>
  <c r="E1573" i="3"/>
  <c r="D1573" i="3"/>
  <c r="C1573" i="3"/>
  <c r="B1573" i="3"/>
  <c r="A1573" i="3"/>
  <c r="J1572" i="3"/>
  <c r="I1572" i="3"/>
  <c r="H1572" i="3"/>
  <c r="G1572" i="3"/>
  <c r="F1572" i="3"/>
  <c r="E1572" i="3"/>
  <c r="D1572" i="3"/>
  <c r="C1572" i="3"/>
  <c r="B1572" i="3"/>
  <c r="A1572" i="3"/>
  <c r="K1571" i="3"/>
  <c r="J1571" i="3"/>
  <c r="I1571" i="3"/>
  <c r="H1571" i="3"/>
  <c r="G1571" i="3"/>
  <c r="F1571" i="3"/>
  <c r="E1571" i="3"/>
  <c r="D1571" i="3"/>
  <c r="C1571" i="3"/>
  <c r="B1571" i="3"/>
  <c r="A1571" i="3"/>
  <c r="O1570" i="3"/>
  <c r="M1570" i="3"/>
  <c r="K1570" i="3"/>
  <c r="J1570" i="3"/>
  <c r="I1570" i="3"/>
  <c r="H1570" i="3"/>
  <c r="G1570" i="3"/>
  <c r="F1570" i="3"/>
  <c r="E1570" i="3"/>
  <c r="D1570" i="3"/>
  <c r="C1570" i="3"/>
  <c r="B1570" i="3"/>
  <c r="A1570" i="3"/>
  <c r="O1569" i="3"/>
  <c r="M1569" i="3"/>
  <c r="K1569" i="3"/>
  <c r="J1569" i="3"/>
  <c r="I1569" i="3"/>
  <c r="H1569" i="3"/>
  <c r="G1569" i="3"/>
  <c r="F1569" i="3"/>
  <c r="E1569" i="3"/>
  <c r="D1569" i="3"/>
  <c r="C1569" i="3"/>
  <c r="B1569" i="3"/>
  <c r="A1569" i="3"/>
  <c r="K1568" i="3"/>
  <c r="J1568" i="3"/>
  <c r="I1568" i="3"/>
  <c r="H1568" i="3"/>
  <c r="G1568" i="3"/>
  <c r="F1568" i="3"/>
  <c r="E1568" i="3"/>
  <c r="D1568" i="3"/>
  <c r="C1568" i="3"/>
  <c r="B1568" i="3"/>
  <c r="A1568" i="3"/>
  <c r="O1567" i="3"/>
  <c r="M1567" i="3"/>
  <c r="K1567" i="3"/>
  <c r="J1567" i="3"/>
  <c r="I1567" i="3"/>
  <c r="H1567" i="3"/>
  <c r="G1567" i="3"/>
  <c r="F1567" i="3"/>
  <c r="E1567" i="3"/>
  <c r="D1567" i="3"/>
  <c r="C1567" i="3"/>
  <c r="B1567" i="3"/>
  <c r="A1567" i="3"/>
  <c r="O1566" i="3"/>
  <c r="M1566" i="3"/>
  <c r="K1566" i="3"/>
  <c r="J1566" i="3"/>
  <c r="I1566" i="3"/>
  <c r="H1566" i="3"/>
  <c r="G1566" i="3"/>
  <c r="F1566" i="3"/>
  <c r="E1566" i="3"/>
  <c r="D1566" i="3"/>
  <c r="C1566" i="3"/>
  <c r="B1566" i="3"/>
  <c r="A1566" i="3"/>
  <c r="O1565" i="3"/>
  <c r="K1565" i="3"/>
  <c r="J1565" i="3"/>
  <c r="I1565" i="3"/>
  <c r="H1565" i="3"/>
  <c r="G1565" i="3"/>
  <c r="F1565" i="3"/>
  <c r="E1565" i="3"/>
  <c r="D1565" i="3"/>
  <c r="C1565" i="3"/>
  <c r="B1565" i="3"/>
  <c r="A1565" i="3"/>
  <c r="J1564" i="3"/>
  <c r="I1564" i="3"/>
  <c r="H1564" i="3"/>
  <c r="G1564" i="3"/>
  <c r="F1564" i="3"/>
  <c r="E1564" i="3"/>
  <c r="D1564" i="3"/>
  <c r="C1564" i="3"/>
  <c r="B1564" i="3"/>
  <c r="A1564" i="3"/>
  <c r="O1563" i="3"/>
  <c r="M1563" i="3"/>
  <c r="K1563" i="3"/>
  <c r="J1563" i="3"/>
  <c r="I1563" i="3"/>
  <c r="H1563" i="3"/>
  <c r="G1563" i="3"/>
  <c r="F1563" i="3"/>
  <c r="E1563" i="3"/>
  <c r="D1563" i="3"/>
  <c r="C1563" i="3"/>
  <c r="B1563" i="3"/>
  <c r="A1563" i="3"/>
  <c r="O1562" i="3"/>
  <c r="M1562" i="3"/>
  <c r="K1562" i="3"/>
  <c r="J1562" i="3"/>
  <c r="I1562" i="3"/>
  <c r="H1562" i="3"/>
  <c r="G1562" i="3"/>
  <c r="F1562" i="3"/>
  <c r="E1562" i="3"/>
  <c r="D1562" i="3"/>
  <c r="C1562" i="3"/>
  <c r="B1562" i="3"/>
  <c r="A1562" i="3"/>
  <c r="O1561" i="3"/>
  <c r="M1561" i="3"/>
  <c r="K1561" i="3"/>
  <c r="J1561" i="3"/>
  <c r="I1561" i="3"/>
  <c r="H1561" i="3"/>
  <c r="G1561" i="3"/>
  <c r="F1561" i="3"/>
  <c r="E1561" i="3"/>
  <c r="D1561" i="3"/>
  <c r="C1561" i="3"/>
  <c r="B1561" i="3"/>
  <c r="A1561" i="3"/>
  <c r="O1560" i="3"/>
  <c r="M1560" i="3"/>
  <c r="K1560" i="3"/>
  <c r="J1560" i="3"/>
  <c r="I1560" i="3"/>
  <c r="H1560" i="3"/>
  <c r="G1560" i="3"/>
  <c r="F1560" i="3"/>
  <c r="E1560" i="3"/>
  <c r="D1560" i="3"/>
  <c r="C1560" i="3"/>
  <c r="B1560" i="3"/>
  <c r="A1560" i="3"/>
  <c r="O1559" i="3"/>
  <c r="K1559" i="3"/>
  <c r="J1559" i="3"/>
  <c r="I1559" i="3"/>
  <c r="H1559" i="3"/>
  <c r="G1559" i="3"/>
  <c r="F1559" i="3"/>
  <c r="E1559" i="3"/>
  <c r="D1559" i="3"/>
  <c r="C1559" i="3"/>
  <c r="B1559" i="3"/>
  <c r="A1559" i="3"/>
  <c r="O1558" i="3"/>
  <c r="M1558" i="3"/>
  <c r="K1558" i="3"/>
  <c r="J1558" i="3"/>
  <c r="I1558" i="3"/>
  <c r="H1558" i="3"/>
  <c r="G1558" i="3"/>
  <c r="F1558" i="3"/>
  <c r="E1558" i="3"/>
  <c r="D1558" i="3"/>
  <c r="C1558" i="3"/>
  <c r="B1558" i="3"/>
  <c r="A1558" i="3"/>
  <c r="O1557" i="3"/>
  <c r="M1557" i="3"/>
  <c r="K1557" i="3"/>
  <c r="J1557" i="3"/>
  <c r="I1557" i="3"/>
  <c r="H1557" i="3"/>
  <c r="G1557" i="3"/>
  <c r="F1557" i="3"/>
  <c r="E1557" i="3"/>
  <c r="D1557" i="3"/>
  <c r="C1557" i="3"/>
  <c r="B1557" i="3"/>
  <c r="A1557" i="3"/>
  <c r="M1556" i="3"/>
  <c r="K1556" i="3"/>
  <c r="J1556" i="3"/>
  <c r="I1556" i="3"/>
  <c r="H1556" i="3"/>
  <c r="G1556" i="3"/>
  <c r="F1556" i="3"/>
  <c r="E1556" i="3"/>
  <c r="D1556" i="3"/>
  <c r="C1556" i="3"/>
  <c r="B1556" i="3"/>
  <c r="A1556" i="3"/>
  <c r="K1555" i="3"/>
  <c r="J1555" i="3"/>
  <c r="I1555" i="3"/>
  <c r="H1555" i="3"/>
  <c r="G1555" i="3"/>
  <c r="F1555" i="3"/>
  <c r="E1555" i="3"/>
  <c r="D1555" i="3"/>
  <c r="C1555" i="3"/>
  <c r="B1555" i="3"/>
  <c r="A1555" i="3"/>
  <c r="O1554" i="3"/>
  <c r="M1554" i="3"/>
  <c r="K1554" i="3"/>
  <c r="J1554" i="3"/>
  <c r="I1554" i="3"/>
  <c r="H1554" i="3"/>
  <c r="G1554" i="3"/>
  <c r="F1554" i="3"/>
  <c r="E1554" i="3"/>
  <c r="D1554" i="3"/>
  <c r="C1554" i="3"/>
  <c r="B1554" i="3"/>
  <c r="A1554" i="3"/>
  <c r="M1553" i="3"/>
  <c r="K1553" i="3"/>
  <c r="J1553" i="3"/>
  <c r="I1553" i="3"/>
  <c r="H1553" i="3"/>
  <c r="G1553" i="3"/>
  <c r="F1553" i="3"/>
  <c r="E1553" i="3"/>
  <c r="D1553" i="3"/>
  <c r="C1553" i="3"/>
  <c r="B1553" i="3"/>
  <c r="A1553" i="3"/>
  <c r="J1552" i="3"/>
  <c r="I1552" i="3"/>
  <c r="H1552" i="3"/>
  <c r="G1552" i="3"/>
  <c r="F1552" i="3"/>
  <c r="E1552" i="3"/>
  <c r="D1552" i="3"/>
  <c r="C1552" i="3"/>
  <c r="B1552" i="3"/>
  <c r="A1552" i="3"/>
  <c r="O1551" i="3"/>
  <c r="M1551" i="3"/>
  <c r="K1551" i="3"/>
  <c r="J1551" i="3"/>
  <c r="I1551" i="3"/>
  <c r="H1551" i="3"/>
  <c r="G1551" i="3"/>
  <c r="F1551" i="3"/>
  <c r="E1551" i="3"/>
  <c r="D1551" i="3"/>
  <c r="C1551" i="3"/>
  <c r="B1551" i="3"/>
  <c r="A1551" i="3"/>
  <c r="O1550" i="3"/>
  <c r="K1550" i="3"/>
  <c r="J1550" i="3"/>
  <c r="I1550" i="3"/>
  <c r="H1550" i="3"/>
  <c r="G1550" i="3"/>
  <c r="F1550" i="3"/>
  <c r="E1550" i="3"/>
  <c r="D1550" i="3"/>
  <c r="C1550" i="3"/>
  <c r="B1550" i="3"/>
  <c r="A1550" i="3"/>
  <c r="O1549" i="3"/>
  <c r="M1549" i="3"/>
  <c r="K1549" i="3"/>
  <c r="J1549" i="3"/>
  <c r="I1549" i="3"/>
  <c r="H1549" i="3"/>
  <c r="G1549" i="3"/>
  <c r="F1549" i="3"/>
  <c r="E1549" i="3"/>
  <c r="D1549" i="3"/>
  <c r="C1549" i="3"/>
  <c r="B1549" i="3"/>
  <c r="A1549" i="3"/>
  <c r="J1548" i="3"/>
  <c r="I1548" i="3"/>
  <c r="H1548" i="3"/>
  <c r="G1548" i="3"/>
  <c r="F1548" i="3"/>
  <c r="E1548" i="3"/>
  <c r="D1548" i="3"/>
  <c r="C1548" i="3"/>
  <c r="B1548" i="3"/>
  <c r="A1548" i="3"/>
  <c r="M1547" i="3"/>
  <c r="K1547" i="3"/>
  <c r="J1547" i="3"/>
  <c r="I1547" i="3"/>
  <c r="H1547" i="3"/>
  <c r="G1547" i="3"/>
  <c r="F1547" i="3"/>
  <c r="E1547" i="3"/>
  <c r="D1547" i="3"/>
  <c r="C1547" i="3"/>
  <c r="B1547" i="3"/>
  <c r="A1547" i="3"/>
  <c r="M1546" i="3"/>
  <c r="K1546" i="3"/>
  <c r="J1546" i="3"/>
  <c r="I1546" i="3"/>
  <c r="H1546" i="3"/>
  <c r="G1546" i="3"/>
  <c r="F1546" i="3"/>
  <c r="E1546" i="3"/>
  <c r="D1546" i="3"/>
  <c r="C1546" i="3"/>
  <c r="B1546" i="3"/>
  <c r="A1546" i="3"/>
  <c r="J1545" i="3"/>
  <c r="I1545" i="3"/>
  <c r="H1545" i="3"/>
  <c r="G1545" i="3"/>
  <c r="F1545" i="3"/>
  <c r="E1545" i="3"/>
  <c r="D1545" i="3"/>
  <c r="C1545" i="3"/>
  <c r="B1545" i="3"/>
  <c r="A1545" i="3"/>
  <c r="J1544" i="3"/>
  <c r="I1544" i="3"/>
  <c r="H1544" i="3"/>
  <c r="G1544" i="3"/>
  <c r="F1544" i="3"/>
  <c r="E1544" i="3"/>
  <c r="D1544" i="3"/>
  <c r="C1544" i="3"/>
  <c r="B1544" i="3"/>
  <c r="A1544" i="3"/>
  <c r="J1543" i="3"/>
  <c r="I1543" i="3"/>
  <c r="H1543" i="3"/>
  <c r="G1543" i="3"/>
  <c r="F1543" i="3"/>
  <c r="E1543" i="3"/>
  <c r="D1543" i="3"/>
  <c r="C1543" i="3"/>
  <c r="B1543" i="3"/>
  <c r="A1543" i="3"/>
  <c r="J1542" i="3"/>
  <c r="I1542" i="3"/>
  <c r="H1542" i="3"/>
  <c r="G1542" i="3"/>
  <c r="F1542" i="3"/>
  <c r="E1542" i="3"/>
  <c r="D1542" i="3"/>
  <c r="C1542" i="3"/>
  <c r="B1542" i="3"/>
  <c r="A1542" i="3"/>
  <c r="O1541" i="3"/>
  <c r="M1541" i="3"/>
  <c r="K1541" i="3"/>
  <c r="J1541" i="3"/>
  <c r="I1541" i="3"/>
  <c r="H1541" i="3"/>
  <c r="G1541" i="3"/>
  <c r="F1541" i="3"/>
  <c r="E1541" i="3"/>
  <c r="D1541" i="3"/>
  <c r="C1541" i="3"/>
  <c r="B1541" i="3"/>
  <c r="A1541" i="3"/>
  <c r="J1540" i="3"/>
  <c r="I1540" i="3"/>
  <c r="H1540" i="3"/>
  <c r="G1540" i="3"/>
  <c r="F1540" i="3"/>
  <c r="E1540" i="3"/>
  <c r="D1540" i="3"/>
  <c r="C1540" i="3"/>
  <c r="B1540" i="3"/>
  <c r="A1540" i="3"/>
  <c r="J1539" i="3"/>
  <c r="I1539" i="3"/>
  <c r="H1539" i="3"/>
  <c r="G1539" i="3"/>
  <c r="F1539" i="3"/>
  <c r="E1539" i="3"/>
  <c r="D1539" i="3"/>
  <c r="C1539" i="3"/>
  <c r="B1539" i="3"/>
  <c r="A1539" i="3"/>
  <c r="O1538" i="3"/>
  <c r="M1538" i="3"/>
  <c r="K1538" i="3"/>
  <c r="J1538" i="3"/>
  <c r="I1538" i="3"/>
  <c r="H1538" i="3"/>
  <c r="G1538" i="3"/>
  <c r="F1538" i="3"/>
  <c r="E1538" i="3"/>
  <c r="D1538" i="3"/>
  <c r="C1538" i="3"/>
  <c r="B1538" i="3"/>
  <c r="A1538" i="3"/>
  <c r="J1537" i="3"/>
  <c r="I1537" i="3"/>
  <c r="H1537" i="3"/>
  <c r="G1537" i="3"/>
  <c r="F1537" i="3"/>
  <c r="E1537" i="3"/>
  <c r="D1537" i="3"/>
  <c r="C1537" i="3"/>
  <c r="B1537" i="3"/>
  <c r="A1537" i="3"/>
  <c r="J1536" i="3"/>
  <c r="I1536" i="3"/>
  <c r="H1536" i="3"/>
  <c r="G1536" i="3"/>
  <c r="F1536" i="3"/>
  <c r="E1536" i="3"/>
  <c r="D1536" i="3"/>
  <c r="C1536" i="3"/>
  <c r="B1536" i="3"/>
  <c r="A1536" i="3"/>
  <c r="O1535" i="3"/>
  <c r="M1535" i="3"/>
  <c r="K1535" i="3"/>
  <c r="J1535" i="3"/>
  <c r="I1535" i="3"/>
  <c r="H1535" i="3"/>
  <c r="G1535" i="3"/>
  <c r="F1535" i="3"/>
  <c r="E1535" i="3"/>
  <c r="D1535" i="3"/>
  <c r="C1535" i="3"/>
  <c r="B1535" i="3"/>
  <c r="A1535" i="3"/>
  <c r="O1534" i="3"/>
  <c r="M1534" i="3"/>
  <c r="K1534" i="3"/>
  <c r="J1534" i="3"/>
  <c r="I1534" i="3"/>
  <c r="H1534" i="3"/>
  <c r="G1534" i="3"/>
  <c r="F1534" i="3"/>
  <c r="E1534" i="3"/>
  <c r="D1534" i="3"/>
  <c r="C1534" i="3"/>
  <c r="B1534" i="3"/>
  <c r="A1534" i="3"/>
  <c r="O1533" i="3"/>
  <c r="M1533" i="3"/>
  <c r="K1533" i="3"/>
  <c r="J1533" i="3"/>
  <c r="I1533" i="3"/>
  <c r="H1533" i="3"/>
  <c r="G1533" i="3"/>
  <c r="F1533" i="3"/>
  <c r="E1533" i="3"/>
  <c r="D1533" i="3"/>
  <c r="C1533" i="3"/>
  <c r="B1533" i="3"/>
  <c r="A1533" i="3"/>
  <c r="O1532" i="3"/>
  <c r="M1532" i="3"/>
  <c r="K1532" i="3"/>
  <c r="J1532" i="3"/>
  <c r="I1532" i="3"/>
  <c r="H1532" i="3"/>
  <c r="G1532" i="3"/>
  <c r="F1532" i="3"/>
  <c r="E1532" i="3"/>
  <c r="D1532" i="3"/>
  <c r="C1532" i="3"/>
  <c r="B1532" i="3"/>
  <c r="A1532" i="3"/>
  <c r="K1531" i="3"/>
  <c r="J1531" i="3"/>
  <c r="I1531" i="3"/>
  <c r="H1531" i="3"/>
  <c r="G1531" i="3"/>
  <c r="F1531" i="3"/>
  <c r="E1531" i="3"/>
  <c r="D1531" i="3"/>
  <c r="C1531" i="3"/>
  <c r="B1531" i="3"/>
  <c r="A1531" i="3"/>
  <c r="J1530" i="3"/>
  <c r="I1530" i="3"/>
  <c r="H1530" i="3"/>
  <c r="G1530" i="3"/>
  <c r="F1530" i="3"/>
  <c r="E1530" i="3"/>
  <c r="D1530" i="3"/>
  <c r="C1530" i="3"/>
  <c r="B1530" i="3"/>
  <c r="A1530" i="3"/>
  <c r="K1529" i="3"/>
  <c r="J1529" i="3"/>
  <c r="I1529" i="3"/>
  <c r="H1529" i="3"/>
  <c r="G1529" i="3"/>
  <c r="F1529" i="3"/>
  <c r="E1529" i="3"/>
  <c r="D1529" i="3"/>
  <c r="C1529" i="3"/>
  <c r="B1529" i="3"/>
  <c r="A1529" i="3"/>
  <c r="O1528" i="3"/>
  <c r="M1528" i="3"/>
  <c r="K1528" i="3"/>
  <c r="J1528" i="3"/>
  <c r="I1528" i="3"/>
  <c r="H1528" i="3"/>
  <c r="G1528" i="3"/>
  <c r="F1528" i="3"/>
  <c r="E1528" i="3"/>
  <c r="D1528" i="3"/>
  <c r="C1528" i="3"/>
  <c r="B1528" i="3"/>
  <c r="A1528" i="3"/>
  <c r="O1527" i="3"/>
  <c r="K1527" i="3"/>
  <c r="J1527" i="3"/>
  <c r="I1527" i="3"/>
  <c r="H1527" i="3"/>
  <c r="G1527" i="3"/>
  <c r="F1527" i="3"/>
  <c r="E1527" i="3"/>
  <c r="D1527" i="3"/>
  <c r="C1527" i="3"/>
  <c r="B1527" i="3"/>
  <c r="A1527" i="3"/>
  <c r="J1526" i="3"/>
  <c r="I1526" i="3"/>
  <c r="H1526" i="3"/>
  <c r="G1526" i="3"/>
  <c r="F1526" i="3"/>
  <c r="E1526" i="3"/>
  <c r="D1526" i="3"/>
  <c r="C1526" i="3"/>
  <c r="B1526" i="3"/>
  <c r="A1526" i="3"/>
  <c r="K1525" i="3"/>
  <c r="J1525" i="3"/>
  <c r="I1525" i="3"/>
  <c r="H1525" i="3"/>
  <c r="G1525" i="3"/>
  <c r="F1525" i="3"/>
  <c r="E1525" i="3"/>
  <c r="D1525" i="3"/>
  <c r="C1525" i="3"/>
  <c r="B1525" i="3"/>
  <c r="A1525" i="3"/>
  <c r="O1524" i="3"/>
  <c r="M1524" i="3"/>
  <c r="K1524" i="3"/>
  <c r="J1524" i="3"/>
  <c r="I1524" i="3"/>
  <c r="H1524" i="3"/>
  <c r="G1524" i="3"/>
  <c r="F1524" i="3"/>
  <c r="E1524" i="3"/>
  <c r="D1524" i="3"/>
  <c r="C1524" i="3"/>
  <c r="B1524" i="3"/>
  <c r="A1524" i="3"/>
  <c r="O1523" i="3"/>
  <c r="K1523" i="3"/>
  <c r="J1523" i="3"/>
  <c r="I1523" i="3"/>
  <c r="H1523" i="3"/>
  <c r="G1523" i="3"/>
  <c r="F1523" i="3"/>
  <c r="E1523" i="3"/>
  <c r="D1523" i="3"/>
  <c r="C1523" i="3"/>
  <c r="B1523" i="3"/>
  <c r="A1523" i="3"/>
  <c r="J1522" i="3"/>
  <c r="I1522" i="3"/>
  <c r="H1522" i="3"/>
  <c r="G1522" i="3"/>
  <c r="F1522" i="3"/>
  <c r="E1522" i="3"/>
  <c r="D1522" i="3"/>
  <c r="C1522" i="3"/>
  <c r="B1522" i="3"/>
  <c r="A1522" i="3"/>
  <c r="K1521" i="3"/>
  <c r="J1521" i="3"/>
  <c r="I1521" i="3"/>
  <c r="H1521" i="3"/>
  <c r="G1521" i="3"/>
  <c r="F1521" i="3"/>
  <c r="E1521" i="3"/>
  <c r="D1521" i="3"/>
  <c r="C1521" i="3"/>
  <c r="B1521" i="3"/>
  <c r="A1521" i="3"/>
  <c r="M1520" i="3"/>
  <c r="K1520" i="3"/>
  <c r="J1520" i="3"/>
  <c r="I1520" i="3"/>
  <c r="H1520" i="3"/>
  <c r="G1520" i="3"/>
  <c r="F1520" i="3"/>
  <c r="E1520" i="3"/>
  <c r="D1520" i="3"/>
  <c r="C1520" i="3"/>
  <c r="B1520" i="3"/>
  <c r="A1520" i="3"/>
  <c r="K1519" i="3"/>
  <c r="J1519" i="3"/>
  <c r="I1519" i="3"/>
  <c r="H1519" i="3"/>
  <c r="G1519" i="3"/>
  <c r="F1519" i="3"/>
  <c r="E1519" i="3"/>
  <c r="D1519" i="3"/>
  <c r="C1519" i="3"/>
  <c r="B1519" i="3"/>
  <c r="A1519" i="3"/>
  <c r="O1518" i="3"/>
  <c r="M1518" i="3"/>
  <c r="K1518" i="3"/>
  <c r="J1518" i="3"/>
  <c r="I1518" i="3"/>
  <c r="H1518" i="3"/>
  <c r="G1518" i="3"/>
  <c r="F1518" i="3"/>
  <c r="E1518" i="3"/>
  <c r="D1518" i="3"/>
  <c r="C1518" i="3"/>
  <c r="B1518" i="3"/>
  <c r="A1518" i="3"/>
  <c r="O1517" i="3"/>
  <c r="K1517" i="3"/>
  <c r="J1517" i="3"/>
  <c r="I1517" i="3"/>
  <c r="H1517" i="3"/>
  <c r="G1517" i="3"/>
  <c r="F1517" i="3"/>
  <c r="E1517" i="3"/>
  <c r="D1517" i="3"/>
  <c r="C1517" i="3"/>
  <c r="B1517" i="3"/>
  <c r="A1517" i="3"/>
  <c r="K1516" i="3"/>
  <c r="J1516" i="3"/>
  <c r="I1516" i="3"/>
  <c r="H1516" i="3"/>
  <c r="G1516" i="3"/>
  <c r="F1516" i="3"/>
  <c r="E1516" i="3"/>
  <c r="D1516" i="3"/>
  <c r="C1516" i="3"/>
  <c r="B1516" i="3"/>
  <c r="A1516" i="3"/>
  <c r="O1515" i="3"/>
  <c r="M1515" i="3"/>
  <c r="K1515" i="3"/>
  <c r="J1515" i="3"/>
  <c r="I1515" i="3"/>
  <c r="H1515" i="3"/>
  <c r="G1515" i="3"/>
  <c r="F1515" i="3"/>
  <c r="E1515" i="3"/>
  <c r="D1515" i="3"/>
  <c r="C1515" i="3"/>
  <c r="B1515" i="3"/>
  <c r="A1515" i="3"/>
  <c r="J1514" i="3"/>
  <c r="I1514" i="3"/>
  <c r="H1514" i="3"/>
  <c r="G1514" i="3"/>
  <c r="F1514" i="3"/>
  <c r="E1514" i="3"/>
  <c r="D1514" i="3"/>
  <c r="C1514" i="3"/>
  <c r="B1514" i="3"/>
  <c r="A1514" i="3"/>
  <c r="O1513" i="3"/>
  <c r="M1513" i="3"/>
  <c r="K1513" i="3"/>
  <c r="J1513" i="3"/>
  <c r="I1513" i="3"/>
  <c r="H1513" i="3"/>
  <c r="G1513" i="3"/>
  <c r="F1513" i="3"/>
  <c r="E1513" i="3"/>
  <c r="D1513" i="3"/>
  <c r="C1513" i="3"/>
  <c r="B1513" i="3"/>
  <c r="A1513" i="3"/>
  <c r="O1512" i="3"/>
  <c r="M1512" i="3"/>
  <c r="K1512" i="3"/>
  <c r="J1512" i="3"/>
  <c r="I1512" i="3"/>
  <c r="H1512" i="3"/>
  <c r="G1512" i="3"/>
  <c r="F1512" i="3"/>
  <c r="E1512" i="3"/>
  <c r="D1512" i="3"/>
  <c r="C1512" i="3"/>
  <c r="B1512" i="3"/>
  <c r="A1512" i="3"/>
  <c r="O1511" i="3"/>
  <c r="M1511" i="3"/>
  <c r="K1511" i="3"/>
  <c r="J1511" i="3"/>
  <c r="I1511" i="3"/>
  <c r="H1511" i="3"/>
  <c r="G1511" i="3"/>
  <c r="F1511" i="3"/>
  <c r="E1511" i="3"/>
  <c r="D1511" i="3"/>
  <c r="C1511" i="3"/>
  <c r="B1511" i="3"/>
  <c r="A1511" i="3"/>
  <c r="O1510" i="3"/>
  <c r="M1510" i="3"/>
  <c r="K1510" i="3"/>
  <c r="J1510" i="3"/>
  <c r="I1510" i="3"/>
  <c r="H1510" i="3"/>
  <c r="G1510" i="3"/>
  <c r="F1510" i="3"/>
  <c r="E1510" i="3"/>
  <c r="D1510" i="3"/>
  <c r="C1510" i="3"/>
  <c r="B1510" i="3"/>
  <c r="A1510" i="3"/>
  <c r="O1509" i="3"/>
  <c r="M1509" i="3"/>
  <c r="K1509" i="3"/>
  <c r="J1509" i="3"/>
  <c r="I1509" i="3"/>
  <c r="H1509" i="3"/>
  <c r="G1509" i="3"/>
  <c r="F1509" i="3"/>
  <c r="E1509" i="3"/>
  <c r="D1509" i="3"/>
  <c r="C1509" i="3"/>
  <c r="B1509" i="3"/>
  <c r="A1509" i="3"/>
  <c r="J1508" i="3"/>
  <c r="I1508" i="3"/>
  <c r="H1508" i="3"/>
  <c r="G1508" i="3"/>
  <c r="F1508" i="3"/>
  <c r="E1508" i="3"/>
  <c r="D1508" i="3"/>
  <c r="C1508" i="3"/>
  <c r="B1508" i="3"/>
  <c r="A1508" i="3"/>
  <c r="M1507" i="3"/>
  <c r="K1507" i="3"/>
  <c r="J1507" i="3"/>
  <c r="I1507" i="3"/>
  <c r="H1507" i="3"/>
  <c r="G1507" i="3"/>
  <c r="F1507" i="3"/>
  <c r="E1507" i="3"/>
  <c r="D1507" i="3"/>
  <c r="C1507" i="3"/>
  <c r="B1507" i="3"/>
  <c r="A1507" i="3"/>
  <c r="O1506" i="3"/>
  <c r="K1506" i="3"/>
  <c r="J1506" i="3"/>
  <c r="I1506" i="3"/>
  <c r="H1506" i="3"/>
  <c r="G1506" i="3"/>
  <c r="F1506" i="3"/>
  <c r="E1506" i="3"/>
  <c r="D1506" i="3"/>
  <c r="C1506" i="3"/>
  <c r="B1506" i="3"/>
  <c r="A1506" i="3"/>
  <c r="O1505" i="3"/>
  <c r="M1505" i="3"/>
  <c r="K1505" i="3"/>
  <c r="J1505" i="3"/>
  <c r="I1505" i="3"/>
  <c r="H1505" i="3"/>
  <c r="G1505" i="3"/>
  <c r="F1505" i="3"/>
  <c r="E1505" i="3"/>
  <c r="D1505" i="3"/>
  <c r="C1505" i="3"/>
  <c r="B1505" i="3"/>
  <c r="A1505" i="3"/>
  <c r="O1504" i="3"/>
  <c r="M1504" i="3"/>
  <c r="K1504" i="3"/>
  <c r="J1504" i="3"/>
  <c r="I1504" i="3"/>
  <c r="H1504" i="3"/>
  <c r="G1504" i="3"/>
  <c r="F1504" i="3"/>
  <c r="E1504" i="3"/>
  <c r="D1504" i="3"/>
  <c r="C1504" i="3"/>
  <c r="B1504" i="3"/>
  <c r="A1504" i="3"/>
  <c r="O1503" i="3"/>
  <c r="M1503" i="3"/>
  <c r="K1503" i="3"/>
  <c r="J1503" i="3"/>
  <c r="I1503" i="3"/>
  <c r="H1503" i="3"/>
  <c r="G1503" i="3"/>
  <c r="F1503" i="3"/>
  <c r="E1503" i="3"/>
  <c r="D1503" i="3"/>
  <c r="C1503" i="3"/>
  <c r="B1503" i="3"/>
  <c r="A1503" i="3"/>
  <c r="O1502" i="3"/>
  <c r="M1502" i="3"/>
  <c r="K1502" i="3"/>
  <c r="J1502" i="3"/>
  <c r="I1502" i="3"/>
  <c r="H1502" i="3"/>
  <c r="G1502" i="3"/>
  <c r="F1502" i="3"/>
  <c r="E1502" i="3"/>
  <c r="D1502" i="3"/>
  <c r="C1502" i="3"/>
  <c r="B1502" i="3"/>
  <c r="A1502" i="3"/>
  <c r="K1501" i="3"/>
  <c r="J1501" i="3"/>
  <c r="I1501" i="3"/>
  <c r="H1501" i="3"/>
  <c r="G1501" i="3"/>
  <c r="F1501" i="3"/>
  <c r="E1501" i="3"/>
  <c r="D1501" i="3"/>
  <c r="C1501" i="3"/>
  <c r="B1501" i="3"/>
  <c r="A1501" i="3"/>
  <c r="O1500" i="3"/>
  <c r="K1500" i="3"/>
  <c r="J1500" i="3"/>
  <c r="I1500" i="3"/>
  <c r="H1500" i="3"/>
  <c r="G1500" i="3"/>
  <c r="F1500" i="3"/>
  <c r="E1500" i="3"/>
  <c r="D1500" i="3"/>
  <c r="C1500" i="3"/>
  <c r="B1500" i="3"/>
  <c r="A1500" i="3"/>
  <c r="O1499" i="3"/>
  <c r="M1499" i="3"/>
  <c r="K1499" i="3"/>
  <c r="J1499" i="3"/>
  <c r="I1499" i="3"/>
  <c r="H1499" i="3"/>
  <c r="G1499" i="3"/>
  <c r="F1499" i="3"/>
  <c r="E1499" i="3"/>
  <c r="D1499" i="3"/>
  <c r="C1499" i="3"/>
  <c r="B1499" i="3"/>
  <c r="A1499" i="3"/>
  <c r="O1498" i="3"/>
  <c r="K1498" i="3"/>
  <c r="J1498" i="3"/>
  <c r="I1498" i="3"/>
  <c r="H1498" i="3"/>
  <c r="G1498" i="3"/>
  <c r="F1498" i="3"/>
  <c r="E1498" i="3"/>
  <c r="D1498" i="3"/>
  <c r="C1498" i="3"/>
  <c r="B1498" i="3"/>
  <c r="A1498" i="3"/>
  <c r="O1497" i="3"/>
  <c r="M1497" i="3"/>
  <c r="K1497" i="3"/>
  <c r="J1497" i="3"/>
  <c r="I1497" i="3"/>
  <c r="H1497" i="3"/>
  <c r="G1497" i="3"/>
  <c r="F1497" i="3"/>
  <c r="E1497" i="3"/>
  <c r="D1497" i="3"/>
  <c r="C1497" i="3"/>
  <c r="B1497" i="3"/>
  <c r="A1497" i="3"/>
  <c r="O1496" i="3"/>
  <c r="M1496" i="3"/>
  <c r="K1496" i="3"/>
  <c r="J1496" i="3"/>
  <c r="I1496" i="3"/>
  <c r="H1496" i="3"/>
  <c r="G1496" i="3"/>
  <c r="F1496" i="3"/>
  <c r="E1496" i="3"/>
  <c r="D1496" i="3"/>
  <c r="C1496" i="3"/>
  <c r="B1496" i="3"/>
  <c r="A1496" i="3"/>
  <c r="K1495" i="3"/>
  <c r="J1495" i="3"/>
  <c r="I1495" i="3"/>
  <c r="H1495" i="3"/>
  <c r="G1495" i="3"/>
  <c r="F1495" i="3"/>
  <c r="E1495" i="3"/>
  <c r="D1495" i="3"/>
  <c r="C1495" i="3"/>
  <c r="B1495" i="3"/>
  <c r="A1495" i="3"/>
  <c r="J1494" i="3"/>
  <c r="I1494" i="3"/>
  <c r="H1494" i="3"/>
  <c r="G1494" i="3"/>
  <c r="F1494" i="3"/>
  <c r="E1494" i="3"/>
  <c r="D1494" i="3"/>
  <c r="C1494" i="3"/>
  <c r="B1494" i="3"/>
  <c r="A1494" i="3"/>
  <c r="M1493" i="3"/>
  <c r="K1493" i="3"/>
  <c r="J1493" i="3"/>
  <c r="I1493" i="3"/>
  <c r="H1493" i="3"/>
  <c r="G1493" i="3"/>
  <c r="F1493" i="3"/>
  <c r="E1493" i="3"/>
  <c r="D1493" i="3"/>
  <c r="C1493" i="3"/>
  <c r="B1493" i="3"/>
  <c r="A1493" i="3"/>
  <c r="O1492" i="3"/>
  <c r="M1492" i="3"/>
  <c r="K1492" i="3"/>
  <c r="J1492" i="3"/>
  <c r="I1492" i="3"/>
  <c r="H1492" i="3"/>
  <c r="G1492" i="3"/>
  <c r="F1492" i="3"/>
  <c r="E1492" i="3"/>
  <c r="D1492" i="3"/>
  <c r="C1492" i="3"/>
  <c r="B1492" i="3"/>
  <c r="A1492" i="3"/>
  <c r="J1491" i="3"/>
  <c r="I1491" i="3"/>
  <c r="H1491" i="3"/>
  <c r="G1491" i="3"/>
  <c r="F1491" i="3"/>
  <c r="E1491" i="3"/>
  <c r="D1491" i="3"/>
  <c r="C1491" i="3"/>
  <c r="B1491" i="3"/>
  <c r="A1491" i="3"/>
  <c r="O1490" i="3"/>
  <c r="M1490" i="3"/>
  <c r="K1490" i="3"/>
  <c r="J1490" i="3"/>
  <c r="I1490" i="3"/>
  <c r="H1490" i="3"/>
  <c r="G1490" i="3"/>
  <c r="F1490" i="3"/>
  <c r="E1490" i="3"/>
  <c r="D1490" i="3"/>
  <c r="C1490" i="3"/>
  <c r="B1490" i="3"/>
  <c r="A1490" i="3"/>
  <c r="O1489" i="3"/>
  <c r="M1489" i="3"/>
  <c r="K1489" i="3"/>
  <c r="J1489" i="3"/>
  <c r="I1489" i="3"/>
  <c r="H1489" i="3"/>
  <c r="G1489" i="3"/>
  <c r="F1489" i="3"/>
  <c r="E1489" i="3"/>
  <c r="D1489" i="3"/>
  <c r="C1489" i="3"/>
  <c r="B1489" i="3"/>
  <c r="A1489" i="3"/>
  <c r="J1488" i="3"/>
  <c r="I1488" i="3"/>
  <c r="H1488" i="3"/>
  <c r="G1488" i="3"/>
  <c r="F1488" i="3"/>
  <c r="E1488" i="3"/>
  <c r="D1488" i="3"/>
  <c r="C1488" i="3"/>
  <c r="B1488" i="3"/>
  <c r="A1488" i="3"/>
  <c r="J1487" i="3"/>
  <c r="I1487" i="3"/>
  <c r="H1487" i="3"/>
  <c r="G1487" i="3"/>
  <c r="F1487" i="3"/>
  <c r="E1487" i="3"/>
  <c r="D1487" i="3"/>
  <c r="C1487" i="3"/>
  <c r="B1487" i="3"/>
  <c r="A1487" i="3"/>
  <c r="J1486" i="3"/>
  <c r="I1486" i="3"/>
  <c r="H1486" i="3"/>
  <c r="G1486" i="3"/>
  <c r="F1486" i="3"/>
  <c r="E1486" i="3"/>
  <c r="D1486" i="3"/>
  <c r="C1486" i="3"/>
  <c r="B1486" i="3"/>
  <c r="A1486" i="3"/>
  <c r="J1485" i="3"/>
  <c r="I1485" i="3"/>
  <c r="H1485" i="3"/>
  <c r="G1485" i="3"/>
  <c r="F1485" i="3"/>
  <c r="E1485" i="3"/>
  <c r="D1485" i="3"/>
  <c r="C1485" i="3"/>
  <c r="B1485" i="3"/>
  <c r="A1485" i="3"/>
  <c r="K1484" i="3"/>
  <c r="J1484" i="3"/>
  <c r="I1484" i="3"/>
  <c r="H1484" i="3"/>
  <c r="G1484" i="3"/>
  <c r="F1484" i="3"/>
  <c r="E1484" i="3"/>
  <c r="D1484" i="3"/>
  <c r="C1484" i="3"/>
  <c r="B1484" i="3"/>
  <c r="A1484" i="3"/>
  <c r="O1483" i="3"/>
  <c r="K1483" i="3"/>
  <c r="J1483" i="3"/>
  <c r="I1483" i="3"/>
  <c r="H1483" i="3"/>
  <c r="G1483" i="3"/>
  <c r="F1483" i="3"/>
  <c r="E1483" i="3"/>
  <c r="D1483" i="3"/>
  <c r="C1483" i="3"/>
  <c r="B1483" i="3"/>
  <c r="A1483" i="3"/>
  <c r="K1482" i="3"/>
  <c r="J1482" i="3"/>
  <c r="I1482" i="3"/>
  <c r="H1482" i="3"/>
  <c r="G1482" i="3"/>
  <c r="F1482" i="3"/>
  <c r="E1482" i="3"/>
  <c r="D1482" i="3"/>
  <c r="C1482" i="3"/>
  <c r="B1482" i="3"/>
  <c r="A1482" i="3"/>
  <c r="J1481" i="3"/>
  <c r="I1481" i="3"/>
  <c r="H1481" i="3"/>
  <c r="G1481" i="3"/>
  <c r="F1481" i="3"/>
  <c r="E1481" i="3"/>
  <c r="D1481" i="3"/>
  <c r="C1481" i="3"/>
  <c r="B1481" i="3"/>
  <c r="A1481" i="3"/>
  <c r="J1480" i="3"/>
  <c r="I1480" i="3"/>
  <c r="H1480" i="3"/>
  <c r="G1480" i="3"/>
  <c r="F1480" i="3"/>
  <c r="E1480" i="3"/>
  <c r="D1480" i="3"/>
  <c r="C1480" i="3"/>
  <c r="B1480" i="3"/>
  <c r="A1480" i="3"/>
  <c r="J1479" i="3"/>
  <c r="I1479" i="3"/>
  <c r="H1479" i="3"/>
  <c r="G1479" i="3"/>
  <c r="F1479" i="3"/>
  <c r="E1479" i="3"/>
  <c r="D1479" i="3"/>
  <c r="C1479" i="3"/>
  <c r="B1479" i="3"/>
  <c r="A1479" i="3"/>
  <c r="M1478" i="3"/>
  <c r="K1478" i="3"/>
  <c r="J1478" i="3"/>
  <c r="I1478" i="3"/>
  <c r="H1478" i="3"/>
  <c r="G1478" i="3"/>
  <c r="F1478" i="3"/>
  <c r="E1478" i="3"/>
  <c r="D1478" i="3"/>
  <c r="C1478" i="3"/>
  <c r="B1478" i="3"/>
  <c r="A1478" i="3"/>
  <c r="O1477" i="3"/>
  <c r="M1477" i="3"/>
  <c r="K1477" i="3"/>
  <c r="J1477" i="3"/>
  <c r="I1477" i="3"/>
  <c r="H1477" i="3"/>
  <c r="G1477" i="3"/>
  <c r="F1477" i="3"/>
  <c r="E1477" i="3"/>
  <c r="D1477" i="3"/>
  <c r="C1477" i="3"/>
  <c r="B1477" i="3"/>
  <c r="A1477" i="3"/>
  <c r="J1476" i="3"/>
  <c r="I1476" i="3"/>
  <c r="H1476" i="3"/>
  <c r="G1476" i="3"/>
  <c r="F1476" i="3"/>
  <c r="E1476" i="3"/>
  <c r="D1476" i="3"/>
  <c r="C1476" i="3"/>
  <c r="B1476" i="3"/>
  <c r="A1476" i="3"/>
  <c r="O1475" i="3"/>
  <c r="M1475" i="3"/>
  <c r="K1475" i="3"/>
  <c r="J1475" i="3"/>
  <c r="I1475" i="3"/>
  <c r="H1475" i="3"/>
  <c r="G1475" i="3"/>
  <c r="F1475" i="3"/>
  <c r="E1475" i="3"/>
  <c r="D1475" i="3"/>
  <c r="C1475" i="3"/>
  <c r="B1475" i="3"/>
  <c r="A1475" i="3"/>
  <c r="O1474" i="3"/>
  <c r="M1474" i="3"/>
  <c r="K1474" i="3"/>
  <c r="J1474" i="3"/>
  <c r="I1474" i="3"/>
  <c r="H1474" i="3"/>
  <c r="G1474" i="3"/>
  <c r="F1474" i="3"/>
  <c r="E1474" i="3"/>
  <c r="D1474" i="3"/>
  <c r="C1474" i="3"/>
  <c r="B1474" i="3"/>
  <c r="A1474" i="3"/>
  <c r="M1473" i="3"/>
  <c r="K1473" i="3"/>
  <c r="J1473" i="3"/>
  <c r="I1473" i="3"/>
  <c r="H1473" i="3"/>
  <c r="G1473" i="3"/>
  <c r="F1473" i="3"/>
  <c r="E1473" i="3"/>
  <c r="D1473" i="3"/>
  <c r="C1473" i="3"/>
  <c r="B1473" i="3"/>
  <c r="A1473" i="3"/>
  <c r="J1472" i="3"/>
  <c r="I1472" i="3"/>
  <c r="H1472" i="3"/>
  <c r="G1472" i="3"/>
  <c r="F1472" i="3"/>
  <c r="E1472" i="3"/>
  <c r="D1472" i="3"/>
  <c r="C1472" i="3"/>
  <c r="B1472" i="3"/>
  <c r="A1472" i="3"/>
  <c r="K1471" i="3"/>
  <c r="J1471" i="3"/>
  <c r="I1471" i="3"/>
  <c r="H1471" i="3"/>
  <c r="G1471" i="3"/>
  <c r="F1471" i="3"/>
  <c r="E1471" i="3"/>
  <c r="D1471" i="3"/>
  <c r="C1471" i="3"/>
  <c r="B1471" i="3"/>
  <c r="A1471" i="3"/>
  <c r="K1470" i="3"/>
  <c r="J1470" i="3"/>
  <c r="I1470" i="3"/>
  <c r="H1470" i="3"/>
  <c r="G1470" i="3"/>
  <c r="F1470" i="3"/>
  <c r="E1470" i="3"/>
  <c r="D1470" i="3"/>
  <c r="C1470" i="3"/>
  <c r="B1470" i="3"/>
  <c r="A1470" i="3"/>
  <c r="K1469" i="3"/>
  <c r="J1469" i="3"/>
  <c r="I1469" i="3"/>
  <c r="H1469" i="3"/>
  <c r="G1469" i="3"/>
  <c r="F1469" i="3"/>
  <c r="E1469" i="3"/>
  <c r="D1469" i="3"/>
  <c r="C1469" i="3"/>
  <c r="B1469" i="3"/>
  <c r="A1469" i="3"/>
  <c r="O1468" i="3"/>
  <c r="M1468" i="3"/>
  <c r="K1468" i="3"/>
  <c r="J1468" i="3"/>
  <c r="I1468" i="3"/>
  <c r="H1468" i="3"/>
  <c r="G1468" i="3"/>
  <c r="F1468" i="3"/>
  <c r="E1468" i="3"/>
  <c r="D1468" i="3"/>
  <c r="C1468" i="3"/>
  <c r="B1468" i="3"/>
  <c r="A1468" i="3"/>
  <c r="O1467" i="3"/>
  <c r="M1467" i="3"/>
  <c r="K1467" i="3"/>
  <c r="J1467" i="3"/>
  <c r="I1467" i="3"/>
  <c r="H1467" i="3"/>
  <c r="G1467" i="3"/>
  <c r="F1467" i="3"/>
  <c r="E1467" i="3"/>
  <c r="D1467" i="3"/>
  <c r="C1467" i="3"/>
  <c r="B1467" i="3"/>
  <c r="A1467" i="3"/>
  <c r="O1466" i="3"/>
  <c r="M1466" i="3"/>
  <c r="K1466" i="3"/>
  <c r="J1466" i="3"/>
  <c r="I1466" i="3"/>
  <c r="H1466" i="3"/>
  <c r="G1466" i="3"/>
  <c r="F1466" i="3"/>
  <c r="E1466" i="3"/>
  <c r="D1466" i="3"/>
  <c r="C1466" i="3"/>
  <c r="B1466" i="3"/>
  <c r="A1466" i="3"/>
  <c r="J1465" i="3"/>
  <c r="I1465" i="3"/>
  <c r="H1465" i="3"/>
  <c r="G1465" i="3"/>
  <c r="F1465" i="3"/>
  <c r="E1465" i="3"/>
  <c r="D1465" i="3"/>
  <c r="C1465" i="3"/>
  <c r="B1465" i="3"/>
  <c r="A1465" i="3"/>
  <c r="O1464" i="3"/>
  <c r="M1464" i="3"/>
  <c r="K1464" i="3"/>
  <c r="J1464" i="3"/>
  <c r="I1464" i="3"/>
  <c r="H1464" i="3"/>
  <c r="G1464" i="3"/>
  <c r="F1464" i="3"/>
  <c r="E1464" i="3"/>
  <c r="D1464" i="3"/>
  <c r="C1464" i="3"/>
  <c r="B1464" i="3"/>
  <c r="A1464" i="3"/>
  <c r="O1463" i="3"/>
  <c r="M1463" i="3"/>
  <c r="K1463" i="3"/>
  <c r="J1463" i="3"/>
  <c r="I1463" i="3"/>
  <c r="H1463" i="3"/>
  <c r="G1463" i="3"/>
  <c r="F1463" i="3"/>
  <c r="E1463" i="3"/>
  <c r="D1463" i="3"/>
  <c r="C1463" i="3"/>
  <c r="B1463" i="3"/>
  <c r="A1463" i="3"/>
  <c r="O1462" i="3"/>
  <c r="M1462" i="3"/>
  <c r="K1462" i="3"/>
  <c r="J1462" i="3"/>
  <c r="I1462" i="3"/>
  <c r="H1462" i="3"/>
  <c r="G1462" i="3"/>
  <c r="F1462" i="3"/>
  <c r="E1462" i="3"/>
  <c r="D1462" i="3"/>
  <c r="C1462" i="3"/>
  <c r="B1462" i="3"/>
  <c r="A1462" i="3"/>
  <c r="O1461" i="3"/>
  <c r="M1461" i="3"/>
  <c r="K1461" i="3"/>
  <c r="J1461" i="3"/>
  <c r="I1461" i="3"/>
  <c r="H1461" i="3"/>
  <c r="G1461" i="3"/>
  <c r="F1461" i="3"/>
  <c r="E1461" i="3"/>
  <c r="D1461" i="3"/>
  <c r="C1461" i="3"/>
  <c r="B1461" i="3"/>
  <c r="A1461" i="3"/>
  <c r="M1460" i="3"/>
  <c r="K1460" i="3"/>
  <c r="J1460" i="3"/>
  <c r="I1460" i="3"/>
  <c r="H1460" i="3"/>
  <c r="G1460" i="3"/>
  <c r="F1460" i="3"/>
  <c r="E1460" i="3"/>
  <c r="D1460" i="3"/>
  <c r="C1460" i="3"/>
  <c r="B1460" i="3"/>
  <c r="A1460" i="3"/>
  <c r="J1459" i="3"/>
  <c r="I1459" i="3"/>
  <c r="H1459" i="3"/>
  <c r="G1459" i="3"/>
  <c r="F1459" i="3"/>
  <c r="E1459" i="3"/>
  <c r="D1459" i="3"/>
  <c r="C1459" i="3"/>
  <c r="B1459" i="3"/>
  <c r="A1459" i="3"/>
  <c r="O1458" i="3"/>
  <c r="M1458" i="3"/>
  <c r="K1458" i="3"/>
  <c r="J1458" i="3"/>
  <c r="I1458" i="3"/>
  <c r="H1458" i="3"/>
  <c r="G1458" i="3"/>
  <c r="F1458" i="3"/>
  <c r="E1458" i="3"/>
  <c r="D1458" i="3"/>
  <c r="C1458" i="3"/>
  <c r="B1458" i="3"/>
  <c r="A1458" i="3"/>
  <c r="O1457" i="3"/>
  <c r="K1457" i="3"/>
  <c r="J1457" i="3"/>
  <c r="I1457" i="3"/>
  <c r="H1457" i="3"/>
  <c r="G1457" i="3"/>
  <c r="F1457" i="3"/>
  <c r="E1457" i="3"/>
  <c r="D1457" i="3"/>
  <c r="C1457" i="3"/>
  <c r="B1457" i="3"/>
  <c r="A1457" i="3"/>
  <c r="O1456" i="3"/>
  <c r="K1456" i="3"/>
  <c r="J1456" i="3"/>
  <c r="I1456" i="3"/>
  <c r="H1456" i="3"/>
  <c r="G1456" i="3"/>
  <c r="F1456" i="3"/>
  <c r="E1456" i="3"/>
  <c r="D1456" i="3"/>
  <c r="C1456" i="3"/>
  <c r="B1456" i="3"/>
  <c r="A1456" i="3"/>
  <c r="O1455" i="3"/>
  <c r="K1455" i="3"/>
  <c r="J1455" i="3"/>
  <c r="I1455" i="3"/>
  <c r="H1455" i="3"/>
  <c r="G1455" i="3"/>
  <c r="F1455" i="3"/>
  <c r="E1455" i="3"/>
  <c r="D1455" i="3"/>
  <c r="C1455" i="3"/>
  <c r="B1455" i="3"/>
  <c r="A1455" i="3"/>
  <c r="O1454" i="3"/>
  <c r="M1454" i="3"/>
  <c r="K1454" i="3"/>
  <c r="J1454" i="3"/>
  <c r="I1454" i="3"/>
  <c r="H1454" i="3"/>
  <c r="G1454" i="3"/>
  <c r="F1454" i="3"/>
  <c r="E1454" i="3"/>
  <c r="D1454" i="3"/>
  <c r="C1454" i="3"/>
  <c r="B1454" i="3"/>
  <c r="A1454" i="3"/>
  <c r="O1453" i="3"/>
  <c r="M1453" i="3"/>
  <c r="K1453" i="3"/>
  <c r="J1453" i="3"/>
  <c r="I1453" i="3"/>
  <c r="H1453" i="3"/>
  <c r="G1453" i="3"/>
  <c r="F1453" i="3"/>
  <c r="E1453" i="3"/>
  <c r="D1453" i="3"/>
  <c r="C1453" i="3"/>
  <c r="B1453" i="3"/>
  <c r="A1453" i="3"/>
  <c r="M1452" i="3"/>
  <c r="K1452" i="3"/>
  <c r="J1452" i="3"/>
  <c r="I1452" i="3"/>
  <c r="H1452" i="3"/>
  <c r="G1452" i="3"/>
  <c r="F1452" i="3"/>
  <c r="E1452" i="3"/>
  <c r="D1452" i="3"/>
  <c r="C1452" i="3"/>
  <c r="B1452" i="3"/>
  <c r="A1452" i="3"/>
  <c r="J1451" i="3"/>
  <c r="I1451" i="3"/>
  <c r="H1451" i="3"/>
  <c r="G1451" i="3"/>
  <c r="F1451" i="3"/>
  <c r="E1451" i="3"/>
  <c r="D1451" i="3"/>
  <c r="C1451" i="3"/>
  <c r="B1451" i="3"/>
  <c r="A1451" i="3"/>
  <c r="O1450" i="3"/>
  <c r="M1450" i="3"/>
  <c r="K1450" i="3"/>
  <c r="J1450" i="3"/>
  <c r="I1450" i="3"/>
  <c r="H1450" i="3"/>
  <c r="G1450" i="3"/>
  <c r="F1450" i="3"/>
  <c r="E1450" i="3"/>
  <c r="D1450" i="3"/>
  <c r="C1450" i="3"/>
  <c r="B1450" i="3"/>
  <c r="A1450" i="3"/>
  <c r="O1449" i="3"/>
  <c r="M1449" i="3"/>
  <c r="K1449" i="3"/>
  <c r="J1449" i="3"/>
  <c r="I1449" i="3"/>
  <c r="H1449" i="3"/>
  <c r="G1449" i="3"/>
  <c r="F1449" i="3"/>
  <c r="E1449" i="3"/>
  <c r="D1449" i="3"/>
  <c r="C1449" i="3"/>
  <c r="B1449" i="3"/>
  <c r="A1449" i="3"/>
  <c r="K1448" i="3"/>
  <c r="J1448" i="3"/>
  <c r="I1448" i="3"/>
  <c r="H1448" i="3"/>
  <c r="G1448" i="3"/>
  <c r="F1448" i="3"/>
  <c r="E1448" i="3"/>
  <c r="D1448" i="3"/>
  <c r="C1448" i="3"/>
  <c r="B1448" i="3"/>
  <c r="A1448" i="3"/>
  <c r="O1447" i="3"/>
  <c r="M1447" i="3"/>
  <c r="K1447" i="3"/>
  <c r="J1447" i="3"/>
  <c r="I1447" i="3"/>
  <c r="H1447" i="3"/>
  <c r="G1447" i="3"/>
  <c r="F1447" i="3"/>
  <c r="E1447" i="3"/>
  <c r="D1447" i="3"/>
  <c r="C1447" i="3"/>
  <c r="B1447" i="3"/>
  <c r="A1447" i="3"/>
  <c r="J1446" i="3"/>
  <c r="I1446" i="3"/>
  <c r="H1446" i="3"/>
  <c r="G1446" i="3"/>
  <c r="F1446" i="3"/>
  <c r="E1446" i="3"/>
  <c r="D1446" i="3"/>
  <c r="C1446" i="3"/>
  <c r="B1446" i="3"/>
  <c r="A1446" i="3"/>
  <c r="J1445" i="3"/>
  <c r="I1445" i="3"/>
  <c r="H1445" i="3"/>
  <c r="G1445" i="3"/>
  <c r="F1445" i="3"/>
  <c r="E1445" i="3"/>
  <c r="D1445" i="3"/>
  <c r="C1445" i="3"/>
  <c r="B1445" i="3"/>
  <c r="A1445" i="3"/>
  <c r="O1444" i="3"/>
  <c r="K1444" i="3"/>
  <c r="J1444" i="3"/>
  <c r="I1444" i="3"/>
  <c r="H1444" i="3"/>
  <c r="G1444" i="3"/>
  <c r="F1444" i="3"/>
  <c r="E1444" i="3"/>
  <c r="D1444" i="3"/>
  <c r="C1444" i="3"/>
  <c r="B1444" i="3"/>
  <c r="A1444" i="3"/>
  <c r="O1443" i="3"/>
  <c r="M1443" i="3"/>
  <c r="K1443" i="3"/>
  <c r="J1443" i="3"/>
  <c r="I1443" i="3"/>
  <c r="H1443" i="3"/>
  <c r="G1443" i="3"/>
  <c r="F1443" i="3"/>
  <c r="E1443" i="3"/>
  <c r="D1443" i="3"/>
  <c r="C1443" i="3"/>
  <c r="B1443" i="3"/>
  <c r="A1443" i="3"/>
  <c r="O1442" i="3"/>
  <c r="M1442" i="3"/>
  <c r="K1442" i="3"/>
  <c r="J1442" i="3"/>
  <c r="I1442" i="3"/>
  <c r="H1442" i="3"/>
  <c r="G1442" i="3"/>
  <c r="F1442" i="3"/>
  <c r="E1442" i="3"/>
  <c r="D1442" i="3"/>
  <c r="C1442" i="3"/>
  <c r="B1442" i="3"/>
  <c r="A1442" i="3"/>
  <c r="O1441" i="3"/>
  <c r="M1441" i="3"/>
  <c r="K1441" i="3"/>
  <c r="J1441" i="3"/>
  <c r="I1441" i="3"/>
  <c r="H1441" i="3"/>
  <c r="G1441" i="3"/>
  <c r="F1441" i="3"/>
  <c r="E1441" i="3"/>
  <c r="D1441" i="3"/>
  <c r="C1441" i="3"/>
  <c r="B1441" i="3"/>
  <c r="A1441" i="3"/>
  <c r="J1440" i="3"/>
  <c r="I1440" i="3"/>
  <c r="H1440" i="3"/>
  <c r="G1440" i="3"/>
  <c r="F1440" i="3"/>
  <c r="E1440" i="3"/>
  <c r="D1440" i="3"/>
  <c r="C1440" i="3"/>
  <c r="B1440" i="3"/>
  <c r="A1440" i="3"/>
  <c r="O1439" i="3"/>
  <c r="M1439" i="3"/>
  <c r="K1439" i="3"/>
  <c r="J1439" i="3"/>
  <c r="I1439" i="3"/>
  <c r="H1439" i="3"/>
  <c r="G1439" i="3"/>
  <c r="F1439" i="3"/>
  <c r="E1439" i="3"/>
  <c r="D1439" i="3"/>
  <c r="C1439" i="3"/>
  <c r="B1439" i="3"/>
  <c r="A1439" i="3"/>
  <c r="J1438" i="3"/>
  <c r="I1438" i="3"/>
  <c r="H1438" i="3"/>
  <c r="G1438" i="3"/>
  <c r="F1438" i="3"/>
  <c r="E1438" i="3"/>
  <c r="D1438" i="3"/>
  <c r="C1438" i="3"/>
  <c r="B1438" i="3"/>
  <c r="A1438" i="3"/>
  <c r="J1437" i="3"/>
  <c r="I1437" i="3"/>
  <c r="H1437" i="3"/>
  <c r="G1437" i="3"/>
  <c r="F1437" i="3"/>
  <c r="E1437" i="3"/>
  <c r="D1437" i="3"/>
  <c r="C1437" i="3"/>
  <c r="B1437" i="3"/>
  <c r="A1437" i="3"/>
  <c r="O1436" i="3"/>
  <c r="M1436" i="3"/>
  <c r="K1436" i="3"/>
  <c r="J1436" i="3"/>
  <c r="I1436" i="3"/>
  <c r="H1436" i="3"/>
  <c r="G1436" i="3"/>
  <c r="F1436" i="3"/>
  <c r="E1436" i="3"/>
  <c r="D1436" i="3"/>
  <c r="C1436" i="3"/>
  <c r="B1436" i="3"/>
  <c r="A1436" i="3"/>
  <c r="O1435" i="3"/>
  <c r="M1435" i="3"/>
  <c r="K1435" i="3"/>
  <c r="J1435" i="3"/>
  <c r="I1435" i="3"/>
  <c r="H1435" i="3"/>
  <c r="G1435" i="3"/>
  <c r="F1435" i="3"/>
  <c r="E1435" i="3"/>
  <c r="D1435" i="3"/>
  <c r="C1435" i="3"/>
  <c r="B1435" i="3"/>
  <c r="A1435" i="3"/>
  <c r="O1434" i="3"/>
  <c r="M1434" i="3"/>
  <c r="K1434" i="3"/>
  <c r="J1434" i="3"/>
  <c r="I1434" i="3"/>
  <c r="H1434" i="3"/>
  <c r="G1434" i="3"/>
  <c r="F1434" i="3"/>
  <c r="E1434" i="3"/>
  <c r="D1434" i="3"/>
  <c r="C1434" i="3"/>
  <c r="B1434" i="3"/>
  <c r="A1434" i="3"/>
  <c r="J1433" i="3"/>
  <c r="I1433" i="3"/>
  <c r="H1433" i="3"/>
  <c r="G1433" i="3"/>
  <c r="F1433" i="3"/>
  <c r="E1433" i="3"/>
  <c r="D1433" i="3"/>
  <c r="C1433" i="3"/>
  <c r="B1433" i="3"/>
  <c r="A1433" i="3"/>
  <c r="O1432" i="3"/>
  <c r="K1432" i="3"/>
  <c r="J1432" i="3"/>
  <c r="I1432" i="3"/>
  <c r="H1432" i="3"/>
  <c r="G1432" i="3"/>
  <c r="F1432" i="3"/>
  <c r="E1432" i="3"/>
  <c r="D1432" i="3"/>
  <c r="C1432" i="3"/>
  <c r="B1432" i="3"/>
  <c r="A1432" i="3"/>
  <c r="J1431" i="3"/>
  <c r="I1431" i="3"/>
  <c r="H1431" i="3"/>
  <c r="G1431" i="3"/>
  <c r="F1431" i="3"/>
  <c r="E1431" i="3"/>
  <c r="D1431" i="3"/>
  <c r="C1431" i="3"/>
  <c r="B1431" i="3"/>
  <c r="A1431" i="3"/>
  <c r="J1430" i="3"/>
  <c r="I1430" i="3"/>
  <c r="H1430" i="3"/>
  <c r="G1430" i="3"/>
  <c r="F1430" i="3"/>
  <c r="E1430" i="3"/>
  <c r="D1430" i="3"/>
  <c r="C1430" i="3"/>
  <c r="B1430" i="3"/>
  <c r="A1430" i="3"/>
  <c r="O1429" i="3"/>
  <c r="M1429" i="3"/>
  <c r="K1429" i="3"/>
  <c r="J1429" i="3"/>
  <c r="I1429" i="3"/>
  <c r="H1429" i="3"/>
  <c r="G1429" i="3"/>
  <c r="F1429" i="3"/>
  <c r="E1429" i="3"/>
  <c r="D1429" i="3"/>
  <c r="C1429" i="3"/>
  <c r="B1429" i="3"/>
  <c r="A1429" i="3"/>
  <c r="J1428" i="3"/>
  <c r="I1428" i="3"/>
  <c r="H1428" i="3"/>
  <c r="G1428" i="3"/>
  <c r="F1428" i="3"/>
  <c r="E1428" i="3"/>
  <c r="D1428" i="3"/>
  <c r="C1428" i="3"/>
  <c r="B1428" i="3"/>
  <c r="A1428" i="3"/>
  <c r="O1427" i="3"/>
  <c r="M1427" i="3"/>
  <c r="K1427" i="3"/>
  <c r="J1427" i="3"/>
  <c r="I1427" i="3"/>
  <c r="H1427" i="3"/>
  <c r="G1427" i="3"/>
  <c r="F1427" i="3"/>
  <c r="E1427" i="3"/>
  <c r="D1427" i="3"/>
  <c r="C1427" i="3"/>
  <c r="B1427" i="3"/>
  <c r="A1427" i="3"/>
  <c r="O1426" i="3"/>
  <c r="K1426" i="3"/>
  <c r="J1426" i="3"/>
  <c r="I1426" i="3"/>
  <c r="H1426" i="3"/>
  <c r="G1426" i="3"/>
  <c r="F1426" i="3"/>
  <c r="E1426" i="3"/>
  <c r="D1426" i="3"/>
  <c r="C1426" i="3"/>
  <c r="B1426" i="3"/>
  <c r="A1426" i="3"/>
  <c r="J1425" i="3"/>
  <c r="I1425" i="3"/>
  <c r="H1425" i="3"/>
  <c r="G1425" i="3"/>
  <c r="F1425" i="3"/>
  <c r="E1425" i="3"/>
  <c r="D1425" i="3"/>
  <c r="C1425" i="3"/>
  <c r="B1425" i="3"/>
  <c r="A1425" i="3"/>
  <c r="M1424" i="3"/>
  <c r="K1424" i="3"/>
  <c r="J1424" i="3"/>
  <c r="I1424" i="3"/>
  <c r="H1424" i="3"/>
  <c r="G1424" i="3"/>
  <c r="F1424" i="3"/>
  <c r="E1424" i="3"/>
  <c r="D1424" i="3"/>
  <c r="C1424" i="3"/>
  <c r="B1424" i="3"/>
  <c r="A1424" i="3"/>
  <c r="O1423" i="3"/>
  <c r="K1423" i="3"/>
  <c r="J1423" i="3"/>
  <c r="I1423" i="3"/>
  <c r="H1423" i="3"/>
  <c r="G1423" i="3"/>
  <c r="F1423" i="3"/>
  <c r="E1423" i="3"/>
  <c r="D1423" i="3"/>
  <c r="C1423" i="3"/>
  <c r="B1423" i="3"/>
  <c r="A1423" i="3"/>
  <c r="O1422" i="3"/>
  <c r="M1422" i="3"/>
  <c r="K1422" i="3"/>
  <c r="J1422" i="3"/>
  <c r="I1422" i="3"/>
  <c r="H1422" i="3"/>
  <c r="G1422" i="3"/>
  <c r="F1422" i="3"/>
  <c r="E1422" i="3"/>
  <c r="D1422" i="3"/>
  <c r="C1422" i="3"/>
  <c r="B1422" i="3"/>
  <c r="A1422" i="3"/>
  <c r="O1421" i="3"/>
  <c r="K1421" i="3"/>
  <c r="J1421" i="3"/>
  <c r="I1421" i="3"/>
  <c r="H1421" i="3"/>
  <c r="G1421" i="3"/>
  <c r="F1421" i="3"/>
  <c r="E1421" i="3"/>
  <c r="D1421" i="3"/>
  <c r="C1421" i="3"/>
  <c r="B1421" i="3"/>
  <c r="A1421" i="3"/>
  <c r="O1420" i="3"/>
  <c r="M1420" i="3"/>
  <c r="K1420" i="3"/>
  <c r="J1420" i="3"/>
  <c r="I1420" i="3"/>
  <c r="H1420" i="3"/>
  <c r="G1420" i="3"/>
  <c r="F1420" i="3"/>
  <c r="E1420" i="3"/>
  <c r="D1420" i="3"/>
  <c r="C1420" i="3"/>
  <c r="B1420" i="3"/>
  <c r="A1420" i="3"/>
  <c r="O1419" i="3"/>
  <c r="M1419" i="3"/>
  <c r="K1419" i="3"/>
  <c r="J1419" i="3"/>
  <c r="I1419" i="3"/>
  <c r="H1419" i="3"/>
  <c r="G1419" i="3"/>
  <c r="F1419" i="3"/>
  <c r="E1419" i="3"/>
  <c r="D1419" i="3"/>
  <c r="C1419" i="3"/>
  <c r="B1419" i="3"/>
  <c r="A1419" i="3"/>
  <c r="O1418" i="3"/>
  <c r="M1418" i="3"/>
  <c r="K1418" i="3"/>
  <c r="J1418" i="3"/>
  <c r="I1418" i="3"/>
  <c r="H1418" i="3"/>
  <c r="G1418" i="3"/>
  <c r="F1418" i="3"/>
  <c r="E1418" i="3"/>
  <c r="D1418" i="3"/>
  <c r="C1418" i="3"/>
  <c r="B1418" i="3"/>
  <c r="A1418" i="3"/>
  <c r="O1417" i="3"/>
  <c r="M1417" i="3"/>
  <c r="K1417" i="3"/>
  <c r="J1417" i="3"/>
  <c r="I1417" i="3"/>
  <c r="H1417" i="3"/>
  <c r="G1417" i="3"/>
  <c r="F1417" i="3"/>
  <c r="E1417" i="3"/>
  <c r="D1417" i="3"/>
  <c r="C1417" i="3"/>
  <c r="B1417" i="3"/>
  <c r="A1417" i="3"/>
  <c r="J1416" i="3"/>
  <c r="I1416" i="3"/>
  <c r="H1416" i="3"/>
  <c r="G1416" i="3"/>
  <c r="F1416" i="3"/>
  <c r="E1416" i="3"/>
  <c r="D1416" i="3"/>
  <c r="C1416" i="3"/>
  <c r="B1416" i="3"/>
  <c r="A1416" i="3"/>
  <c r="J1415" i="3"/>
  <c r="I1415" i="3"/>
  <c r="H1415" i="3"/>
  <c r="G1415" i="3"/>
  <c r="F1415" i="3"/>
  <c r="E1415" i="3"/>
  <c r="D1415" i="3"/>
  <c r="C1415" i="3"/>
  <c r="B1415" i="3"/>
  <c r="A1415" i="3"/>
  <c r="O1414" i="3"/>
  <c r="M1414" i="3"/>
  <c r="K1414" i="3"/>
  <c r="J1414" i="3"/>
  <c r="I1414" i="3"/>
  <c r="H1414" i="3"/>
  <c r="G1414" i="3"/>
  <c r="F1414" i="3"/>
  <c r="E1414" i="3"/>
  <c r="D1414" i="3"/>
  <c r="C1414" i="3"/>
  <c r="B1414" i="3"/>
  <c r="A1414" i="3"/>
  <c r="O1413" i="3"/>
  <c r="K1413" i="3"/>
  <c r="J1413" i="3"/>
  <c r="I1413" i="3"/>
  <c r="H1413" i="3"/>
  <c r="G1413" i="3"/>
  <c r="F1413" i="3"/>
  <c r="E1413" i="3"/>
  <c r="D1413" i="3"/>
  <c r="C1413" i="3"/>
  <c r="B1413" i="3"/>
  <c r="A1413" i="3"/>
  <c r="O1412" i="3"/>
  <c r="M1412" i="3"/>
  <c r="K1412" i="3"/>
  <c r="J1412" i="3"/>
  <c r="I1412" i="3"/>
  <c r="H1412" i="3"/>
  <c r="G1412" i="3"/>
  <c r="F1412" i="3"/>
  <c r="E1412" i="3"/>
  <c r="D1412" i="3"/>
  <c r="C1412" i="3"/>
  <c r="B1412" i="3"/>
  <c r="A1412" i="3"/>
  <c r="O1411" i="3"/>
  <c r="M1411" i="3"/>
  <c r="K1411" i="3"/>
  <c r="J1411" i="3"/>
  <c r="I1411" i="3"/>
  <c r="H1411" i="3"/>
  <c r="G1411" i="3"/>
  <c r="F1411" i="3"/>
  <c r="E1411" i="3"/>
  <c r="D1411" i="3"/>
  <c r="C1411" i="3"/>
  <c r="B1411" i="3"/>
  <c r="A1411" i="3"/>
  <c r="K1410" i="3"/>
  <c r="J1410" i="3"/>
  <c r="I1410" i="3"/>
  <c r="H1410" i="3"/>
  <c r="G1410" i="3"/>
  <c r="F1410" i="3"/>
  <c r="E1410" i="3"/>
  <c r="D1410" i="3"/>
  <c r="C1410" i="3"/>
  <c r="B1410" i="3"/>
  <c r="A1410" i="3"/>
  <c r="O1409" i="3"/>
  <c r="K1409" i="3"/>
  <c r="J1409" i="3"/>
  <c r="I1409" i="3"/>
  <c r="H1409" i="3"/>
  <c r="G1409" i="3"/>
  <c r="F1409" i="3"/>
  <c r="E1409" i="3"/>
  <c r="D1409" i="3"/>
  <c r="C1409" i="3"/>
  <c r="B1409" i="3"/>
  <c r="A1409" i="3"/>
  <c r="O1408" i="3"/>
  <c r="K1408" i="3"/>
  <c r="J1408" i="3"/>
  <c r="I1408" i="3"/>
  <c r="H1408" i="3"/>
  <c r="G1408" i="3"/>
  <c r="F1408" i="3"/>
  <c r="E1408" i="3"/>
  <c r="D1408" i="3"/>
  <c r="C1408" i="3"/>
  <c r="B1408" i="3"/>
  <c r="A1408" i="3"/>
  <c r="K1407" i="3"/>
  <c r="J1407" i="3"/>
  <c r="I1407" i="3"/>
  <c r="H1407" i="3"/>
  <c r="G1407" i="3"/>
  <c r="F1407" i="3"/>
  <c r="E1407" i="3"/>
  <c r="D1407" i="3"/>
  <c r="C1407" i="3"/>
  <c r="B1407" i="3"/>
  <c r="A1407" i="3"/>
  <c r="M1406" i="3"/>
  <c r="K1406" i="3"/>
  <c r="J1406" i="3"/>
  <c r="I1406" i="3"/>
  <c r="H1406" i="3"/>
  <c r="G1406" i="3"/>
  <c r="F1406" i="3"/>
  <c r="E1406" i="3"/>
  <c r="D1406" i="3"/>
  <c r="C1406" i="3"/>
  <c r="B1406" i="3"/>
  <c r="A1406" i="3"/>
  <c r="K1405" i="3"/>
  <c r="J1405" i="3"/>
  <c r="I1405" i="3"/>
  <c r="H1405" i="3"/>
  <c r="G1405" i="3"/>
  <c r="F1405" i="3"/>
  <c r="E1405" i="3"/>
  <c r="D1405" i="3"/>
  <c r="C1405" i="3"/>
  <c r="B1405" i="3"/>
  <c r="A1405" i="3"/>
  <c r="O1404" i="3"/>
  <c r="M1404" i="3"/>
  <c r="K1404" i="3"/>
  <c r="J1404" i="3"/>
  <c r="I1404" i="3"/>
  <c r="H1404" i="3"/>
  <c r="G1404" i="3"/>
  <c r="F1404" i="3"/>
  <c r="E1404" i="3"/>
  <c r="D1404" i="3"/>
  <c r="C1404" i="3"/>
  <c r="B1404" i="3"/>
  <c r="A1404" i="3"/>
  <c r="O1403" i="3"/>
  <c r="M1403" i="3"/>
  <c r="K1403" i="3"/>
  <c r="J1403" i="3"/>
  <c r="I1403" i="3"/>
  <c r="H1403" i="3"/>
  <c r="G1403" i="3"/>
  <c r="F1403" i="3"/>
  <c r="E1403" i="3"/>
  <c r="D1403" i="3"/>
  <c r="C1403" i="3"/>
  <c r="B1403" i="3"/>
  <c r="A1403" i="3"/>
  <c r="O1402" i="3"/>
  <c r="K1402" i="3"/>
  <c r="J1402" i="3"/>
  <c r="I1402" i="3"/>
  <c r="H1402" i="3"/>
  <c r="G1402" i="3"/>
  <c r="F1402" i="3"/>
  <c r="E1402" i="3"/>
  <c r="D1402" i="3"/>
  <c r="C1402" i="3"/>
  <c r="B1402" i="3"/>
  <c r="A1402" i="3"/>
  <c r="O1401" i="3"/>
  <c r="M1401" i="3"/>
  <c r="K1401" i="3"/>
  <c r="J1401" i="3"/>
  <c r="I1401" i="3"/>
  <c r="H1401" i="3"/>
  <c r="G1401" i="3"/>
  <c r="F1401" i="3"/>
  <c r="E1401" i="3"/>
  <c r="D1401" i="3"/>
  <c r="C1401" i="3"/>
  <c r="B1401" i="3"/>
  <c r="A1401" i="3"/>
  <c r="O1400" i="3"/>
  <c r="M1400" i="3"/>
  <c r="K1400" i="3"/>
  <c r="J1400" i="3"/>
  <c r="I1400" i="3"/>
  <c r="H1400" i="3"/>
  <c r="G1400" i="3"/>
  <c r="F1400" i="3"/>
  <c r="E1400" i="3"/>
  <c r="D1400" i="3"/>
  <c r="C1400" i="3"/>
  <c r="B1400" i="3"/>
  <c r="A1400" i="3"/>
  <c r="M1399" i="3"/>
  <c r="K1399" i="3"/>
  <c r="J1399" i="3"/>
  <c r="I1399" i="3"/>
  <c r="H1399" i="3"/>
  <c r="G1399" i="3"/>
  <c r="F1399" i="3"/>
  <c r="E1399" i="3"/>
  <c r="D1399" i="3"/>
  <c r="C1399" i="3"/>
  <c r="B1399" i="3"/>
  <c r="A1399" i="3"/>
  <c r="O1398" i="3"/>
  <c r="M1398" i="3"/>
  <c r="K1398" i="3"/>
  <c r="J1398" i="3"/>
  <c r="I1398" i="3"/>
  <c r="H1398" i="3"/>
  <c r="G1398" i="3"/>
  <c r="F1398" i="3"/>
  <c r="E1398" i="3"/>
  <c r="D1398" i="3"/>
  <c r="C1398" i="3"/>
  <c r="B1398" i="3"/>
  <c r="A1398" i="3"/>
  <c r="O1397" i="3"/>
  <c r="M1397" i="3"/>
  <c r="K1397" i="3"/>
  <c r="J1397" i="3"/>
  <c r="I1397" i="3"/>
  <c r="H1397" i="3"/>
  <c r="G1397" i="3"/>
  <c r="F1397" i="3"/>
  <c r="E1397" i="3"/>
  <c r="D1397" i="3"/>
  <c r="C1397" i="3"/>
  <c r="B1397" i="3"/>
  <c r="A1397" i="3"/>
  <c r="O1396" i="3"/>
  <c r="M1396" i="3"/>
  <c r="K1396" i="3"/>
  <c r="J1396" i="3"/>
  <c r="I1396" i="3"/>
  <c r="H1396" i="3"/>
  <c r="G1396" i="3"/>
  <c r="F1396" i="3"/>
  <c r="E1396" i="3"/>
  <c r="D1396" i="3"/>
  <c r="C1396" i="3"/>
  <c r="B1396" i="3"/>
  <c r="A1396" i="3"/>
  <c r="K1395" i="3"/>
  <c r="J1395" i="3"/>
  <c r="I1395" i="3"/>
  <c r="H1395" i="3"/>
  <c r="G1395" i="3"/>
  <c r="F1395" i="3"/>
  <c r="E1395" i="3"/>
  <c r="D1395" i="3"/>
  <c r="C1395" i="3"/>
  <c r="B1395" i="3"/>
  <c r="A1395" i="3"/>
  <c r="M1394" i="3"/>
  <c r="K1394" i="3"/>
  <c r="J1394" i="3"/>
  <c r="I1394" i="3"/>
  <c r="H1394" i="3"/>
  <c r="G1394" i="3"/>
  <c r="F1394" i="3"/>
  <c r="E1394" i="3"/>
  <c r="D1394" i="3"/>
  <c r="C1394" i="3"/>
  <c r="B1394" i="3"/>
  <c r="A1394" i="3"/>
  <c r="K1393" i="3"/>
  <c r="J1393" i="3"/>
  <c r="I1393" i="3"/>
  <c r="H1393" i="3"/>
  <c r="G1393" i="3"/>
  <c r="F1393" i="3"/>
  <c r="E1393" i="3"/>
  <c r="D1393" i="3"/>
  <c r="C1393" i="3"/>
  <c r="B1393" i="3"/>
  <c r="A1393" i="3"/>
  <c r="K1392" i="3"/>
  <c r="J1392" i="3"/>
  <c r="I1392" i="3"/>
  <c r="H1392" i="3"/>
  <c r="G1392" i="3"/>
  <c r="F1392" i="3"/>
  <c r="E1392" i="3"/>
  <c r="D1392" i="3"/>
  <c r="C1392" i="3"/>
  <c r="B1392" i="3"/>
  <c r="A1392" i="3"/>
  <c r="K1391" i="3"/>
  <c r="J1391" i="3"/>
  <c r="I1391" i="3"/>
  <c r="H1391" i="3"/>
  <c r="G1391" i="3"/>
  <c r="F1391" i="3"/>
  <c r="E1391" i="3"/>
  <c r="D1391" i="3"/>
  <c r="C1391" i="3"/>
  <c r="B1391" i="3"/>
  <c r="A1391" i="3"/>
  <c r="O1390" i="3"/>
  <c r="M1390" i="3"/>
  <c r="K1390" i="3"/>
  <c r="J1390" i="3"/>
  <c r="I1390" i="3"/>
  <c r="H1390" i="3"/>
  <c r="G1390" i="3"/>
  <c r="F1390" i="3"/>
  <c r="E1390" i="3"/>
  <c r="D1390" i="3"/>
  <c r="C1390" i="3"/>
  <c r="B1390" i="3"/>
  <c r="A1390" i="3"/>
  <c r="O1389" i="3"/>
  <c r="M1389" i="3"/>
  <c r="K1389" i="3"/>
  <c r="J1389" i="3"/>
  <c r="I1389" i="3"/>
  <c r="H1389" i="3"/>
  <c r="G1389" i="3"/>
  <c r="F1389" i="3"/>
  <c r="E1389" i="3"/>
  <c r="D1389" i="3"/>
  <c r="C1389" i="3"/>
  <c r="B1389" i="3"/>
  <c r="A1389" i="3"/>
  <c r="O1388" i="3"/>
  <c r="M1388" i="3"/>
  <c r="K1388" i="3"/>
  <c r="J1388" i="3"/>
  <c r="I1388" i="3"/>
  <c r="H1388" i="3"/>
  <c r="G1388" i="3"/>
  <c r="F1388" i="3"/>
  <c r="E1388" i="3"/>
  <c r="D1388" i="3"/>
  <c r="C1388" i="3"/>
  <c r="B1388" i="3"/>
  <c r="A1388" i="3"/>
  <c r="J1387" i="3"/>
  <c r="I1387" i="3"/>
  <c r="H1387" i="3"/>
  <c r="G1387" i="3"/>
  <c r="F1387" i="3"/>
  <c r="E1387" i="3"/>
  <c r="D1387" i="3"/>
  <c r="C1387" i="3"/>
  <c r="B1387" i="3"/>
  <c r="A1387" i="3"/>
  <c r="O1386" i="3"/>
  <c r="K1386" i="3"/>
  <c r="J1386" i="3"/>
  <c r="I1386" i="3"/>
  <c r="H1386" i="3"/>
  <c r="G1386" i="3"/>
  <c r="F1386" i="3"/>
  <c r="E1386" i="3"/>
  <c r="D1386" i="3"/>
  <c r="C1386" i="3"/>
  <c r="B1386" i="3"/>
  <c r="A1386" i="3"/>
  <c r="J1385" i="3"/>
  <c r="I1385" i="3"/>
  <c r="H1385" i="3"/>
  <c r="G1385" i="3"/>
  <c r="F1385" i="3"/>
  <c r="E1385" i="3"/>
  <c r="D1385" i="3"/>
  <c r="C1385" i="3"/>
  <c r="B1385" i="3"/>
  <c r="A1385" i="3"/>
  <c r="O1384" i="3"/>
  <c r="M1384" i="3"/>
  <c r="K1384" i="3"/>
  <c r="J1384" i="3"/>
  <c r="I1384" i="3"/>
  <c r="H1384" i="3"/>
  <c r="G1384" i="3"/>
  <c r="F1384" i="3"/>
  <c r="E1384" i="3"/>
  <c r="D1384" i="3"/>
  <c r="C1384" i="3"/>
  <c r="B1384" i="3"/>
  <c r="A1384" i="3"/>
  <c r="O1383" i="3"/>
  <c r="M1383" i="3"/>
  <c r="K1383" i="3"/>
  <c r="J1383" i="3"/>
  <c r="I1383" i="3"/>
  <c r="H1383" i="3"/>
  <c r="G1383" i="3"/>
  <c r="F1383" i="3"/>
  <c r="E1383" i="3"/>
  <c r="D1383" i="3"/>
  <c r="C1383" i="3"/>
  <c r="B1383" i="3"/>
  <c r="A1383" i="3"/>
  <c r="M1382" i="3"/>
  <c r="K1382" i="3"/>
  <c r="J1382" i="3"/>
  <c r="I1382" i="3"/>
  <c r="H1382" i="3"/>
  <c r="G1382" i="3"/>
  <c r="F1382" i="3"/>
  <c r="E1382" i="3"/>
  <c r="D1382" i="3"/>
  <c r="C1382" i="3"/>
  <c r="B1382" i="3"/>
  <c r="A1382" i="3"/>
  <c r="M1381" i="3"/>
  <c r="K1381" i="3"/>
  <c r="J1381" i="3"/>
  <c r="I1381" i="3"/>
  <c r="H1381" i="3"/>
  <c r="G1381" i="3"/>
  <c r="F1381" i="3"/>
  <c r="E1381" i="3"/>
  <c r="D1381" i="3"/>
  <c r="C1381" i="3"/>
  <c r="B1381" i="3"/>
  <c r="A1381" i="3"/>
  <c r="J1380" i="3"/>
  <c r="I1380" i="3"/>
  <c r="H1380" i="3"/>
  <c r="G1380" i="3"/>
  <c r="F1380" i="3"/>
  <c r="E1380" i="3"/>
  <c r="D1380" i="3"/>
  <c r="C1380" i="3"/>
  <c r="B1380" i="3"/>
  <c r="A1380" i="3"/>
  <c r="O1379" i="3"/>
  <c r="K1379" i="3"/>
  <c r="J1379" i="3"/>
  <c r="I1379" i="3"/>
  <c r="H1379" i="3"/>
  <c r="G1379" i="3"/>
  <c r="F1379" i="3"/>
  <c r="E1379" i="3"/>
  <c r="D1379" i="3"/>
  <c r="C1379" i="3"/>
  <c r="B1379" i="3"/>
  <c r="A1379" i="3"/>
  <c r="M1378" i="3"/>
  <c r="K1378" i="3"/>
  <c r="J1378" i="3"/>
  <c r="I1378" i="3"/>
  <c r="H1378" i="3"/>
  <c r="G1378" i="3"/>
  <c r="F1378" i="3"/>
  <c r="E1378" i="3"/>
  <c r="D1378" i="3"/>
  <c r="C1378" i="3"/>
  <c r="B1378" i="3"/>
  <c r="A1378" i="3"/>
  <c r="O1377" i="3"/>
  <c r="M1377" i="3"/>
  <c r="K1377" i="3"/>
  <c r="J1377" i="3"/>
  <c r="I1377" i="3"/>
  <c r="H1377" i="3"/>
  <c r="G1377" i="3"/>
  <c r="F1377" i="3"/>
  <c r="E1377" i="3"/>
  <c r="D1377" i="3"/>
  <c r="C1377" i="3"/>
  <c r="B1377" i="3"/>
  <c r="A1377" i="3"/>
  <c r="K1376" i="3"/>
  <c r="J1376" i="3"/>
  <c r="I1376" i="3"/>
  <c r="H1376" i="3"/>
  <c r="G1376" i="3"/>
  <c r="F1376" i="3"/>
  <c r="E1376" i="3"/>
  <c r="D1376" i="3"/>
  <c r="C1376" i="3"/>
  <c r="B1376" i="3"/>
  <c r="A1376" i="3"/>
  <c r="O1375" i="3"/>
  <c r="M1375" i="3"/>
  <c r="K1375" i="3"/>
  <c r="J1375" i="3"/>
  <c r="I1375" i="3"/>
  <c r="H1375" i="3"/>
  <c r="G1375" i="3"/>
  <c r="F1375" i="3"/>
  <c r="E1375" i="3"/>
  <c r="D1375" i="3"/>
  <c r="C1375" i="3"/>
  <c r="B1375" i="3"/>
  <c r="A1375" i="3"/>
  <c r="O1374" i="3"/>
  <c r="M1374" i="3"/>
  <c r="K1374" i="3"/>
  <c r="J1374" i="3"/>
  <c r="I1374" i="3"/>
  <c r="H1374" i="3"/>
  <c r="G1374" i="3"/>
  <c r="F1374" i="3"/>
  <c r="E1374" i="3"/>
  <c r="D1374" i="3"/>
  <c r="C1374" i="3"/>
  <c r="B1374" i="3"/>
  <c r="A1374" i="3"/>
  <c r="J1373" i="3"/>
  <c r="I1373" i="3"/>
  <c r="H1373" i="3"/>
  <c r="G1373" i="3"/>
  <c r="F1373" i="3"/>
  <c r="E1373" i="3"/>
  <c r="D1373" i="3"/>
  <c r="C1373" i="3"/>
  <c r="B1373" i="3"/>
  <c r="A1373" i="3"/>
  <c r="O1372" i="3"/>
  <c r="M1372" i="3"/>
  <c r="K1372" i="3"/>
  <c r="J1372" i="3"/>
  <c r="I1372" i="3"/>
  <c r="H1372" i="3"/>
  <c r="G1372" i="3"/>
  <c r="F1372" i="3"/>
  <c r="E1372" i="3"/>
  <c r="D1372" i="3"/>
  <c r="C1372" i="3"/>
  <c r="B1372" i="3"/>
  <c r="A1372" i="3"/>
  <c r="J1371" i="3"/>
  <c r="I1371" i="3"/>
  <c r="H1371" i="3"/>
  <c r="G1371" i="3"/>
  <c r="F1371" i="3"/>
  <c r="E1371" i="3"/>
  <c r="D1371" i="3"/>
  <c r="C1371" i="3"/>
  <c r="B1371" i="3"/>
  <c r="A1371" i="3"/>
  <c r="O1370" i="3"/>
  <c r="M1370" i="3"/>
  <c r="K1370" i="3"/>
  <c r="J1370" i="3"/>
  <c r="I1370" i="3"/>
  <c r="H1370" i="3"/>
  <c r="G1370" i="3"/>
  <c r="F1370" i="3"/>
  <c r="E1370" i="3"/>
  <c r="D1370" i="3"/>
  <c r="C1370" i="3"/>
  <c r="B1370" i="3"/>
  <c r="A1370" i="3"/>
  <c r="O1369" i="3"/>
  <c r="M1369" i="3"/>
  <c r="K1369" i="3"/>
  <c r="J1369" i="3"/>
  <c r="I1369" i="3"/>
  <c r="H1369" i="3"/>
  <c r="G1369" i="3"/>
  <c r="F1369" i="3"/>
  <c r="E1369" i="3"/>
  <c r="D1369" i="3"/>
  <c r="C1369" i="3"/>
  <c r="B1369" i="3"/>
  <c r="A1369" i="3"/>
  <c r="M1368" i="3"/>
  <c r="K1368" i="3"/>
  <c r="J1368" i="3"/>
  <c r="I1368" i="3"/>
  <c r="H1368" i="3"/>
  <c r="G1368" i="3"/>
  <c r="F1368" i="3"/>
  <c r="E1368" i="3"/>
  <c r="D1368" i="3"/>
  <c r="C1368" i="3"/>
  <c r="B1368" i="3"/>
  <c r="A1368" i="3"/>
  <c r="J1367" i="3"/>
  <c r="I1367" i="3"/>
  <c r="H1367" i="3"/>
  <c r="G1367" i="3"/>
  <c r="F1367" i="3"/>
  <c r="E1367" i="3"/>
  <c r="D1367" i="3"/>
  <c r="C1367" i="3"/>
  <c r="B1367" i="3"/>
  <c r="A1367" i="3"/>
  <c r="J1366" i="3"/>
  <c r="I1366" i="3"/>
  <c r="H1366" i="3"/>
  <c r="G1366" i="3"/>
  <c r="F1366" i="3"/>
  <c r="E1366" i="3"/>
  <c r="D1366" i="3"/>
  <c r="C1366" i="3"/>
  <c r="B1366" i="3"/>
  <c r="A1366" i="3"/>
  <c r="O1365" i="3"/>
  <c r="K1365" i="3"/>
  <c r="J1365" i="3"/>
  <c r="I1365" i="3"/>
  <c r="H1365" i="3"/>
  <c r="G1365" i="3"/>
  <c r="F1365" i="3"/>
  <c r="E1365" i="3"/>
  <c r="D1365" i="3"/>
  <c r="C1365" i="3"/>
  <c r="B1365" i="3"/>
  <c r="A1365" i="3"/>
  <c r="J1364" i="3"/>
  <c r="I1364" i="3"/>
  <c r="H1364" i="3"/>
  <c r="G1364" i="3"/>
  <c r="F1364" i="3"/>
  <c r="E1364" i="3"/>
  <c r="D1364" i="3"/>
  <c r="C1364" i="3"/>
  <c r="B1364" i="3"/>
  <c r="A1364" i="3"/>
  <c r="O1363" i="3"/>
  <c r="M1363" i="3"/>
  <c r="K1363" i="3"/>
  <c r="J1363" i="3"/>
  <c r="I1363" i="3"/>
  <c r="H1363" i="3"/>
  <c r="G1363" i="3"/>
  <c r="F1363" i="3"/>
  <c r="E1363" i="3"/>
  <c r="D1363" i="3"/>
  <c r="C1363" i="3"/>
  <c r="B1363" i="3"/>
  <c r="A1363" i="3"/>
  <c r="J1362" i="3"/>
  <c r="I1362" i="3"/>
  <c r="H1362" i="3"/>
  <c r="G1362" i="3"/>
  <c r="F1362" i="3"/>
  <c r="E1362" i="3"/>
  <c r="D1362" i="3"/>
  <c r="C1362" i="3"/>
  <c r="B1362" i="3"/>
  <c r="A1362" i="3"/>
  <c r="J1361" i="3"/>
  <c r="I1361" i="3"/>
  <c r="H1361" i="3"/>
  <c r="G1361" i="3"/>
  <c r="F1361" i="3"/>
  <c r="E1361" i="3"/>
  <c r="D1361" i="3"/>
  <c r="C1361" i="3"/>
  <c r="B1361" i="3"/>
  <c r="A1361" i="3"/>
  <c r="J1360" i="3"/>
  <c r="I1360" i="3"/>
  <c r="H1360" i="3"/>
  <c r="G1360" i="3"/>
  <c r="F1360" i="3"/>
  <c r="E1360" i="3"/>
  <c r="D1360" i="3"/>
  <c r="C1360" i="3"/>
  <c r="B1360" i="3"/>
  <c r="A1360" i="3"/>
  <c r="M1359" i="3"/>
  <c r="K1359" i="3"/>
  <c r="J1359" i="3"/>
  <c r="I1359" i="3"/>
  <c r="H1359" i="3"/>
  <c r="G1359" i="3"/>
  <c r="F1359" i="3"/>
  <c r="E1359" i="3"/>
  <c r="D1359" i="3"/>
  <c r="C1359" i="3"/>
  <c r="B1359" i="3"/>
  <c r="A1359" i="3"/>
  <c r="O1358" i="3"/>
  <c r="M1358" i="3"/>
  <c r="K1358" i="3"/>
  <c r="J1358" i="3"/>
  <c r="I1358" i="3"/>
  <c r="H1358" i="3"/>
  <c r="G1358" i="3"/>
  <c r="F1358" i="3"/>
  <c r="E1358" i="3"/>
  <c r="D1358" i="3"/>
  <c r="C1358" i="3"/>
  <c r="B1358" i="3"/>
  <c r="A1358" i="3"/>
  <c r="O1357" i="3"/>
  <c r="M1357" i="3"/>
  <c r="K1357" i="3"/>
  <c r="J1357" i="3"/>
  <c r="I1357" i="3"/>
  <c r="H1357" i="3"/>
  <c r="G1357" i="3"/>
  <c r="F1357" i="3"/>
  <c r="E1357" i="3"/>
  <c r="D1357" i="3"/>
  <c r="C1357" i="3"/>
  <c r="B1357" i="3"/>
  <c r="A1357" i="3"/>
  <c r="J1356" i="3"/>
  <c r="I1356" i="3"/>
  <c r="H1356" i="3"/>
  <c r="G1356" i="3"/>
  <c r="F1356" i="3"/>
  <c r="E1356" i="3"/>
  <c r="D1356" i="3"/>
  <c r="C1356" i="3"/>
  <c r="B1356" i="3"/>
  <c r="A1356" i="3"/>
  <c r="O1355" i="3"/>
  <c r="M1355" i="3"/>
  <c r="K1355" i="3"/>
  <c r="J1355" i="3"/>
  <c r="I1355" i="3"/>
  <c r="H1355" i="3"/>
  <c r="G1355" i="3"/>
  <c r="F1355" i="3"/>
  <c r="E1355" i="3"/>
  <c r="D1355" i="3"/>
  <c r="C1355" i="3"/>
  <c r="B1355" i="3"/>
  <c r="A1355" i="3"/>
  <c r="J1354" i="3"/>
  <c r="I1354" i="3"/>
  <c r="H1354" i="3"/>
  <c r="G1354" i="3"/>
  <c r="F1354" i="3"/>
  <c r="E1354" i="3"/>
  <c r="D1354" i="3"/>
  <c r="C1354" i="3"/>
  <c r="B1354" i="3"/>
  <c r="A1354" i="3"/>
  <c r="J1353" i="3"/>
  <c r="I1353" i="3"/>
  <c r="H1353" i="3"/>
  <c r="G1353" i="3"/>
  <c r="F1353" i="3"/>
  <c r="E1353" i="3"/>
  <c r="D1353" i="3"/>
  <c r="C1353" i="3"/>
  <c r="B1353" i="3"/>
  <c r="A1353" i="3"/>
  <c r="J1352" i="3"/>
  <c r="I1352" i="3"/>
  <c r="H1352" i="3"/>
  <c r="G1352" i="3"/>
  <c r="F1352" i="3"/>
  <c r="E1352" i="3"/>
  <c r="D1352" i="3"/>
  <c r="C1352" i="3"/>
  <c r="B1352" i="3"/>
  <c r="A1352" i="3"/>
  <c r="M1351" i="3"/>
  <c r="K1351" i="3"/>
  <c r="J1351" i="3"/>
  <c r="I1351" i="3"/>
  <c r="H1351" i="3"/>
  <c r="G1351" i="3"/>
  <c r="F1351" i="3"/>
  <c r="E1351" i="3"/>
  <c r="D1351" i="3"/>
  <c r="C1351" i="3"/>
  <c r="B1351" i="3"/>
  <c r="A1351" i="3"/>
  <c r="K1350" i="3"/>
  <c r="J1350" i="3"/>
  <c r="I1350" i="3"/>
  <c r="H1350" i="3"/>
  <c r="G1350" i="3"/>
  <c r="F1350" i="3"/>
  <c r="E1350" i="3"/>
  <c r="D1350" i="3"/>
  <c r="C1350" i="3"/>
  <c r="B1350" i="3"/>
  <c r="A1350" i="3"/>
  <c r="J1349" i="3"/>
  <c r="I1349" i="3"/>
  <c r="H1349" i="3"/>
  <c r="G1349" i="3"/>
  <c r="F1349" i="3"/>
  <c r="E1349" i="3"/>
  <c r="D1349" i="3"/>
  <c r="C1349" i="3"/>
  <c r="B1349" i="3"/>
  <c r="A1349" i="3"/>
  <c r="O1348" i="3"/>
  <c r="M1348" i="3"/>
  <c r="K1348" i="3"/>
  <c r="J1348" i="3"/>
  <c r="I1348" i="3"/>
  <c r="H1348" i="3"/>
  <c r="G1348" i="3"/>
  <c r="F1348" i="3"/>
  <c r="E1348" i="3"/>
  <c r="D1348" i="3"/>
  <c r="C1348" i="3"/>
  <c r="B1348" i="3"/>
  <c r="A1348" i="3"/>
  <c r="J1347" i="3"/>
  <c r="I1347" i="3"/>
  <c r="H1347" i="3"/>
  <c r="G1347" i="3"/>
  <c r="F1347" i="3"/>
  <c r="E1347" i="3"/>
  <c r="D1347" i="3"/>
  <c r="C1347" i="3"/>
  <c r="B1347" i="3"/>
  <c r="A1347" i="3"/>
  <c r="O1346" i="3"/>
  <c r="M1346" i="3"/>
  <c r="K1346" i="3"/>
  <c r="J1346" i="3"/>
  <c r="I1346" i="3"/>
  <c r="H1346" i="3"/>
  <c r="G1346" i="3"/>
  <c r="F1346" i="3"/>
  <c r="E1346" i="3"/>
  <c r="D1346" i="3"/>
  <c r="C1346" i="3"/>
  <c r="B1346" i="3"/>
  <c r="A1346" i="3"/>
  <c r="M1345" i="3"/>
  <c r="K1345" i="3"/>
  <c r="J1345" i="3"/>
  <c r="I1345" i="3"/>
  <c r="H1345" i="3"/>
  <c r="G1345" i="3"/>
  <c r="F1345" i="3"/>
  <c r="E1345" i="3"/>
  <c r="D1345" i="3"/>
  <c r="C1345" i="3"/>
  <c r="B1345" i="3"/>
  <c r="A1345" i="3"/>
  <c r="J1344" i="3"/>
  <c r="I1344" i="3"/>
  <c r="H1344" i="3"/>
  <c r="G1344" i="3"/>
  <c r="F1344" i="3"/>
  <c r="E1344" i="3"/>
  <c r="D1344" i="3"/>
  <c r="C1344" i="3"/>
  <c r="B1344" i="3"/>
  <c r="A1344" i="3"/>
  <c r="K1343" i="3"/>
  <c r="J1343" i="3"/>
  <c r="I1343" i="3"/>
  <c r="H1343" i="3"/>
  <c r="G1343" i="3"/>
  <c r="F1343" i="3"/>
  <c r="E1343" i="3"/>
  <c r="D1343" i="3"/>
  <c r="C1343" i="3"/>
  <c r="B1343" i="3"/>
  <c r="A1343" i="3"/>
  <c r="K1342" i="3"/>
  <c r="J1342" i="3"/>
  <c r="I1342" i="3"/>
  <c r="H1342" i="3"/>
  <c r="G1342" i="3"/>
  <c r="F1342" i="3"/>
  <c r="E1342" i="3"/>
  <c r="D1342" i="3"/>
  <c r="C1342" i="3"/>
  <c r="B1342" i="3"/>
  <c r="A1342" i="3"/>
  <c r="J1341" i="3"/>
  <c r="I1341" i="3"/>
  <c r="H1341" i="3"/>
  <c r="G1341" i="3"/>
  <c r="F1341" i="3"/>
  <c r="E1341" i="3"/>
  <c r="D1341" i="3"/>
  <c r="C1341" i="3"/>
  <c r="B1341" i="3"/>
  <c r="A1341" i="3"/>
  <c r="M1340" i="3"/>
  <c r="K1340" i="3"/>
  <c r="J1340" i="3"/>
  <c r="I1340" i="3"/>
  <c r="H1340" i="3"/>
  <c r="G1340" i="3"/>
  <c r="F1340" i="3"/>
  <c r="E1340" i="3"/>
  <c r="D1340" i="3"/>
  <c r="C1340" i="3"/>
  <c r="B1340" i="3"/>
  <c r="A1340" i="3"/>
  <c r="O1339" i="3"/>
  <c r="K1339" i="3"/>
  <c r="J1339" i="3"/>
  <c r="I1339" i="3"/>
  <c r="H1339" i="3"/>
  <c r="G1339" i="3"/>
  <c r="F1339" i="3"/>
  <c r="E1339" i="3"/>
  <c r="D1339" i="3"/>
  <c r="C1339" i="3"/>
  <c r="B1339" i="3"/>
  <c r="A1339" i="3"/>
  <c r="M1338" i="3"/>
  <c r="K1338" i="3"/>
  <c r="J1338" i="3"/>
  <c r="I1338" i="3"/>
  <c r="H1338" i="3"/>
  <c r="G1338" i="3"/>
  <c r="F1338" i="3"/>
  <c r="E1338" i="3"/>
  <c r="D1338" i="3"/>
  <c r="C1338" i="3"/>
  <c r="B1338" i="3"/>
  <c r="A1338" i="3"/>
  <c r="O1337" i="3"/>
  <c r="M1337" i="3"/>
  <c r="K1337" i="3"/>
  <c r="J1337" i="3"/>
  <c r="I1337" i="3"/>
  <c r="H1337" i="3"/>
  <c r="G1337" i="3"/>
  <c r="F1337" i="3"/>
  <c r="E1337" i="3"/>
  <c r="D1337" i="3"/>
  <c r="C1337" i="3"/>
  <c r="B1337" i="3"/>
  <c r="A1337" i="3"/>
  <c r="K1336" i="3"/>
  <c r="J1336" i="3"/>
  <c r="I1336" i="3"/>
  <c r="H1336" i="3"/>
  <c r="G1336" i="3"/>
  <c r="F1336" i="3"/>
  <c r="E1336" i="3"/>
  <c r="D1336" i="3"/>
  <c r="C1336" i="3"/>
  <c r="B1336" i="3"/>
  <c r="A1336" i="3"/>
  <c r="O1335" i="3"/>
  <c r="M1335" i="3"/>
  <c r="K1335" i="3"/>
  <c r="J1335" i="3"/>
  <c r="I1335" i="3"/>
  <c r="H1335" i="3"/>
  <c r="G1335" i="3"/>
  <c r="F1335" i="3"/>
  <c r="E1335" i="3"/>
  <c r="D1335" i="3"/>
  <c r="C1335" i="3"/>
  <c r="B1335" i="3"/>
  <c r="A1335" i="3"/>
  <c r="J1334" i="3"/>
  <c r="I1334" i="3"/>
  <c r="H1334" i="3"/>
  <c r="G1334" i="3"/>
  <c r="F1334" i="3"/>
  <c r="E1334" i="3"/>
  <c r="D1334" i="3"/>
  <c r="C1334" i="3"/>
  <c r="B1334" i="3"/>
  <c r="A1334" i="3"/>
  <c r="J1333" i="3"/>
  <c r="I1333" i="3"/>
  <c r="H1333" i="3"/>
  <c r="G1333" i="3"/>
  <c r="F1333" i="3"/>
  <c r="E1333" i="3"/>
  <c r="D1333" i="3"/>
  <c r="C1333" i="3"/>
  <c r="B1333" i="3"/>
  <c r="A1333" i="3"/>
  <c r="K1332" i="3"/>
  <c r="J1332" i="3"/>
  <c r="I1332" i="3"/>
  <c r="H1332" i="3"/>
  <c r="G1332" i="3"/>
  <c r="F1332" i="3"/>
  <c r="E1332" i="3"/>
  <c r="D1332" i="3"/>
  <c r="C1332" i="3"/>
  <c r="B1332" i="3"/>
  <c r="A1332" i="3"/>
  <c r="M1331" i="3"/>
  <c r="K1331" i="3"/>
  <c r="J1331" i="3"/>
  <c r="I1331" i="3"/>
  <c r="H1331" i="3"/>
  <c r="G1331" i="3"/>
  <c r="F1331" i="3"/>
  <c r="E1331" i="3"/>
  <c r="D1331" i="3"/>
  <c r="C1331" i="3"/>
  <c r="B1331" i="3"/>
  <c r="A1331" i="3"/>
  <c r="K1330" i="3"/>
  <c r="J1330" i="3"/>
  <c r="I1330" i="3"/>
  <c r="H1330" i="3"/>
  <c r="G1330" i="3"/>
  <c r="F1330" i="3"/>
  <c r="E1330" i="3"/>
  <c r="D1330" i="3"/>
  <c r="C1330" i="3"/>
  <c r="B1330" i="3"/>
  <c r="A1330" i="3"/>
  <c r="K1329" i="3"/>
  <c r="J1329" i="3"/>
  <c r="I1329" i="3"/>
  <c r="H1329" i="3"/>
  <c r="G1329" i="3"/>
  <c r="F1329" i="3"/>
  <c r="E1329" i="3"/>
  <c r="D1329" i="3"/>
  <c r="C1329" i="3"/>
  <c r="B1329" i="3"/>
  <c r="A1329" i="3"/>
  <c r="O1328" i="3"/>
  <c r="M1328" i="3"/>
  <c r="K1328" i="3"/>
  <c r="J1328" i="3"/>
  <c r="I1328" i="3"/>
  <c r="H1328" i="3"/>
  <c r="G1328" i="3"/>
  <c r="F1328" i="3"/>
  <c r="E1328" i="3"/>
  <c r="D1328" i="3"/>
  <c r="C1328" i="3"/>
  <c r="B1328" i="3"/>
  <c r="A1328" i="3"/>
  <c r="O1327" i="3"/>
  <c r="M1327" i="3"/>
  <c r="K1327" i="3"/>
  <c r="J1327" i="3"/>
  <c r="I1327" i="3"/>
  <c r="H1327" i="3"/>
  <c r="G1327" i="3"/>
  <c r="F1327" i="3"/>
  <c r="E1327" i="3"/>
  <c r="D1327" i="3"/>
  <c r="C1327" i="3"/>
  <c r="B1327" i="3"/>
  <c r="A1327" i="3"/>
  <c r="O1326" i="3"/>
  <c r="M1326" i="3"/>
  <c r="K1326" i="3"/>
  <c r="J1326" i="3"/>
  <c r="I1326" i="3"/>
  <c r="H1326" i="3"/>
  <c r="G1326" i="3"/>
  <c r="F1326" i="3"/>
  <c r="E1326" i="3"/>
  <c r="D1326" i="3"/>
  <c r="C1326" i="3"/>
  <c r="B1326" i="3"/>
  <c r="A1326" i="3"/>
  <c r="O1325" i="3"/>
  <c r="M1325" i="3"/>
  <c r="K1325" i="3"/>
  <c r="J1325" i="3"/>
  <c r="I1325" i="3"/>
  <c r="H1325" i="3"/>
  <c r="G1325" i="3"/>
  <c r="F1325" i="3"/>
  <c r="E1325" i="3"/>
  <c r="D1325" i="3"/>
  <c r="C1325" i="3"/>
  <c r="B1325" i="3"/>
  <c r="A1325" i="3"/>
  <c r="O1324" i="3"/>
  <c r="K1324" i="3"/>
  <c r="J1324" i="3"/>
  <c r="I1324" i="3"/>
  <c r="H1324" i="3"/>
  <c r="G1324" i="3"/>
  <c r="F1324" i="3"/>
  <c r="E1324" i="3"/>
  <c r="D1324" i="3"/>
  <c r="C1324" i="3"/>
  <c r="B1324" i="3"/>
  <c r="A1324" i="3"/>
  <c r="O1323" i="3"/>
  <c r="M1323" i="3"/>
  <c r="K1323" i="3"/>
  <c r="J1323" i="3"/>
  <c r="I1323" i="3"/>
  <c r="H1323" i="3"/>
  <c r="G1323" i="3"/>
  <c r="F1323" i="3"/>
  <c r="E1323" i="3"/>
  <c r="D1323" i="3"/>
  <c r="C1323" i="3"/>
  <c r="B1323" i="3"/>
  <c r="A1323" i="3"/>
  <c r="O1322" i="3"/>
  <c r="M1322" i="3"/>
  <c r="K1322" i="3"/>
  <c r="J1322" i="3"/>
  <c r="I1322" i="3"/>
  <c r="H1322" i="3"/>
  <c r="G1322" i="3"/>
  <c r="F1322" i="3"/>
  <c r="E1322" i="3"/>
  <c r="D1322" i="3"/>
  <c r="C1322" i="3"/>
  <c r="B1322" i="3"/>
  <c r="A1322" i="3"/>
  <c r="O1321" i="3"/>
  <c r="M1321" i="3"/>
  <c r="K1321" i="3"/>
  <c r="J1321" i="3"/>
  <c r="I1321" i="3"/>
  <c r="H1321" i="3"/>
  <c r="G1321" i="3"/>
  <c r="F1321" i="3"/>
  <c r="E1321" i="3"/>
  <c r="D1321" i="3"/>
  <c r="C1321" i="3"/>
  <c r="B1321" i="3"/>
  <c r="A1321" i="3"/>
  <c r="O1320" i="3"/>
  <c r="M1320" i="3"/>
  <c r="K1320" i="3"/>
  <c r="J1320" i="3"/>
  <c r="I1320" i="3"/>
  <c r="H1320" i="3"/>
  <c r="G1320" i="3"/>
  <c r="F1320" i="3"/>
  <c r="E1320" i="3"/>
  <c r="D1320" i="3"/>
  <c r="C1320" i="3"/>
  <c r="B1320" i="3"/>
  <c r="A1320" i="3"/>
  <c r="M1319" i="3"/>
  <c r="K1319" i="3"/>
  <c r="J1319" i="3"/>
  <c r="I1319" i="3"/>
  <c r="H1319" i="3"/>
  <c r="G1319" i="3"/>
  <c r="F1319" i="3"/>
  <c r="E1319" i="3"/>
  <c r="D1319" i="3"/>
  <c r="C1319" i="3"/>
  <c r="B1319" i="3"/>
  <c r="A1319" i="3"/>
  <c r="O1318" i="3"/>
  <c r="M1318" i="3"/>
  <c r="K1318" i="3"/>
  <c r="J1318" i="3"/>
  <c r="I1318" i="3"/>
  <c r="H1318" i="3"/>
  <c r="G1318" i="3"/>
  <c r="F1318" i="3"/>
  <c r="E1318" i="3"/>
  <c r="D1318" i="3"/>
  <c r="C1318" i="3"/>
  <c r="B1318" i="3"/>
  <c r="A1318" i="3"/>
  <c r="O1317" i="3"/>
  <c r="K1317" i="3"/>
  <c r="J1317" i="3"/>
  <c r="I1317" i="3"/>
  <c r="H1317" i="3"/>
  <c r="G1317" i="3"/>
  <c r="F1317" i="3"/>
  <c r="E1317" i="3"/>
  <c r="D1317" i="3"/>
  <c r="C1317" i="3"/>
  <c r="B1317" i="3"/>
  <c r="A1317" i="3"/>
  <c r="O1316" i="3"/>
  <c r="M1316" i="3"/>
  <c r="K1316" i="3"/>
  <c r="J1316" i="3"/>
  <c r="I1316" i="3"/>
  <c r="H1316" i="3"/>
  <c r="G1316" i="3"/>
  <c r="F1316" i="3"/>
  <c r="E1316" i="3"/>
  <c r="D1316" i="3"/>
  <c r="C1316" i="3"/>
  <c r="B1316" i="3"/>
  <c r="A1316" i="3"/>
  <c r="O1315" i="3"/>
  <c r="M1315" i="3"/>
  <c r="K1315" i="3"/>
  <c r="J1315" i="3"/>
  <c r="I1315" i="3"/>
  <c r="H1315" i="3"/>
  <c r="G1315" i="3"/>
  <c r="F1315" i="3"/>
  <c r="E1315" i="3"/>
  <c r="D1315" i="3"/>
  <c r="C1315" i="3"/>
  <c r="B1315" i="3"/>
  <c r="A1315" i="3"/>
  <c r="J1314" i="3"/>
  <c r="I1314" i="3"/>
  <c r="H1314" i="3"/>
  <c r="G1314" i="3"/>
  <c r="F1314" i="3"/>
  <c r="E1314" i="3"/>
  <c r="D1314" i="3"/>
  <c r="C1314" i="3"/>
  <c r="B1314" i="3"/>
  <c r="A1314" i="3"/>
  <c r="J1313" i="3"/>
  <c r="I1313" i="3"/>
  <c r="H1313" i="3"/>
  <c r="G1313" i="3"/>
  <c r="F1313" i="3"/>
  <c r="E1313" i="3"/>
  <c r="D1313" i="3"/>
  <c r="C1313" i="3"/>
  <c r="B1313" i="3"/>
  <c r="A1313" i="3"/>
  <c r="O1312" i="3"/>
  <c r="M1312" i="3"/>
  <c r="K1312" i="3"/>
  <c r="J1312" i="3"/>
  <c r="I1312" i="3"/>
  <c r="H1312" i="3"/>
  <c r="G1312" i="3"/>
  <c r="F1312" i="3"/>
  <c r="E1312" i="3"/>
  <c r="D1312" i="3"/>
  <c r="C1312" i="3"/>
  <c r="B1312" i="3"/>
  <c r="A1312" i="3"/>
  <c r="O1311" i="3"/>
  <c r="M1311" i="3"/>
  <c r="K1311" i="3"/>
  <c r="J1311" i="3"/>
  <c r="I1311" i="3"/>
  <c r="H1311" i="3"/>
  <c r="G1311" i="3"/>
  <c r="F1311" i="3"/>
  <c r="E1311" i="3"/>
  <c r="D1311" i="3"/>
  <c r="C1311" i="3"/>
  <c r="B1311" i="3"/>
  <c r="A1311" i="3"/>
  <c r="K1310" i="3"/>
  <c r="J1310" i="3"/>
  <c r="I1310" i="3"/>
  <c r="H1310" i="3"/>
  <c r="G1310" i="3"/>
  <c r="F1310" i="3"/>
  <c r="E1310" i="3"/>
  <c r="D1310" i="3"/>
  <c r="C1310" i="3"/>
  <c r="B1310" i="3"/>
  <c r="A1310" i="3"/>
  <c r="O1309" i="3"/>
  <c r="M1309" i="3"/>
  <c r="K1309" i="3"/>
  <c r="J1309" i="3"/>
  <c r="I1309" i="3"/>
  <c r="H1309" i="3"/>
  <c r="G1309" i="3"/>
  <c r="F1309" i="3"/>
  <c r="E1309" i="3"/>
  <c r="D1309" i="3"/>
  <c r="C1309" i="3"/>
  <c r="B1309" i="3"/>
  <c r="A1309" i="3"/>
  <c r="J1308" i="3"/>
  <c r="I1308" i="3"/>
  <c r="H1308" i="3"/>
  <c r="G1308" i="3"/>
  <c r="F1308" i="3"/>
  <c r="E1308" i="3"/>
  <c r="D1308" i="3"/>
  <c r="C1308" i="3"/>
  <c r="B1308" i="3"/>
  <c r="A1308" i="3"/>
  <c r="O1307" i="3"/>
  <c r="M1307" i="3"/>
  <c r="K1307" i="3"/>
  <c r="J1307" i="3"/>
  <c r="I1307" i="3"/>
  <c r="H1307" i="3"/>
  <c r="G1307" i="3"/>
  <c r="F1307" i="3"/>
  <c r="E1307" i="3"/>
  <c r="D1307" i="3"/>
  <c r="C1307" i="3"/>
  <c r="B1307" i="3"/>
  <c r="A1307" i="3"/>
  <c r="O1306" i="3"/>
  <c r="K1306" i="3"/>
  <c r="J1306" i="3"/>
  <c r="I1306" i="3"/>
  <c r="H1306" i="3"/>
  <c r="G1306" i="3"/>
  <c r="F1306" i="3"/>
  <c r="E1306" i="3"/>
  <c r="D1306" i="3"/>
  <c r="C1306" i="3"/>
  <c r="B1306" i="3"/>
  <c r="A1306" i="3"/>
  <c r="O1305" i="3"/>
  <c r="M1305" i="3"/>
  <c r="K1305" i="3"/>
  <c r="J1305" i="3"/>
  <c r="I1305" i="3"/>
  <c r="H1305" i="3"/>
  <c r="G1305" i="3"/>
  <c r="F1305" i="3"/>
  <c r="E1305" i="3"/>
  <c r="D1305" i="3"/>
  <c r="C1305" i="3"/>
  <c r="B1305" i="3"/>
  <c r="A1305" i="3"/>
  <c r="O1304" i="3"/>
  <c r="K1304" i="3"/>
  <c r="J1304" i="3"/>
  <c r="I1304" i="3"/>
  <c r="H1304" i="3"/>
  <c r="G1304" i="3"/>
  <c r="F1304" i="3"/>
  <c r="E1304" i="3"/>
  <c r="D1304" i="3"/>
  <c r="C1304" i="3"/>
  <c r="B1304" i="3"/>
  <c r="A1304" i="3"/>
  <c r="O1303" i="3"/>
  <c r="M1303" i="3"/>
  <c r="K1303" i="3"/>
  <c r="J1303" i="3"/>
  <c r="I1303" i="3"/>
  <c r="H1303" i="3"/>
  <c r="G1303" i="3"/>
  <c r="F1303" i="3"/>
  <c r="E1303" i="3"/>
  <c r="D1303" i="3"/>
  <c r="C1303" i="3"/>
  <c r="B1303" i="3"/>
  <c r="A1303" i="3"/>
  <c r="M1302" i="3"/>
  <c r="K1302" i="3"/>
  <c r="J1302" i="3"/>
  <c r="I1302" i="3"/>
  <c r="H1302" i="3"/>
  <c r="G1302" i="3"/>
  <c r="F1302" i="3"/>
  <c r="E1302" i="3"/>
  <c r="D1302" i="3"/>
  <c r="C1302" i="3"/>
  <c r="B1302" i="3"/>
  <c r="A1302" i="3"/>
  <c r="O1301" i="3"/>
  <c r="M1301" i="3"/>
  <c r="K1301" i="3"/>
  <c r="J1301" i="3"/>
  <c r="I1301" i="3"/>
  <c r="H1301" i="3"/>
  <c r="G1301" i="3"/>
  <c r="F1301" i="3"/>
  <c r="E1301" i="3"/>
  <c r="D1301" i="3"/>
  <c r="C1301" i="3"/>
  <c r="B1301" i="3"/>
  <c r="A1301" i="3"/>
  <c r="O1300" i="3"/>
  <c r="M1300" i="3"/>
  <c r="K1300" i="3"/>
  <c r="J1300" i="3"/>
  <c r="I1300" i="3"/>
  <c r="H1300" i="3"/>
  <c r="G1300" i="3"/>
  <c r="F1300" i="3"/>
  <c r="E1300" i="3"/>
  <c r="D1300" i="3"/>
  <c r="C1300" i="3"/>
  <c r="B1300" i="3"/>
  <c r="A1300" i="3"/>
  <c r="O1299" i="3"/>
  <c r="M1299" i="3"/>
  <c r="K1299" i="3"/>
  <c r="J1299" i="3"/>
  <c r="I1299" i="3"/>
  <c r="H1299" i="3"/>
  <c r="G1299" i="3"/>
  <c r="F1299" i="3"/>
  <c r="E1299" i="3"/>
  <c r="D1299" i="3"/>
  <c r="C1299" i="3"/>
  <c r="B1299" i="3"/>
  <c r="A1299" i="3"/>
  <c r="O1298" i="3"/>
  <c r="M1298" i="3"/>
  <c r="K1298" i="3"/>
  <c r="J1298" i="3"/>
  <c r="I1298" i="3"/>
  <c r="H1298" i="3"/>
  <c r="G1298" i="3"/>
  <c r="F1298" i="3"/>
  <c r="E1298" i="3"/>
  <c r="D1298" i="3"/>
  <c r="C1298" i="3"/>
  <c r="B1298" i="3"/>
  <c r="A1298" i="3"/>
  <c r="O1297" i="3"/>
  <c r="K1297" i="3"/>
  <c r="J1297" i="3"/>
  <c r="I1297" i="3"/>
  <c r="H1297" i="3"/>
  <c r="G1297" i="3"/>
  <c r="F1297" i="3"/>
  <c r="E1297" i="3"/>
  <c r="D1297" i="3"/>
  <c r="C1297" i="3"/>
  <c r="B1297" i="3"/>
  <c r="A1297" i="3"/>
  <c r="J1296" i="3"/>
  <c r="I1296" i="3"/>
  <c r="H1296" i="3"/>
  <c r="G1296" i="3"/>
  <c r="F1296" i="3"/>
  <c r="E1296" i="3"/>
  <c r="D1296" i="3"/>
  <c r="C1296" i="3"/>
  <c r="B1296" i="3"/>
  <c r="A1296" i="3"/>
  <c r="O1295" i="3"/>
  <c r="M1295" i="3"/>
  <c r="K1295" i="3"/>
  <c r="J1295" i="3"/>
  <c r="I1295" i="3"/>
  <c r="H1295" i="3"/>
  <c r="G1295" i="3"/>
  <c r="F1295" i="3"/>
  <c r="E1295" i="3"/>
  <c r="D1295" i="3"/>
  <c r="C1295" i="3"/>
  <c r="B1295" i="3"/>
  <c r="A1295" i="3"/>
  <c r="K1294" i="3"/>
  <c r="J1294" i="3"/>
  <c r="I1294" i="3"/>
  <c r="H1294" i="3"/>
  <c r="G1294" i="3"/>
  <c r="F1294" i="3"/>
  <c r="E1294" i="3"/>
  <c r="D1294" i="3"/>
  <c r="C1294" i="3"/>
  <c r="B1294" i="3"/>
  <c r="A1294" i="3"/>
  <c r="K1293" i="3"/>
  <c r="J1293" i="3"/>
  <c r="I1293" i="3"/>
  <c r="H1293" i="3"/>
  <c r="G1293" i="3"/>
  <c r="F1293" i="3"/>
  <c r="E1293" i="3"/>
  <c r="D1293" i="3"/>
  <c r="C1293" i="3"/>
  <c r="B1293" i="3"/>
  <c r="A1293" i="3"/>
  <c r="O1292" i="3"/>
  <c r="M1292" i="3"/>
  <c r="K1292" i="3"/>
  <c r="J1292" i="3"/>
  <c r="I1292" i="3"/>
  <c r="H1292" i="3"/>
  <c r="G1292" i="3"/>
  <c r="F1292" i="3"/>
  <c r="E1292" i="3"/>
  <c r="D1292" i="3"/>
  <c r="C1292" i="3"/>
  <c r="B1292" i="3"/>
  <c r="A1292" i="3"/>
  <c r="O1291" i="3"/>
  <c r="M1291" i="3"/>
  <c r="K1291" i="3"/>
  <c r="J1291" i="3"/>
  <c r="I1291" i="3"/>
  <c r="H1291" i="3"/>
  <c r="G1291" i="3"/>
  <c r="F1291" i="3"/>
  <c r="E1291" i="3"/>
  <c r="D1291" i="3"/>
  <c r="C1291" i="3"/>
  <c r="B1291" i="3"/>
  <c r="A1291" i="3"/>
  <c r="O1290" i="3"/>
  <c r="M1290" i="3"/>
  <c r="K1290" i="3"/>
  <c r="J1290" i="3"/>
  <c r="I1290" i="3"/>
  <c r="H1290" i="3"/>
  <c r="G1290" i="3"/>
  <c r="F1290" i="3"/>
  <c r="E1290" i="3"/>
  <c r="D1290" i="3"/>
  <c r="C1290" i="3"/>
  <c r="B1290" i="3"/>
  <c r="A1290" i="3"/>
  <c r="K1289" i="3"/>
  <c r="J1289" i="3"/>
  <c r="I1289" i="3"/>
  <c r="H1289" i="3"/>
  <c r="G1289" i="3"/>
  <c r="F1289" i="3"/>
  <c r="E1289" i="3"/>
  <c r="D1289" i="3"/>
  <c r="C1289" i="3"/>
  <c r="B1289" i="3"/>
  <c r="A1289" i="3"/>
  <c r="O1288" i="3"/>
  <c r="M1288" i="3"/>
  <c r="K1288" i="3"/>
  <c r="J1288" i="3"/>
  <c r="I1288" i="3"/>
  <c r="H1288" i="3"/>
  <c r="G1288" i="3"/>
  <c r="F1288" i="3"/>
  <c r="E1288" i="3"/>
  <c r="D1288" i="3"/>
  <c r="C1288" i="3"/>
  <c r="B1288" i="3"/>
  <c r="A1288" i="3"/>
  <c r="M1287" i="3"/>
  <c r="K1287" i="3"/>
  <c r="J1287" i="3"/>
  <c r="I1287" i="3"/>
  <c r="H1287" i="3"/>
  <c r="G1287" i="3"/>
  <c r="F1287" i="3"/>
  <c r="E1287" i="3"/>
  <c r="D1287" i="3"/>
  <c r="C1287" i="3"/>
  <c r="B1287" i="3"/>
  <c r="A1287" i="3"/>
  <c r="J1286" i="3"/>
  <c r="I1286" i="3"/>
  <c r="H1286" i="3"/>
  <c r="G1286" i="3"/>
  <c r="F1286" i="3"/>
  <c r="E1286" i="3"/>
  <c r="D1286" i="3"/>
  <c r="C1286" i="3"/>
  <c r="B1286" i="3"/>
  <c r="A1286" i="3"/>
  <c r="M1285" i="3"/>
  <c r="K1285" i="3"/>
  <c r="J1285" i="3"/>
  <c r="I1285" i="3"/>
  <c r="H1285" i="3"/>
  <c r="G1285" i="3"/>
  <c r="F1285" i="3"/>
  <c r="E1285" i="3"/>
  <c r="D1285" i="3"/>
  <c r="C1285" i="3"/>
  <c r="B1285" i="3"/>
  <c r="A1285" i="3"/>
  <c r="O1284" i="3"/>
  <c r="M1284" i="3"/>
  <c r="K1284" i="3"/>
  <c r="J1284" i="3"/>
  <c r="I1284" i="3"/>
  <c r="H1284" i="3"/>
  <c r="G1284" i="3"/>
  <c r="F1284" i="3"/>
  <c r="E1284" i="3"/>
  <c r="D1284" i="3"/>
  <c r="C1284" i="3"/>
  <c r="B1284" i="3"/>
  <c r="A1284" i="3"/>
  <c r="J1283" i="3"/>
  <c r="I1283" i="3"/>
  <c r="H1283" i="3"/>
  <c r="G1283" i="3"/>
  <c r="F1283" i="3"/>
  <c r="E1283" i="3"/>
  <c r="D1283" i="3"/>
  <c r="C1283" i="3"/>
  <c r="B1283" i="3"/>
  <c r="A1283" i="3"/>
  <c r="J1282" i="3"/>
  <c r="I1282" i="3"/>
  <c r="H1282" i="3"/>
  <c r="G1282" i="3"/>
  <c r="F1282" i="3"/>
  <c r="E1282" i="3"/>
  <c r="D1282" i="3"/>
  <c r="C1282" i="3"/>
  <c r="B1282" i="3"/>
  <c r="A1282" i="3"/>
  <c r="O1281" i="3"/>
  <c r="M1281" i="3"/>
  <c r="K1281" i="3"/>
  <c r="J1281" i="3"/>
  <c r="I1281" i="3"/>
  <c r="H1281" i="3"/>
  <c r="G1281" i="3"/>
  <c r="F1281" i="3"/>
  <c r="E1281" i="3"/>
  <c r="D1281" i="3"/>
  <c r="C1281" i="3"/>
  <c r="B1281" i="3"/>
  <c r="A1281" i="3"/>
  <c r="M1280" i="3"/>
  <c r="K1280" i="3"/>
  <c r="J1280" i="3"/>
  <c r="I1280" i="3"/>
  <c r="H1280" i="3"/>
  <c r="G1280" i="3"/>
  <c r="F1280" i="3"/>
  <c r="E1280" i="3"/>
  <c r="D1280" i="3"/>
  <c r="C1280" i="3"/>
  <c r="B1280" i="3"/>
  <c r="A1280" i="3"/>
  <c r="O1279" i="3"/>
  <c r="M1279" i="3"/>
  <c r="K1279" i="3"/>
  <c r="J1279" i="3"/>
  <c r="I1279" i="3"/>
  <c r="H1279" i="3"/>
  <c r="G1279" i="3"/>
  <c r="F1279" i="3"/>
  <c r="E1279" i="3"/>
  <c r="D1279" i="3"/>
  <c r="C1279" i="3"/>
  <c r="B1279" i="3"/>
  <c r="A1279" i="3"/>
  <c r="O1278" i="3"/>
  <c r="M1278" i="3"/>
  <c r="K1278" i="3"/>
  <c r="J1278" i="3"/>
  <c r="I1278" i="3"/>
  <c r="H1278" i="3"/>
  <c r="G1278" i="3"/>
  <c r="F1278" i="3"/>
  <c r="E1278" i="3"/>
  <c r="D1278" i="3"/>
  <c r="C1278" i="3"/>
  <c r="B1278" i="3"/>
  <c r="A1278" i="3"/>
  <c r="J1277" i="3"/>
  <c r="I1277" i="3"/>
  <c r="H1277" i="3"/>
  <c r="G1277" i="3"/>
  <c r="F1277" i="3"/>
  <c r="E1277" i="3"/>
  <c r="D1277" i="3"/>
  <c r="C1277" i="3"/>
  <c r="B1277" i="3"/>
  <c r="A1277" i="3"/>
  <c r="J1276" i="3"/>
  <c r="I1276" i="3"/>
  <c r="H1276" i="3"/>
  <c r="G1276" i="3"/>
  <c r="F1276" i="3"/>
  <c r="E1276" i="3"/>
  <c r="D1276" i="3"/>
  <c r="C1276" i="3"/>
  <c r="B1276" i="3"/>
  <c r="A1276" i="3"/>
  <c r="O1275" i="3"/>
  <c r="M1275" i="3"/>
  <c r="K1275" i="3"/>
  <c r="J1275" i="3"/>
  <c r="I1275" i="3"/>
  <c r="H1275" i="3"/>
  <c r="G1275" i="3"/>
  <c r="F1275" i="3"/>
  <c r="E1275" i="3"/>
  <c r="D1275" i="3"/>
  <c r="C1275" i="3"/>
  <c r="B1275" i="3"/>
  <c r="A1275" i="3"/>
  <c r="M1274" i="3"/>
  <c r="K1274" i="3"/>
  <c r="J1274" i="3"/>
  <c r="I1274" i="3"/>
  <c r="H1274" i="3"/>
  <c r="G1274" i="3"/>
  <c r="F1274" i="3"/>
  <c r="E1274" i="3"/>
  <c r="D1274" i="3"/>
  <c r="C1274" i="3"/>
  <c r="B1274" i="3"/>
  <c r="A1274" i="3"/>
  <c r="O1273" i="3"/>
  <c r="M1273" i="3"/>
  <c r="K1273" i="3"/>
  <c r="J1273" i="3"/>
  <c r="I1273" i="3"/>
  <c r="H1273" i="3"/>
  <c r="G1273" i="3"/>
  <c r="F1273" i="3"/>
  <c r="E1273" i="3"/>
  <c r="D1273" i="3"/>
  <c r="C1273" i="3"/>
  <c r="B1273" i="3"/>
  <c r="A1273" i="3"/>
  <c r="M1272" i="3"/>
  <c r="K1272" i="3"/>
  <c r="J1272" i="3"/>
  <c r="I1272" i="3"/>
  <c r="H1272" i="3"/>
  <c r="G1272" i="3"/>
  <c r="F1272" i="3"/>
  <c r="E1272" i="3"/>
  <c r="D1272" i="3"/>
  <c r="C1272" i="3"/>
  <c r="B1272" i="3"/>
  <c r="A1272" i="3"/>
  <c r="O1271" i="3"/>
  <c r="M1271" i="3"/>
  <c r="K1271" i="3"/>
  <c r="J1271" i="3"/>
  <c r="I1271" i="3"/>
  <c r="H1271" i="3"/>
  <c r="G1271" i="3"/>
  <c r="F1271" i="3"/>
  <c r="E1271" i="3"/>
  <c r="D1271" i="3"/>
  <c r="C1271" i="3"/>
  <c r="B1271" i="3"/>
  <c r="A1271" i="3"/>
  <c r="J1270" i="3"/>
  <c r="I1270" i="3"/>
  <c r="H1270" i="3"/>
  <c r="G1270" i="3"/>
  <c r="F1270" i="3"/>
  <c r="E1270" i="3"/>
  <c r="D1270" i="3"/>
  <c r="C1270" i="3"/>
  <c r="B1270" i="3"/>
  <c r="A1270" i="3"/>
  <c r="S1269" i="3"/>
  <c r="J1269" i="3"/>
  <c r="I1269" i="3"/>
  <c r="H1269" i="3"/>
  <c r="G1269" i="3"/>
  <c r="F1269" i="3"/>
  <c r="E1269" i="3"/>
  <c r="D1269" i="3"/>
  <c r="C1269" i="3"/>
  <c r="B1269" i="3"/>
  <c r="A1269" i="3"/>
  <c r="S1268" i="3"/>
  <c r="O1268" i="3"/>
  <c r="M1268" i="3"/>
  <c r="K1268" i="3"/>
  <c r="J1268" i="3"/>
  <c r="I1268" i="3"/>
  <c r="H1268" i="3"/>
  <c r="G1268" i="3"/>
  <c r="F1268" i="3"/>
  <c r="E1268" i="3"/>
  <c r="D1268" i="3"/>
  <c r="C1268" i="3"/>
  <c r="B1268" i="3"/>
  <c r="A1268" i="3"/>
  <c r="S1267" i="3"/>
  <c r="O1267" i="3"/>
  <c r="M1267" i="3"/>
  <c r="K1267" i="3"/>
  <c r="J1267" i="3"/>
  <c r="I1267" i="3"/>
  <c r="H1267" i="3"/>
  <c r="G1267" i="3"/>
  <c r="F1267" i="3"/>
  <c r="E1267" i="3"/>
  <c r="D1267" i="3"/>
  <c r="C1267" i="3"/>
  <c r="B1267" i="3"/>
  <c r="A1267" i="3"/>
  <c r="S1266" i="3"/>
  <c r="O1266" i="3"/>
  <c r="M1266" i="3"/>
  <c r="K1266" i="3"/>
  <c r="J1266" i="3"/>
  <c r="I1266" i="3"/>
  <c r="H1266" i="3"/>
  <c r="G1266" i="3"/>
  <c r="F1266" i="3"/>
  <c r="E1266" i="3"/>
  <c r="D1266" i="3"/>
  <c r="C1266" i="3"/>
  <c r="B1266" i="3"/>
  <c r="A1266" i="3"/>
  <c r="S1265" i="3"/>
  <c r="J1265" i="3"/>
  <c r="I1265" i="3"/>
  <c r="H1265" i="3"/>
  <c r="G1265" i="3"/>
  <c r="F1265" i="3"/>
  <c r="E1265" i="3"/>
  <c r="D1265" i="3"/>
  <c r="C1265" i="3"/>
  <c r="B1265" i="3"/>
  <c r="A1265" i="3"/>
  <c r="S1264" i="3"/>
  <c r="J1264" i="3"/>
  <c r="I1264" i="3"/>
  <c r="H1264" i="3"/>
  <c r="G1264" i="3"/>
  <c r="F1264" i="3"/>
  <c r="E1264" i="3"/>
  <c r="D1264" i="3"/>
  <c r="C1264" i="3"/>
  <c r="B1264" i="3"/>
  <c r="A1264" i="3"/>
  <c r="S1263" i="3"/>
  <c r="O1263" i="3"/>
  <c r="M1263" i="3"/>
  <c r="K1263" i="3"/>
  <c r="J1263" i="3"/>
  <c r="I1263" i="3"/>
  <c r="H1263" i="3"/>
  <c r="G1263" i="3"/>
  <c r="F1263" i="3"/>
  <c r="E1263" i="3"/>
  <c r="D1263" i="3"/>
  <c r="C1263" i="3"/>
  <c r="B1263" i="3"/>
  <c r="A1263" i="3"/>
  <c r="S1262" i="3"/>
  <c r="O1262" i="3"/>
  <c r="M1262" i="3"/>
  <c r="K1262" i="3"/>
  <c r="J1262" i="3"/>
  <c r="I1262" i="3"/>
  <c r="H1262" i="3"/>
  <c r="G1262" i="3"/>
  <c r="F1262" i="3"/>
  <c r="E1262" i="3"/>
  <c r="D1262" i="3"/>
  <c r="C1262" i="3"/>
  <c r="B1262" i="3"/>
  <c r="A1262" i="3"/>
  <c r="S1261" i="3"/>
  <c r="O1261" i="3"/>
  <c r="K1261" i="3"/>
  <c r="J1261" i="3"/>
  <c r="I1261" i="3"/>
  <c r="H1261" i="3"/>
  <c r="G1261" i="3"/>
  <c r="F1261" i="3"/>
  <c r="E1261" i="3"/>
  <c r="D1261" i="3"/>
  <c r="C1261" i="3"/>
  <c r="B1261" i="3"/>
  <c r="A1261" i="3"/>
  <c r="S1260" i="3"/>
  <c r="J1260" i="3"/>
  <c r="I1260" i="3"/>
  <c r="H1260" i="3"/>
  <c r="G1260" i="3"/>
  <c r="F1260" i="3"/>
  <c r="E1260" i="3"/>
  <c r="D1260" i="3"/>
  <c r="C1260" i="3"/>
  <c r="B1260" i="3"/>
  <c r="A1260" i="3"/>
  <c r="S1259" i="3"/>
  <c r="K1259" i="3"/>
  <c r="J1259" i="3"/>
  <c r="I1259" i="3"/>
  <c r="H1259" i="3"/>
  <c r="G1259" i="3"/>
  <c r="F1259" i="3"/>
  <c r="E1259" i="3"/>
  <c r="D1259" i="3"/>
  <c r="C1259" i="3"/>
  <c r="B1259" i="3"/>
  <c r="A1259" i="3"/>
  <c r="S1258" i="3"/>
  <c r="J1258" i="3"/>
  <c r="I1258" i="3"/>
  <c r="H1258" i="3"/>
  <c r="G1258" i="3"/>
  <c r="F1258" i="3"/>
  <c r="E1258" i="3"/>
  <c r="D1258" i="3"/>
  <c r="C1258" i="3"/>
  <c r="B1258" i="3"/>
  <c r="A1258" i="3"/>
  <c r="S1257" i="3"/>
  <c r="J1257" i="3"/>
  <c r="I1257" i="3"/>
  <c r="H1257" i="3"/>
  <c r="G1257" i="3"/>
  <c r="F1257" i="3"/>
  <c r="E1257" i="3"/>
  <c r="D1257" i="3"/>
  <c r="C1257" i="3"/>
  <c r="B1257" i="3"/>
  <c r="A1257" i="3"/>
  <c r="S1256" i="3"/>
  <c r="O1256" i="3"/>
  <c r="M1256" i="3"/>
  <c r="K1256" i="3"/>
  <c r="J1256" i="3"/>
  <c r="I1256" i="3"/>
  <c r="H1256" i="3"/>
  <c r="G1256" i="3"/>
  <c r="F1256" i="3"/>
  <c r="E1256" i="3"/>
  <c r="D1256" i="3"/>
  <c r="C1256" i="3"/>
  <c r="B1256" i="3"/>
  <c r="A1256" i="3"/>
  <c r="S1255" i="3"/>
  <c r="J1255" i="3"/>
  <c r="I1255" i="3"/>
  <c r="H1255" i="3"/>
  <c r="G1255" i="3"/>
  <c r="F1255" i="3"/>
  <c r="E1255" i="3"/>
  <c r="D1255" i="3"/>
  <c r="C1255" i="3"/>
  <c r="B1255" i="3"/>
  <c r="A1255" i="3"/>
  <c r="S1254" i="3"/>
  <c r="O1254" i="3"/>
  <c r="M1254" i="3"/>
  <c r="K1254" i="3"/>
  <c r="J1254" i="3"/>
  <c r="I1254" i="3"/>
  <c r="H1254" i="3"/>
  <c r="G1254" i="3"/>
  <c r="F1254" i="3"/>
  <c r="E1254" i="3"/>
  <c r="D1254" i="3"/>
  <c r="C1254" i="3"/>
  <c r="B1254" i="3"/>
  <c r="A1254" i="3"/>
  <c r="S1253" i="3"/>
  <c r="M1253" i="3"/>
  <c r="K1253" i="3"/>
  <c r="J1253" i="3"/>
  <c r="I1253" i="3"/>
  <c r="H1253" i="3"/>
  <c r="G1253" i="3"/>
  <c r="F1253" i="3"/>
  <c r="E1253" i="3"/>
  <c r="D1253" i="3"/>
  <c r="C1253" i="3"/>
  <c r="B1253" i="3"/>
  <c r="A1253" i="3"/>
  <c r="S1252" i="3"/>
  <c r="O1252" i="3"/>
  <c r="M1252" i="3"/>
  <c r="K1252" i="3"/>
  <c r="J1252" i="3"/>
  <c r="I1252" i="3"/>
  <c r="H1252" i="3"/>
  <c r="G1252" i="3"/>
  <c r="F1252" i="3"/>
  <c r="E1252" i="3"/>
  <c r="D1252" i="3"/>
  <c r="C1252" i="3"/>
  <c r="B1252" i="3"/>
  <c r="A1252" i="3"/>
  <c r="S1251" i="3"/>
  <c r="J1251" i="3"/>
  <c r="I1251" i="3"/>
  <c r="H1251" i="3"/>
  <c r="G1251" i="3"/>
  <c r="F1251" i="3"/>
  <c r="E1251" i="3"/>
  <c r="D1251" i="3"/>
  <c r="C1251" i="3"/>
  <c r="B1251" i="3"/>
  <c r="A1251" i="3"/>
  <c r="S1250" i="3"/>
  <c r="M1250" i="3"/>
  <c r="K1250" i="3"/>
  <c r="J1250" i="3"/>
  <c r="I1250" i="3"/>
  <c r="H1250" i="3"/>
  <c r="G1250" i="3"/>
  <c r="F1250" i="3"/>
  <c r="E1250" i="3"/>
  <c r="D1250" i="3"/>
  <c r="C1250" i="3"/>
  <c r="B1250" i="3"/>
  <c r="A1250" i="3"/>
  <c r="S1249" i="3"/>
  <c r="O1249" i="3"/>
  <c r="M1249" i="3"/>
  <c r="K1249" i="3"/>
  <c r="J1249" i="3"/>
  <c r="I1249" i="3"/>
  <c r="H1249" i="3"/>
  <c r="G1249" i="3"/>
  <c r="F1249" i="3"/>
  <c r="E1249" i="3"/>
  <c r="D1249" i="3"/>
  <c r="C1249" i="3"/>
  <c r="B1249" i="3"/>
  <c r="A1249" i="3"/>
  <c r="S1248" i="3"/>
  <c r="O1248" i="3"/>
  <c r="M1248" i="3"/>
  <c r="K1248" i="3"/>
  <c r="J1248" i="3"/>
  <c r="I1248" i="3"/>
  <c r="H1248" i="3"/>
  <c r="G1248" i="3"/>
  <c r="F1248" i="3"/>
  <c r="E1248" i="3"/>
  <c r="D1248" i="3"/>
  <c r="C1248" i="3"/>
  <c r="B1248" i="3"/>
  <c r="A1248" i="3"/>
  <c r="S1247" i="3"/>
  <c r="K1247" i="3"/>
  <c r="J1247" i="3"/>
  <c r="I1247" i="3"/>
  <c r="H1247" i="3"/>
  <c r="G1247" i="3"/>
  <c r="F1247" i="3"/>
  <c r="E1247" i="3"/>
  <c r="D1247" i="3"/>
  <c r="C1247" i="3"/>
  <c r="B1247" i="3"/>
  <c r="A1247" i="3"/>
  <c r="S1246" i="3"/>
  <c r="O1246" i="3"/>
  <c r="M1246" i="3"/>
  <c r="K1246" i="3"/>
  <c r="J1246" i="3"/>
  <c r="I1246" i="3"/>
  <c r="H1246" i="3"/>
  <c r="G1246" i="3"/>
  <c r="F1246" i="3"/>
  <c r="E1246" i="3"/>
  <c r="D1246" i="3"/>
  <c r="C1246" i="3"/>
  <c r="B1246" i="3"/>
  <c r="A1246" i="3"/>
  <c r="S1245" i="3"/>
  <c r="J1245" i="3"/>
  <c r="I1245" i="3"/>
  <c r="H1245" i="3"/>
  <c r="G1245" i="3"/>
  <c r="F1245" i="3"/>
  <c r="E1245" i="3"/>
  <c r="D1245" i="3"/>
  <c r="C1245" i="3"/>
  <c r="B1245" i="3"/>
  <c r="A1245" i="3"/>
  <c r="S1244" i="3"/>
  <c r="J1244" i="3"/>
  <c r="I1244" i="3"/>
  <c r="H1244" i="3"/>
  <c r="G1244" i="3"/>
  <c r="F1244" i="3"/>
  <c r="E1244" i="3"/>
  <c r="D1244" i="3"/>
  <c r="C1244" i="3"/>
  <c r="B1244" i="3"/>
  <c r="A1244" i="3"/>
  <c r="S1243" i="3"/>
  <c r="J1243" i="3"/>
  <c r="I1243" i="3"/>
  <c r="H1243" i="3"/>
  <c r="G1243" i="3"/>
  <c r="F1243" i="3"/>
  <c r="E1243" i="3"/>
  <c r="D1243" i="3"/>
  <c r="C1243" i="3"/>
  <c r="B1243" i="3"/>
  <c r="A1243" i="3"/>
  <c r="S1242" i="3"/>
  <c r="J1242" i="3"/>
  <c r="I1242" i="3"/>
  <c r="H1242" i="3"/>
  <c r="G1242" i="3"/>
  <c r="F1242" i="3"/>
  <c r="E1242" i="3"/>
  <c r="D1242" i="3"/>
  <c r="C1242" i="3"/>
  <c r="B1242" i="3"/>
  <c r="A1242" i="3"/>
  <c r="S1241" i="3"/>
  <c r="J1241" i="3"/>
  <c r="I1241" i="3"/>
  <c r="H1241" i="3"/>
  <c r="G1241" i="3"/>
  <c r="F1241" i="3"/>
  <c r="E1241" i="3"/>
  <c r="D1241" i="3"/>
  <c r="C1241" i="3"/>
  <c r="B1241" i="3"/>
  <c r="A1241" i="3"/>
  <c r="S1240" i="3"/>
  <c r="J1240" i="3"/>
  <c r="I1240" i="3"/>
  <c r="H1240" i="3"/>
  <c r="G1240" i="3"/>
  <c r="F1240" i="3"/>
  <c r="E1240" i="3"/>
  <c r="D1240" i="3"/>
  <c r="C1240" i="3"/>
  <c r="B1240" i="3"/>
  <c r="A1240" i="3"/>
  <c r="S1239" i="3"/>
  <c r="J1239" i="3"/>
  <c r="I1239" i="3"/>
  <c r="H1239" i="3"/>
  <c r="G1239" i="3"/>
  <c r="F1239" i="3"/>
  <c r="E1239" i="3"/>
  <c r="D1239" i="3"/>
  <c r="C1239" i="3"/>
  <c r="B1239" i="3"/>
  <c r="A1239" i="3"/>
  <c r="S1238" i="3"/>
  <c r="J1238" i="3"/>
  <c r="I1238" i="3"/>
  <c r="H1238" i="3"/>
  <c r="G1238" i="3"/>
  <c r="F1238" i="3"/>
  <c r="E1238" i="3"/>
  <c r="D1238" i="3"/>
  <c r="C1238" i="3"/>
  <c r="B1238" i="3"/>
  <c r="A1238" i="3"/>
  <c r="S1237" i="3"/>
  <c r="J1237" i="3"/>
  <c r="I1237" i="3"/>
  <c r="H1237" i="3"/>
  <c r="G1237" i="3"/>
  <c r="F1237" i="3"/>
  <c r="E1237" i="3"/>
  <c r="D1237" i="3"/>
  <c r="C1237" i="3"/>
  <c r="B1237" i="3"/>
  <c r="A1237" i="3"/>
  <c r="S1236" i="3"/>
  <c r="J1236" i="3"/>
  <c r="I1236" i="3"/>
  <c r="H1236" i="3"/>
  <c r="G1236" i="3"/>
  <c r="F1236" i="3"/>
  <c r="E1236" i="3"/>
  <c r="D1236" i="3"/>
  <c r="C1236" i="3"/>
  <c r="B1236" i="3"/>
  <c r="A1236" i="3"/>
  <c r="S1235" i="3"/>
  <c r="O1235" i="3"/>
  <c r="K1235" i="3"/>
  <c r="J1235" i="3"/>
  <c r="I1235" i="3"/>
  <c r="H1235" i="3"/>
  <c r="G1235" i="3"/>
  <c r="F1235" i="3"/>
  <c r="E1235" i="3"/>
  <c r="D1235" i="3"/>
  <c r="C1235" i="3"/>
  <c r="B1235" i="3"/>
  <c r="A1235" i="3"/>
  <c r="S1234" i="3"/>
  <c r="M1234" i="3"/>
  <c r="K1234" i="3"/>
  <c r="J1234" i="3"/>
  <c r="I1234" i="3"/>
  <c r="H1234" i="3"/>
  <c r="G1234" i="3"/>
  <c r="F1234" i="3"/>
  <c r="E1234" i="3"/>
  <c r="D1234" i="3"/>
  <c r="C1234" i="3"/>
  <c r="B1234" i="3"/>
  <c r="A1234" i="3"/>
  <c r="S1233" i="3"/>
  <c r="K1233" i="3"/>
  <c r="J1233" i="3"/>
  <c r="I1233" i="3"/>
  <c r="H1233" i="3"/>
  <c r="G1233" i="3"/>
  <c r="F1233" i="3"/>
  <c r="E1233" i="3"/>
  <c r="D1233" i="3"/>
  <c r="C1233" i="3"/>
  <c r="B1233" i="3"/>
  <c r="A1233" i="3"/>
  <c r="S1232" i="3"/>
  <c r="J1232" i="3"/>
  <c r="I1232" i="3"/>
  <c r="H1232" i="3"/>
  <c r="G1232" i="3"/>
  <c r="F1232" i="3"/>
  <c r="E1232" i="3"/>
  <c r="D1232" i="3"/>
  <c r="C1232" i="3"/>
  <c r="B1232" i="3"/>
  <c r="A1232" i="3"/>
  <c r="S1231" i="3"/>
  <c r="O1231" i="3"/>
  <c r="K1231" i="3"/>
  <c r="J1231" i="3"/>
  <c r="I1231" i="3"/>
  <c r="H1231" i="3"/>
  <c r="G1231" i="3"/>
  <c r="F1231" i="3"/>
  <c r="E1231" i="3"/>
  <c r="D1231" i="3"/>
  <c r="C1231" i="3"/>
  <c r="B1231" i="3"/>
  <c r="A1231" i="3"/>
  <c r="S1230" i="3"/>
  <c r="K1230" i="3"/>
  <c r="J1230" i="3"/>
  <c r="I1230" i="3"/>
  <c r="H1230" i="3"/>
  <c r="G1230" i="3"/>
  <c r="F1230" i="3"/>
  <c r="E1230" i="3"/>
  <c r="D1230" i="3"/>
  <c r="C1230" i="3"/>
  <c r="B1230" i="3"/>
  <c r="A1230" i="3"/>
  <c r="S1229" i="3"/>
  <c r="J1229" i="3"/>
  <c r="I1229" i="3"/>
  <c r="H1229" i="3"/>
  <c r="G1229" i="3"/>
  <c r="F1229" i="3"/>
  <c r="E1229" i="3"/>
  <c r="D1229" i="3"/>
  <c r="C1229" i="3"/>
  <c r="B1229" i="3"/>
  <c r="A1229" i="3"/>
  <c r="S1228" i="3"/>
  <c r="O1228" i="3"/>
  <c r="M1228" i="3"/>
  <c r="K1228" i="3"/>
  <c r="J1228" i="3"/>
  <c r="I1228" i="3"/>
  <c r="H1228" i="3"/>
  <c r="G1228" i="3"/>
  <c r="F1228" i="3"/>
  <c r="E1228" i="3"/>
  <c r="D1228" i="3"/>
  <c r="C1228" i="3"/>
  <c r="B1228" i="3"/>
  <c r="A1228" i="3"/>
  <c r="S1227" i="3"/>
  <c r="M1227" i="3"/>
  <c r="K1227" i="3"/>
  <c r="J1227" i="3"/>
  <c r="I1227" i="3"/>
  <c r="H1227" i="3"/>
  <c r="G1227" i="3"/>
  <c r="F1227" i="3"/>
  <c r="E1227" i="3"/>
  <c r="D1227" i="3"/>
  <c r="C1227" i="3"/>
  <c r="B1227" i="3"/>
  <c r="A1227" i="3"/>
  <c r="S1226" i="3"/>
  <c r="J1226" i="3"/>
  <c r="I1226" i="3"/>
  <c r="H1226" i="3"/>
  <c r="G1226" i="3"/>
  <c r="F1226" i="3"/>
  <c r="E1226" i="3"/>
  <c r="D1226" i="3"/>
  <c r="C1226" i="3"/>
  <c r="B1226" i="3"/>
  <c r="A1226" i="3"/>
  <c r="S1225" i="3"/>
  <c r="O1225" i="3"/>
  <c r="K1225" i="3"/>
  <c r="J1225" i="3"/>
  <c r="I1225" i="3"/>
  <c r="H1225" i="3"/>
  <c r="G1225" i="3"/>
  <c r="F1225" i="3"/>
  <c r="E1225" i="3"/>
  <c r="D1225" i="3"/>
  <c r="C1225" i="3"/>
  <c r="B1225" i="3"/>
  <c r="A1225" i="3"/>
  <c r="S1224" i="3"/>
  <c r="O1224" i="3"/>
  <c r="M1224" i="3"/>
  <c r="K1224" i="3"/>
  <c r="J1224" i="3"/>
  <c r="I1224" i="3"/>
  <c r="H1224" i="3"/>
  <c r="G1224" i="3"/>
  <c r="F1224" i="3"/>
  <c r="E1224" i="3"/>
  <c r="D1224" i="3"/>
  <c r="C1224" i="3"/>
  <c r="B1224" i="3"/>
  <c r="A1224" i="3"/>
  <c r="S1223" i="3"/>
  <c r="J1223" i="3"/>
  <c r="I1223" i="3"/>
  <c r="H1223" i="3"/>
  <c r="G1223" i="3"/>
  <c r="F1223" i="3"/>
  <c r="E1223" i="3"/>
  <c r="D1223" i="3"/>
  <c r="C1223" i="3"/>
  <c r="B1223" i="3"/>
  <c r="A1223" i="3"/>
  <c r="S1222" i="3"/>
  <c r="M1222" i="3"/>
  <c r="K1222" i="3"/>
  <c r="J1222" i="3"/>
  <c r="I1222" i="3"/>
  <c r="H1222" i="3"/>
  <c r="G1222" i="3"/>
  <c r="F1222" i="3"/>
  <c r="E1222" i="3"/>
  <c r="D1222" i="3"/>
  <c r="C1222" i="3"/>
  <c r="B1222" i="3"/>
  <c r="A1222" i="3"/>
  <c r="S1221" i="3"/>
  <c r="J1221" i="3"/>
  <c r="I1221" i="3"/>
  <c r="H1221" i="3"/>
  <c r="G1221" i="3"/>
  <c r="F1221" i="3"/>
  <c r="E1221" i="3"/>
  <c r="D1221" i="3"/>
  <c r="C1221" i="3"/>
  <c r="B1221" i="3"/>
  <c r="A1221" i="3"/>
  <c r="S1220" i="3"/>
  <c r="J1220" i="3"/>
  <c r="I1220" i="3"/>
  <c r="H1220" i="3"/>
  <c r="G1220" i="3"/>
  <c r="F1220" i="3"/>
  <c r="E1220" i="3"/>
  <c r="D1220" i="3"/>
  <c r="C1220" i="3"/>
  <c r="B1220" i="3"/>
  <c r="A1220" i="3"/>
  <c r="S1219" i="3"/>
  <c r="J1219" i="3"/>
  <c r="I1219" i="3"/>
  <c r="H1219" i="3"/>
  <c r="G1219" i="3"/>
  <c r="F1219" i="3"/>
  <c r="E1219" i="3"/>
  <c r="D1219" i="3"/>
  <c r="C1219" i="3"/>
  <c r="B1219" i="3"/>
  <c r="A1219" i="3"/>
  <c r="S1218" i="3"/>
  <c r="M1218" i="3"/>
  <c r="K1218" i="3"/>
  <c r="J1218" i="3"/>
  <c r="I1218" i="3"/>
  <c r="H1218" i="3"/>
  <c r="G1218" i="3"/>
  <c r="F1218" i="3"/>
  <c r="E1218" i="3"/>
  <c r="D1218" i="3"/>
  <c r="C1218" i="3"/>
  <c r="B1218" i="3"/>
  <c r="A1218" i="3"/>
  <c r="S1217" i="3"/>
  <c r="M1217" i="3"/>
  <c r="K1217" i="3"/>
  <c r="J1217" i="3"/>
  <c r="I1217" i="3"/>
  <c r="H1217" i="3"/>
  <c r="G1217" i="3"/>
  <c r="F1217" i="3"/>
  <c r="E1217" i="3"/>
  <c r="D1217" i="3"/>
  <c r="C1217" i="3"/>
  <c r="B1217" i="3"/>
  <c r="A1217" i="3"/>
  <c r="S1216" i="3"/>
  <c r="J1216" i="3"/>
  <c r="I1216" i="3"/>
  <c r="H1216" i="3"/>
  <c r="G1216" i="3"/>
  <c r="F1216" i="3"/>
  <c r="E1216" i="3"/>
  <c r="D1216" i="3"/>
  <c r="C1216" i="3"/>
  <c r="B1216" i="3"/>
  <c r="A1216" i="3"/>
  <c r="S1215" i="3"/>
  <c r="J1215" i="3"/>
  <c r="I1215" i="3"/>
  <c r="H1215" i="3"/>
  <c r="G1215" i="3"/>
  <c r="F1215" i="3"/>
  <c r="E1215" i="3"/>
  <c r="D1215" i="3"/>
  <c r="C1215" i="3"/>
  <c r="B1215" i="3"/>
  <c r="A1215" i="3"/>
  <c r="S1214" i="3"/>
  <c r="M1214" i="3"/>
  <c r="K1214" i="3"/>
  <c r="J1214" i="3"/>
  <c r="I1214" i="3"/>
  <c r="H1214" i="3"/>
  <c r="G1214" i="3"/>
  <c r="F1214" i="3"/>
  <c r="E1214" i="3"/>
  <c r="D1214" i="3"/>
  <c r="C1214" i="3"/>
  <c r="B1214" i="3"/>
  <c r="A1214" i="3"/>
  <c r="S1213" i="3"/>
  <c r="O1213" i="3"/>
  <c r="M1213" i="3"/>
  <c r="K1213" i="3"/>
  <c r="J1213" i="3"/>
  <c r="I1213" i="3"/>
  <c r="H1213" i="3"/>
  <c r="G1213" i="3"/>
  <c r="F1213" i="3"/>
  <c r="E1213" i="3"/>
  <c r="D1213" i="3"/>
  <c r="C1213" i="3"/>
  <c r="B1213" i="3"/>
  <c r="A1213" i="3"/>
  <c r="S1212" i="3"/>
  <c r="O1212" i="3"/>
  <c r="K1212" i="3"/>
  <c r="J1212" i="3"/>
  <c r="I1212" i="3"/>
  <c r="H1212" i="3"/>
  <c r="G1212" i="3"/>
  <c r="F1212" i="3"/>
  <c r="E1212" i="3"/>
  <c r="D1212" i="3"/>
  <c r="C1212" i="3"/>
  <c r="B1212" i="3"/>
  <c r="A1212" i="3"/>
  <c r="S1211" i="3"/>
  <c r="O1211" i="3"/>
  <c r="K1211" i="3"/>
  <c r="J1211" i="3"/>
  <c r="I1211" i="3"/>
  <c r="H1211" i="3"/>
  <c r="G1211" i="3"/>
  <c r="F1211" i="3"/>
  <c r="E1211" i="3"/>
  <c r="D1211" i="3"/>
  <c r="C1211" i="3"/>
  <c r="B1211" i="3"/>
  <c r="A1211" i="3"/>
  <c r="S1210" i="3"/>
  <c r="O1210" i="3"/>
  <c r="K1210" i="3"/>
  <c r="J1210" i="3"/>
  <c r="I1210" i="3"/>
  <c r="H1210" i="3"/>
  <c r="G1210" i="3"/>
  <c r="F1210" i="3"/>
  <c r="E1210" i="3"/>
  <c r="D1210" i="3"/>
  <c r="C1210" i="3"/>
  <c r="B1210" i="3"/>
  <c r="A1210" i="3"/>
  <c r="S1209" i="3"/>
  <c r="O1209" i="3"/>
  <c r="M1209" i="3"/>
  <c r="K1209" i="3"/>
  <c r="J1209" i="3"/>
  <c r="I1209" i="3"/>
  <c r="H1209" i="3"/>
  <c r="G1209" i="3"/>
  <c r="F1209" i="3"/>
  <c r="E1209" i="3"/>
  <c r="D1209" i="3"/>
  <c r="C1209" i="3"/>
  <c r="B1209" i="3"/>
  <c r="A1209" i="3"/>
  <c r="S1208" i="3"/>
  <c r="J1208" i="3"/>
  <c r="I1208" i="3"/>
  <c r="H1208" i="3"/>
  <c r="G1208" i="3"/>
  <c r="F1208" i="3"/>
  <c r="E1208" i="3"/>
  <c r="D1208" i="3"/>
  <c r="C1208" i="3"/>
  <c r="B1208" i="3"/>
  <c r="A1208" i="3"/>
  <c r="S1207" i="3"/>
  <c r="J1207" i="3"/>
  <c r="I1207" i="3"/>
  <c r="H1207" i="3"/>
  <c r="G1207" i="3"/>
  <c r="F1207" i="3"/>
  <c r="E1207" i="3"/>
  <c r="D1207" i="3"/>
  <c r="C1207" i="3"/>
  <c r="B1207" i="3"/>
  <c r="A1207" i="3"/>
  <c r="S1206" i="3"/>
  <c r="O1206" i="3"/>
  <c r="M1206" i="3"/>
  <c r="K1206" i="3"/>
  <c r="J1206" i="3"/>
  <c r="I1206" i="3"/>
  <c r="H1206" i="3"/>
  <c r="G1206" i="3"/>
  <c r="F1206" i="3"/>
  <c r="E1206" i="3"/>
  <c r="D1206" i="3"/>
  <c r="C1206" i="3"/>
  <c r="B1206" i="3"/>
  <c r="A1206" i="3"/>
  <c r="S1205" i="3"/>
  <c r="O1205" i="3"/>
  <c r="K1205" i="3"/>
  <c r="J1205" i="3"/>
  <c r="I1205" i="3"/>
  <c r="H1205" i="3"/>
  <c r="G1205" i="3"/>
  <c r="F1205" i="3"/>
  <c r="E1205" i="3"/>
  <c r="D1205" i="3"/>
  <c r="C1205" i="3"/>
  <c r="B1205" i="3"/>
  <c r="A1205" i="3"/>
  <c r="S1204" i="3"/>
  <c r="O1204" i="3"/>
  <c r="K1204" i="3"/>
  <c r="J1204" i="3"/>
  <c r="I1204" i="3"/>
  <c r="H1204" i="3"/>
  <c r="G1204" i="3"/>
  <c r="F1204" i="3"/>
  <c r="E1204" i="3"/>
  <c r="D1204" i="3"/>
  <c r="C1204" i="3"/>
  <c r="B1204" i="3"/>
  <c r="A1204" i="3"/>
  <c r="S1203" i="3"/>
  <c r="O1203" i="3"/>
  <c r="M1203" i="3"/>
  <c r="K1203" i="3"/>
  <c r="J1203" i="3"/>
  <c r="I1203" i="3"/>
  <c r="H1203" i="3"/>
  <c r="G1203" i="3"/>
  <c r="F1203" i="3"/>
  <c r="E1203" i="3"/>
  <c r="D1203" i="3"/>
  <c r="C1203" i="3"/>
  <c r="B1203" i="3"/>
  <c r="A1203" i="3"/>
  <c r="S1202" i="3"/>
  <c r="K1202" i="3"/>
  <c r="J1202" i="3"/>
  <c r="I1202" i="3"/>
  <c r="H1202" i="3"/>
  <c r="G1202" i="3"/>
  <c r="F1202" i="3"/>
  <c r="E1202" i="3"/>
  <c r="D1202" i="3"/>
  <c r="C1202" i="3"/>
  <c r="B1202" i="3"/>
  <c r="A1202" i="3"/>
  <c r="S1201" i="3"/>
  <c r="O1201" i="3"/>
  <c r="M1201" i="3"/>
  <c r="K1201" i="3"/>
  <c r="J1201" i="3"/>
  <c r="I1201" i="3"/>
  <c r="H1201" i="3"/>
  <c r="G1201" i="3"/>
  <c r="F1201" i="3"/>
  <c r="E1201" i="3"/>
  <c r="D1201" i="3"/>
  <c r="C1201" i="3"/>
  <c r="B1201" i="3"/>
  <c r="A1201" i="3"/>
  <c r="S1200" i="3"/>
  <c r="O1200" i="3"/>
  <c r="M1200" i="3"/>
  <c r="K1200" i="3"/>
  <c r="J1200" i="3"/>
  <c r="I1200" i="3"/>
  <c r="H1200" i="3"/>
  <c r="G1200" i="3"/>
  <c r="F1200" i="3"/>
  <c r="E1200" i="3"/>
  <c r="D1200" i="3"/>
  <c r="C1200" i="3"/>
  <c r="B1200" i="3"/>
  <c r="A1200" i="3"/>
  <c r="S1199" i="3"/>
  <c r="O1199" i="3"/>
  <c r="K1199" i="3"/>
  <c r="J1199" i="3"/>
  <c r="I1199" i="3"/>
  <c r="H1199" i="3"/>
  <c r="G1199" i="3"/>
  <c r="F1199" i="3"/>
  <c r="E1199" i="3"/>
  <c r="D1199" i="3"/>
  <c r="C1199" i="3"/>
  <c r="B1199" i="3"/>
  <c r="A1199" i="3"/>
  <c r="S1198" i="3"/>
  <c r="O1198" i="3"/>
  <c r="M1198" i="3"/>
  <c r="K1198" i="3"/>
  <c r="J1198" i="3"/>
  <c r="I1198" i="3"/>
  <c r="H1198" i="3"/>
  <c r="G1198" i="3"/>
  <c r="F1198" i="3"/>
  <c r="E1198" i="3"/>
  <c r="D1198" i="3"/>
  <c r="C1198" i="3"/>
  <c r="B1198" i="3"/>
  <c r="A1198" i="3"/>
  <c r="S1197" i="3"/>
  <c r="K1197" i="3"/>
  <c r="J1197" i="3"/>
  <c r="I1197" i="3"/>
  <c r="H1197" i="3"/>
  <c r="G1197" i="3"/>
  <c r="F1197" i="3"/>
  <c r="E1197" i="3"/>
  <c r="D1197" i="3"/>
  <c r="C1197" i="3"/>
  <c r="B1197" i="3"/>
  <c r="A1197" i="3"/>
  <c r="S1196" i="3"/>
  <c r="O1196" i="3"/>
  <c r="M1196" i="3"/>
  <c r="K1196" i="3"/>
  <c r="J1196" i="3"/>
  <c r="I1196" i="3"/>
  <c r="H1196" i="3"/>
  <c r="G1196" i="3"/>
  <c r="F1196" i="3"/>
  <c r="E1196" i="3"/>
  <c r="D1196" i="3"/>
  <c r="C1196" i="3"/>
  <c r="B1196" i="3"/>
  <c r="A1196" i="3"/>
  <c r="S1195" i="3"/>
  <c r="O1195" i="3"/>
  <c r="M1195" i="3"/>
  <c r="K1195" i="3"/>
  <c r="J1195" i="3"/>
  <c r="I1195" i="3"/>
  <c r="H1195" i="3"/>
  <c r="G1195" i="3"/>
  <c r="F1195" i="3"/>
  <c r="E1195" i="3"/>
  <c r="D1195" i="3"/>
  <c r="C1195" i="3"/>
  <c r="B1195" i="3"/>
  <c r="A1195" i="3"/>
  <c r="S1194" i="3"/>
  <c r="O1194" i="3"/>
  <c r="M1194" i="3"/>
  <c r="K1194" i="3"/>
  <c r="J1194" i="3"/>
  <c r="I1194" i="3"/>
  <c r="H1194" i="3"/>
  <c r="G1194" i="3"/>
  <c r="F1194" i="3"/>
  <c r="E1194" i="3"/>
  <c r="D1194" i="3"/>
  <c r="C1194" i="3"/>
  <c r="B1194" i="3"/>
  <c r="A1194" i="3"/>
  <c r="S1193" i="3"/>
  <c r="J1193" i="3"/>
  <c r="I1193" i="3"/>
  <c r="H1193" i="3"/>
  <c r="G1193" i="3"/>
  <c r="F1193" i="3"/>
  <c r="E1193" i="3"/>
  <c r="D1193" i="3"/>
  <c r="C1193" i="3"/>
  <c r="B1193" i="3"/>
  <c r="A1193" i="3"/>
  <c r="S1192" i="3"/>
  <c r="O1192" i="3"/>
  <c r="M1192" i="3"/>
  <c r="K1192" i="3"/>
  <c r="J1192" i="3"/>
  <c r="I1192" i="3"/>
  <c r="H1192" i="3"/>
  <c r="G1192" i="3"/>
  <c r="F1192" i="3"/>
  <c r="E1192" i="3"/>
  <c r="D1192" i="3"/>
  <c r="C1192" i="3"/>
  <c r="B1192" i="3"/>
  <c r="A1192" i="3"/>
  <c r="S1191" i="3"/>
  <c r="O1191" i="3"/>
  <c r="K1191" i="3"/>
  <c r="J1191" i="3"/>
  <c r="I1191" i="3"/>
  <c r="H1191" i="3"/>
  <c r="G1191" i="3"/>
  <c r="F1191" i="3"/>
  <c r="E1191" i="3"/>
  <c r="D1191" i="3"/>
  <c r="C1191" i="3"/>
  <c r="B1191" i="3"/>
  <c r="A1191" i="3"/>
  <c r="S1190" i="3"/>
  <c r="O1190" i="3"/>
  <c r="M1190" i="3"/>
  <c r="K1190" i="3"/>
  <c r="J1190" i="3"/>
  <c r="I1190" i="3"/>
  <c r="H1190" i="3"/>
  <c r="G1190" i="3"/>
  <c r="F1190" i="3"/>
  <c r="E1190" i="3"/>
  <c r="D1190" i="3"/>
  <c r="C1190" i="3"/>
  <c r="B1190" i="3"/>
  <c r="A1190" i="3"/>
  <c r="S1189" i="3"/>
  <c r="O1189" i="3"/>
  <c r="M1189" i="3"/>
  <c r="K1189" i="3"/>
  <c r="J1189" i="3"/>
  <c r="I1189" i="3"/>
  <c r="H1189" i="3"/>
  <c r="G1189" i="3"/>
  <c r="F1189" i="3"/>
  <c r="E1189" i="3"/>
  <c r="D1189" i="3"/>
  <c r="C1189" i="3"/>
  <c r="B1189" i="3"/>
  <c r="A1189" i="3"/>
  <c r="S1188" i="3"/>
  <c r="O1188" i="3"/>
  <c r="M1188" i="3"/>
  <c r="K1188" i="3"/>
  <c r="J1188" i="3"/>
  <c r="I1188" i="3"/>
  <c r="H1188" i="3"/>
  <c r="G1188" i="3"/>
  <c r="F1188" i="3"/>
  <c r="E1188" i="3"/>
  <c r="D1188" i="3"/>
  <c r="C1188" i="3"/>
  <c r="B1188" i="3"/>
  <c r="A1188" i="3"/>
  <c r="S1187" i="3"/>
  <c r="O1187" i="3"/>
  <c r="M1187" i="3"/>
  <c r="K1187" i="3"/>
  <c r="J1187" i="3"/>
  <c r="I1187" i="3"/>
  <c r="H1187" i="3"/>
  <c r="G1187" i="3"/>
  <c r="F1187" i="3"/>
  <c r="E1187" i="3"/>
  <c r="D1187" i="3"/>
  <c r="C1187" i="3"/>
  <c r="B1187" i="3"/>
  <c r="A1187" i="3"/>
  <c r="S1186" i="3"/>
  <c r="O1186" i="3"/>
  <c r="K1186" i="3"/>
  <c r="J1186" i="3"/>
  <c r="I1186" i="3"/>
  <c r="H1186" i="3"/>
  <c r="G1186" i="3"/>
  <c r="F1186" i="3"/>
  <c r="E1186" i="3"/>
  <c r="D1186" i="3"/>
  <c r="C1186" i="3"/>
  <c r="B1186" i="3"/>
  <c r="A1186" i="3"/>
  <c r="S1185" i="3"/>
  <c r="O1185" i="3"/>
  <c r="M1185" i="3"/>
  <c r="K1185" i="3"/>
  <c r="J1185" i="3"/>
  <c r="I1185" i="3"/>
  <c r="H1185" i="3"/>
  <c r="G1185" i="3"/>
  <c r="F1185" i="3"/>
  <c r="E1185" i="3"/>
  <c r="D1185" i="3"/>
  <c r="C1185" i="3"/>
  <c r="B1185" i="3"/>
  <c r="A1185" i="3"/>
  <c r="S1184" i="3"/>
  <c r="O1184" i="3"/>
  <c r="M1184" i="3"/>
  <c r="K1184" i="3"/>
  <c r="J1184" i="3"/>
  <c r="I1184" i="3"/>
  <c r="H1184" i="3"/>
  <c r="G1184" i="3"/>
  <c r="F1184" i="3"/>
  <c r="E1184" i="3"/>
  <c r="D1184" i="3"/>
  <c r="C1184" i="3"/>
  <c r="B1184" i="3"/>
  <c r="A1184" i="3"/>
  <c r="S1183" i="3"/>
  <c r="O1183" i="3"/>
  <c r="M1183" i="3"/>
  <c r="K1183" i="3"/>
  <c r="J1183" i="3"/>
  <c r="I1183" i="3"/>
  <c r="H1183" i="3"/>
  <c r="G1183" i="3"/>
  <c r="F1183" i="3"/>
  <c r="E1183" i="3"/>
  <c r="D1183" i="3"/>
  <c r="C1183" i="3"/>
  <c r="B1183" i="3"/>
  <c r="A1183" i="3"/>
  <c r="S1182" i="3"/>
  <c r="O1182" i="3"/>
  <c r="M1182" i="3"/>
  <c r="K1182" i="3"/>
  <c r="J1182" i="3"/>
  <c r="I1182" i="3"/>
  <c r="H1182" i="3"/>
  <c r="G1182" i="3"/>
  <c r="F1182" i="3"/>
  <c r="E1182" i="3"/>
  <c r="D1182" i="3"/>
  <c r="C1182" i="3"/>
  <c r="B1182" i="3"/>
  <c r="A1182" i="3"/>
  <c r="S1181" i="3"/>
  <c r="O1181" i="3"/>
  <c r="M1181" i="3"/>
  <c r="K1181" i="3"/>
  <c r="J1181" i="3"/>
  <c r="I1181" i="3"/>
  <c r="H1181" i="3"/>
  <c r="G1181" i="3"/>
  <c r="F1181" i="3"/>
  <c r="E1181" i="3"/>
  <c r="D1181" i="3"/>
  <c r="C1181" i="3"/>
  <c r="B1181" i="3"/>
  <c r="A1181" i="3"/>
  <c r="S1180" i="3"/>
  <c r="O1180" i="3"/>
  <c r="M1180" i="3"/>
  <c r="K1180" i="3"/>
  <c r="J1180" i="3"/>
  <c r="I1180" i="3"/>
  <c r="H1180" i="3"/>
  <c r="G1180" i="3"/>
  <c r="F1180" i="3"/>
  <c r="E1180" i="3"/>
  <c r="D1180" i="3"/>
  <c r="C1180" i="3"/>
  <c r="B1180" i="3"/>
  <c r="A1180" i="3"/>
  <c r="S1179" i="3"/>
  <c r="O1179" i="3"/>
  <c r="M1179" i="3"/>
  <c r="K1179" i="3"/>
  <c r="J1179" i="3"/>
  <c r="I1179" i="3"/>
  <c r="H1179" i="3"/>
  <c r="G1179" i="3"/>
  <c r="F1179" i="3"/>
  <c r="E1179" i="3"/>
  <c r="D1179" i="3"/>
  <c r="C1179" i="3"/>
  <c r="B1179" i="3"/>
  <c r="A1179" i="3"/>
  <c r="S1178" i="3"/>
  <c r="O1178" i="3"/>
  <c r="K1178" i="3"/>
  <c r="J1178" i="3"/>
  <c r="I1178" i="3"/>
  <c r="H1178" i="3"/>
  <c r="G1178" i="3"/>
  <c r="F1178" i="3"/>
  <c r="E1178" i="3"/>
  <c r="D1178" i="3"/>
  <c r="C1178" i="3"/>
  <c r="B1178" i="3"/>
  <c r="A1178" i="3"/>
  <c r="S1177" i="3"/>
  <c r="O1177" i="3"/>
  <c r="K1177" i="3"/>
  <c r="J1177" i="3"/>
  <c r="I1177" i="3"/>
  <c r="H1177" i="3"/>
  <c r="G1177" i="3"/>
  <c r="F1177" i="3"/>
  <c r="E1177" i="3"/>
  <c r="D1177" i="3"/>
  <c r="C1177" i="3"/>
  <c r="B1177" i="3"/>
  <c r="A1177" i="3"/>
  <c r="S1176" i="3"/>
  <c r="O1176" i="3"/>
  <c r="M1176" i="3"/>
  <c r="K1176" i="3"/>
  <c r="J1176" i="3"/>
  <c r="I1176" i="3"/>
  <c r="H1176" i="3"/>
  <c r="G1176" i="3"/>
  <c r="F1176" i="3"/>
  <c r="E1176" i="3"/>
  <c r="D1176" i="3"/>
  <c r="C1176" i="3"/>
  <c r="B1176" i="3"/>
  <c r="A1176" i="3"/>
  <c r="S1175" i="3"/>
  <c r="O1175" i="3"/>
  <c r="M1175" i="3"/>
  <c r="K1175" i="3"/>
  <c r="J1175" i="3"/>
  <c r="I1175" i="3"/>
  <c r="H1175" i="3"/>
  <c r="G1175" i="3"/>
  <c r="F1175" i="3"/>
  <c r="E1175" i="3"/>
  <c r="D1175" i="3"/>
  <c r="C1175" i="3"/>
  <c r="B1175" i="3"/>
  <c r="A1175" i="3"/>
  <c r="S1174" i="3"/>
  <c r="K1174" i="3"/>
  <c r="J1174" i="3"/>
  <c r="I1174" i="3"/>
  <c r="H1174" i="3"/>
  <c r="G1174" i="3"/>
  <c r="F1174" i="3"/>
  <c r="E1174" i="3"/>
  <c r="D1174" i="3"/>
  <c r="C1174" i="3"/>
  <c r="B1174" i="3"/>
  <c r="A1174" i="3"/>
  <c r="S1173" i="3"/>
  <c r="M1173" i="3"/>
  <c r="K1173" i="3"/>
  <c r="J1173" i="3"/>
  <c r="I1173" i="3"/>
  <c r="H1173" i="3"/>
  <c r="G1173" i="3"/>
  <c r="F1173" i="3"/>
  <c r="E1173" i="3"/>
  <c r="D1173" i="3"/>
  <c r="C1173" i="3"/>
  <c r="B1173" i="3"/>
  <c r="A1173" i="3"/>
  <c r="S1172" i="3"/>
  <c r="O1172" i="3"/>
  <c r="M1172" i="3"/>
  <c r="K1172" i="3"/>
  <c r="J1172" i="3"/>
  <c r="I1172" i="3"/>
  <c r="H1172" i="3"/>
  <c r="G1172" i="3"/>
  <c r="F1172" i="3"/>
  <c r="E1172" i="3"/>
  <c r="D1172" i="3"/>
  <c r="C1172" i="3"/>
  <c r="B1172" i="3"/>
  <c r="A1172" i="3"/>
  <c r="S1171" i="3"/>
  <c r="O1171" i="3"/>
  <c r="M1171" i="3"/>
  <c r="K1171" i="3"/>
  <c r="J1171" i="3"/>
  <c r="I1171" i="3"/>
  <c r="H1171" i="3"/>
  <c r="G1171" i="3"/>
  <c r="F1171" i="3"/>
  <c r="E1171" i="3"/>
  <c r="D1171" i="3"/>
  <c r="C1171" i="3"/>
  <c r="B1171" i="3"/>
  <c r="A1171" i="3"/>
  <c r="S1170" i="3"/>
  <c r="O1170" i="3"/>
  <c r="K1170" i="3"/>
  <c r="J1170" i="3"/>
  <c r="I1170" i="3"/>
  <c r="H1170" i="3"/>
  <c r="G1170" i="3"/>
  <c r="F1170" i="3"/>
  <c r="E1170" i="3"/>
  <c r="D1170" i="3"/>
  <c r="C1170" i="3"/>
  <c r="B1170" i="3"/>
  <c r="A1170" i="3"/>
  <c r="S1169" i="3"/>
  <c r="O1169" i="3"/>
  <c r="M1169" i="3"/>
  <c r="K1169" i="3"/>
  <c r="J1169" i="3"/>
  <c r="I1169" i="3"/>
  <c r="H1169" i="3"/>
  <c r="G1169" i="3"/>
  <c r="F1169" i="3"/>
  <c r="E1169" i="3"/>
  <c r="D1169" i="3"/>
  <c r="C1169" i="3"/>
  <c r="B1169" i="3"/>
  <c r="A1169" i="3"/>
  <c r="S1168" i="3"/>
  <c r="M1168" i="3"/>
  <c r="K1168" i="3"/>
  <c r="J1168" i="3"/>
  <c r="I1168" i="3"/>
  <c r="H1168" i="3"/>
  <c r="G1168" i="3"/>
  <c r="F1168" i="3"/>
  <c r="E1168" i="3"/>
  <c r="D1168" i="3"/>
  <c r="C1168" i="3"/>
  <c r="B1168" i="3"/>
  <c r="A1168" i="3"/>
  <c r="S1167" i="3"/>
  <c r="O1167" i="3"/>
  <c r="M1167" i="3"/>
  <c r="K1167" i="3"/>
  <c r="J1167" i="3"/>
  <c r="I1167" i="3"/>
  <c r="H1167" i="3"/>
  <c r="G1167" i="3"/>
  <c r="F1167" i="3"/>
  <c r="E1167" i="3"/>
  <c r="D1167" i="3"/>
  <c r="C1167" i="3"/>
  <c r="B1167" i="3"/>
  <c r="A1167" i="3"/>
  <c r="S1166" i="3"/>
  <c r="M1166" i="3"/>
  <c r="K1166" i="3"/>
  <c r="J1166" i="3"/>
  <c r="I1166" i="3"/>
  <c r="H1166" i="3"/>
  <c r="G1166" i="3"/>
  <c r="F1166" i="3"/>
  <c r="E1166" i="3"/>
  <c r="D1166" i="3"/>
  <c r="C1166" i="3"/>
  <c r="B1166" i="3"/>
  <c r="A1166" i="3"/>
  <c r="S1165" i="3"/>
  <c r="K1165" i="3"/>
  <c r="J1165" i="3"/>
  <c r="I1165" i="3"/>
  <c r="H1165" i="3"/>
  <c r="G1165" i="3"/>
  <c r="F1165" i="3"/>
  <c r="E1165" i="3"/>
  <c r="D1165" i="3"/>
  <c r="C1165" i="3"/>
  <c r="B1165" i="3"/>
  <c r="A1165" i="3"/>
  <c r="S1164" i="3"/>
  <c r="O1164" i="3"/>
  <c r="K1164" i="3"/>
  <c r="J1164" i="3"/>
  <c r="I1164" i="3"/>
  <c r="H1164" i="3"/>
  <c r="G1164" i="3"/>
  <c r="F1164" i="3"/>
  <c r="E1164" i="3"/>
  <c r="D1164" i="3"/>
  <c r="C1164" i="3"/>
  <c r="B1164" i="3"/>
  <c r="A1164" i="3"/>
  <c r="S1163" i="3"/>
  <c r="M1163" i="3"/>
  <c r="K1163" i="3"/>
  <c r="J1163" i="3"/>
  <c r="I1163" i="3"/>
  <c r="H1163" i="3"/>
  <c r="G1163" i="3"/>
  <c r="F1163" i="3"/>
  <c r="E1163" i="3"/>
  <c r="D1163" i="3"/>
  <c r="C1163" i="3"/>
  <c r="B1163" i="3"/>
  <c r="A1163" i="3"/>
  <c r="S1162" i="3"/>
  <c r="K1162" i="3"/>
  <c r="J1162" i="3"/>
  <c r="I1162" i="3"/>
  <c r="H1162" i="3"/>
  <c r="G1162" i="3"/>
  <c r="F1162" i="3"/>
  <c r="E1162" i="3"/>
  <c r="D1162" i="3"/>
  <c r="C1162" i="3"/>
  <c r="B1162" i="3"/>
  <c r="A1162" i="3"/>
  <c r="S1161" i="3"/>
  <c r="J1161" i="3"/>
  <c r="I1161" i="3"/>
  <c r="H1161" i="3"/>
  <c r="G1161" i="3"/>
  <c r="F1161" i="3"/>
  <c r="E1161" i="3"/>
  <c r="D1161" i="3"/>
  <c r="C1161" i="3"/>
  <c r="B1161" i="3"/>
  <c r="A1161" i="3"/>
  <c r="S1160" i="3"/>
  <c r="J1160" i="3"/>
  <c r="I1160" i="3"/>
  <c r="H1160" i="3"/>
  <c r="G1160" i="3"/>
  <c r="F1160" i="3"/>
  <c r="E1160" i="3"/>
  <c r="D1160" i="3"/>
  <c r="C1160" i="3"/>
  <c r="B1160" i="3"/>
  <c r="A1160" i="3"/>
  <c r="S1159" i="3"/>
  <c r="O1159" i="3"/>
  <c r="M1159" i="3"/>
  <c r="K1159" i="3"/>
  <c r="J1159" i="3"/>
  <c r="I1159" i="3"/>
  <c r="H1159" i="3"/>
  <c r="G1159" i="3"/>
  <c r="F1159" i="3"/>
  <c r="E1159" i="3"/>
  <c r="D1159" i="3"/>
  <c r="C1159" i="3"/>
  <c r="B1159" i="3"/>
  <c r="A1159" i="3"/>
  <c r="S1158" i="3"/>
  <c r="M1158" i="3"/>
  <c r="K1158" i="3"/>
  <c r="J1158" i="3"/>
  <c r="I1158" i="3"/>
  <c r="H1158" i="3"/>
  <c r="G1158" i="3"/>
  <c r="F1158" i="3"/>
  <c r="E1158" i="3"/>
  <c r="D1158" i="3"/>
  <c r="C1158" i="3"/>
  <c r="B1158" i="3"/>
  <c r="A1158" i="3"/>
  <c r="S1157" i="3"/>
  <c r="O1157" i="3"/>
  <c r="K1157" i="3"/>
  <c r="J1157" i="3"/>
  <c r="I1157" i="3"/>
  <c r="H1157" i="3"/>
  <c r="G1157" i="3"/>
  <c r="F1157" i="3"/>
  <c r="E1157" i="3"/>
  <c r="D1157" i="3"/>
  <c r="C1157" i="3"/>
  <c r="B1157" i="3"/>
  <c r="A1157" i="3"/>
  <c r="S1156" i="3"/>
  <c r="O1156" i="3"/>
  <c r="K1156" i="3"/>
  <c r="J1156" i="3"/>
  <c r="I1156" i="3"/>
  <c r="H1156" i="3"/>
  <c r="G1156" i="3"/>
  <c r="F1156" i="3"/>
  <c r="E1156" i="3"/>
  <c r="D1156" i="3"/>
  <c r="C1156" i="3"/>
  <c r="B1156" i="3"/>
  <c r="A1156" i="3"/>
  <c r="S1155" i="3"/>
  <c r="O1155" i="3"/>
  <c r="M1155" i="3"/>
  <c r="K1155" i="3"/>
  <c r="J1155" i="3"/>
  <c r="I1155" i="3"/>
  <c r="H1155" i="3"/>
  <c r="G1155" i="3"/>
  <c r="F1155" i="3"/>
  <c r="E1155" i="3"/>
  <c r="D1155" i="3"/>
  <c r="C1155" i="3"/>
  <c r="B1155" i="3"/>
  <c r="A1155" i="3"/>
  <c r="S1154" i="3"/>
  <c r="O1154" i="3"/>
  <c r="M1154" i="3"/>
  <c r="K1154" i="3"/>
  <c r="J1154" i="3"/>
  <c r="I1154" i="3"/>
  <c r="H1154" i="3"/>
  <c r="G1154" i="3"/>
  <c r="F1154" i="3"/>
  <c r="E1154" i="3"/>
  <c r="D1154" i="3"/>
  <c r="C1154" i="3"/>
  <c r="B1154" i="3"/>
  <c r="A1154" i="3"/>
  <c r="S1153" i="3"/>
  <c r="O1153" i="3"/>
  <c r="K1153" i="3"/>
  <c r="J1153" i="3"/>
  <c r="I1153" i="3"/>
  <c r="H1153" i="3"/>
  <c r="G1153" i="3"/>
  <c r="F1153" i="3"/>
  <c r="E1153" i="3"/>
  <c r="D1153" i="3"/>
  <c r="C1153" i="3"/>
  <c r="B1153" i="3"/>
  <c r="A1153" i="3"/>
  <c r="S1152" i="3"/>
  <c r="O1152" i="3"/>
  <c r="K1152" i="3"/>
  <c r="J1152" i="3"/>
  <c r="I1152" i="3"/>
  <c r="H1152" i="3"/>
  <c r="G1152" i="3"/>
  <c r="F1152" i="3"/>
  <c r="E1152" i="3"/>
  <c r="D1152" i="3"/>
  <c r="C1152" i="3"/>
  <c r="B1152" i="3"/>
  <c r="A1152" i="3"/>
  <c r="S1151" i="3"/>
  <c r="O1151" i="3"/>
  <c r="K1151" i="3"/>
  <c r="J1151" i="3"/>
  <c r="I1151" i="3"/>
  <c r="H1151" i="3"/>
  <c r="G1151" i="3"/>
  <c r="F1151" i="3"/>
  <c r="E1151" i="3"/>
  <c r="D1151" i="3"/>
  <c r="C1151" i="3"/>
  <c r="B1151" i="3"/>
  <c r="A1151" i="3"/>
  <c r="S1150" i="3"/>
  <c r="J1150" i="3"/>
  <c r="I1150" i="3"/>
  <c r="H1150" i="3"/>
  <c r="G1150" i="3"/>
  <c r="F1150" i="3"/>
  <c r="E1150" i="3"/>
  <c r="D1150" i="3"/>
  <c r="C1150" i="3"/>
  <c r="B1150" i="3"/>
  <c r="A1150" i="3"/>
  <c r="S1149" i="3"/>
  <c r="O1149" i="3"/>
  <c r="M1149" i="3"/>
  <c r="K1149" i="3"/>
  <c r="J1149" i="3"/>
  <c r="I1149" i="3"/>
  <c r="H1149" i="3"/>
  <c r="G1149" i="3"/>
  <c r="F1149" i="3"/>
  <c r="E1149" i="3"/>
  <c r="D1149" i="3"/>
  <c r="C1149" i="3"/>
  <c r="B1149" i="3"/>
  <c r="A1149" i="3"/>
  <c r="S1148" i="3"/>
  <c r="M1148" i="3"/>
  <c r="K1148" i="3"/>
  <c r="J1148" i="3"/>
  <c r="I1148" i="3"/>
  <c r="H1148" i="3"/>
  <c r="G1148" i="3"/>
  <c r="F1148" i="3"/>
  <c r="E1148" i="3"/>
  <c r="D1148" i="3"/>
  <c r="C1148" i="3"/>
  <c r="B1148" i="3"/>
  <c r="A1148" i="3"/>
  <c r="S1147" i="3"/>
  <c r="O1147" i="3"/>
  <c r="M1147" i="3"/>
  <c r="K1147" i="3"/>
  <c r="J1147" i="3"/>
  <c r="I1147" i="3"/>
  <c r="H1147" i="3"/>
  <c r="G1147" i="3"/>
  <c r="F1147" i="3"/>
  <c r="E1147" i="3"/>
  <c r="D1147" i="3"/>
  <c r="C1147" i="3"/>
  <c r="B1147" i="3"/>
  <c r="A1147" i="3"/>
  <c r="S1146" i="3"/>
  <c r="O1146" i="3"/>
  <c r="K1146" i="3"/>
  <c r="J1146" i="3"/>
  <c r="I1146" i="3"/>
  <c r="H1146" i="3"/>
  <c r="G1146" i="3"/>
  <c r="F1146" i="3"/>
  <c r="E1146" i="3"/>
  <c r="D1146" i="3"/>
  <c r="C1146" i="3"/>
  <c r="B1146" i="3"/>
  <c r="A1146" i="3"/>
  <c r="S1145" i="3"/>
  <c r="K1145" i="3"/>
  <c r="J1145" i="3"/>
  <c r="I1145" i="3"/>
  <c r="H1145" i="3"/>
  <c r="G1145" i="3"/>
  <c r="F1145" i="3"/>
  <c r="E1145" i="3"/>
  <c r="D1145" i="3"/>
  <c r="C1145" i="3"/>
  <c r="B1145" i="3"/>
  <c r="A1145" i="3"/>
  <c r="S1144" i="3"/>
  <c r="O1144" i="3"/>
  <c r="M1144" i="3"/>
  <c r="K1144" i="3"/>
  <c r="J1144" i="3"/>
  <c r="I1144" i="3"/>
  <c r="H1144" i="3"/>
  <c r="G1144" i="3"/>
  <c r="F1144" i="3"/>
  <c r="E1144" i="3"/>
  <c r="D1144" i="3"/>
  <c r="C1144" i="3"/>
  <c r="B1144" i="3"/>
  <c r="A1144" i="3"/>
  <c r="S1143" i="3"/>
  <c r="J1143" i="3"/>
  <c r="I1143" i="3"/>
  <c r="H1143" i="3"/>
  <c r="G1143" i="3"/>
  <c r="F1143" i="3"/>
  <c r="E1143" i="3"/>
  <c r="D1143" i="3"/>
  <c r="C1143" i="3"/>
  <c r="B1143" i="3"/>
  <c r="A1143" i="3"/>
  <c r="S1142" i="3"/>
  <c r="J1142" i="3"/>
  <c r="I1142" i="3"/>
  <c r="H1142" i="3"/>
  <c r="G1142" i="3"/>
  <c r="F1142" i="3"/>
  <c r="E1142" i="3"/>
  <c r="D1142" i="3"/>
  <c r="C1142" i="3"/>
  <c r="B1142" i="3"/>
  <c r="A1142" i="3"/>
  <c r="S1141" i="3"/>
  <c r="K1141" i="3"/>
  <c r="J1141" i="3"/>
  <c r="I1141" i="3"/>
  <c r="H1141" i="3"/>
  <c r="G1141" i="3"/>
  <c r="F1141" i="3"/>
  <c r="E1141" i="3"/>
  <c r="D1141" i="3"/>
  <c r="C1141" i="3"/>
  <c r="B1141" i="3"/>
  <c r="A1141" i="3"/>
  <c r="S1140" i="3"/>
  <c r="J1140" i="3"/>
  <c r="I1140" i="3"/>
  <c r="H1140" i="3"/>
  <c r="G1140" i="3"/>
  <c r="F1140" i="3"/>
  <c r="E1140" i="3"/>
  <c r="D1140" i="3"/>
  <c r="C1140" i="3"/>
  <c r="B1140" i="3"/>
  <c r="A1140" i="3"/>
  <c r="S1139" i="3"/>
  <c r="K1139" i="3"/>
  <c r="J1139" i="3"/>
  <c r="I1139" i="3"/>
  <c r="H1139" i="3"/>
  <c r="G1139" i="3"/>
  <c r="F1139" i="3"/>
  <c r="E1139" i="3"/>
  <c r="D1139" i="3"/>
  <c r="C1139" i="3"/>
  <c r="B1139" i="3"/>
  <c r="A1139" i="3"/>
  <c r="S1138" i="3"/>
  <c r="O1138" i="3"/>
  <c r="M1138" i="3"/>
  <c r="K1138" i="3"/>
  <c r="J1138" i="3"/>
  <c r="I1138" i="3"/>
  <c r="H1138" i="3"/>
  <c r="G1138" i="3"/>
  <c r="F1138" i="3"/>
  <c r="E1138" i="3"/>
  <c r="D1138" i="3"/>
  <c r="C1138" i="3"/>
  <c r="B1138" i="3"/>
  <c r="A1138" i="3"/>
  <c r="S1137" i="3"/>
  <c r="K1137" i="3"/>
  <c r="J1137" i="3"/>
  <c r="I1137" i="3"/>
  <c r="H1137" i="3"/>
  <c r="G1137" i="3"/>
  <c r="F1137" i="3"/>
  <c r="E1137" i="3"/>
  <c r="D1137" i="3"/>
  <c r="C1137" i="3"/>
  <c r="B1137" i="3"/>
  <c r="A1137" i="3"/>
  <c r="S1136" i="3"/>
  <c r="M1136" i="3"/>
  <c r="K1136" i="3"/>
  <c r="J1136" i="3"/>
  <c r="I1136" i="3"/>
  <c r="H1136" i="3"/>
  <c r="G1136" i="3"/>
  <c r="F1136" i="3"/>
  <c r="E1136" i="3"/>
  <c r="D1136" i="3"/>
  <c r="C1136" i="3"/>
  <c r="B1136" i="3"/>
  <c r="A1136" i="3"/>
  <c r="S1135" i="3"/>
  <c r="J1135" i="3"/>
  <c r="I1135" i="3"/>
  <c r="H1135" i="3"/>
  <c r="G1135" i="3"/>
  <c r="F1135" i="3"/>
  <c r="E1135" i="3"/>
  <c r="D1135" i="3"/>
  <c r="C1135" i="3"/>
  <c r="B1135" i="3"/>
  <c r="A1135" i="3"/>
  <c r="S1134" i="3"/>
  <c r="K1134" i="3"/>
  <c r="J1134" i="3"/>
  <c r="I1134" i="3"/>
  <c r="H1134" i="3"/>
  <c r="G1134" i="3"/>
  <c r="F1134" i="3"/>
  <c r="E1134" i="3"/>
  <c r="D1134" i="3"/>
  <c r="C1134" i="3"/>
  <c r="B1134" i="3"/>
  <c r="A1134" i="3"/>
  <c r="S1133" i="3"/>
  <c r="O1133" i="3"/>
  <c r="M1133" i="3"/>
  <c r="K1133" i="3"/>
  <c r="J1133" i="3"/>
  <c r="I1133" i="3"/>
  <c r="H1133" i="3"/>
  <c r="G1133" i="3"/>
  <c r="F1133" i="3"/>
  <c r="E1133" i="3"/>
  <c r="D1133" i="3"/>
  <c r="C1133" i="3"/>
  <c r="B1133" i="3"/>
  <c r="A1133" i="3"/>
  <c r="S1132" i="3"/>
  <c r="K1132" i="3"/>
  <c r="J1132" i="3"/>
  <c r="I1132" i="3"/>
  <c r="H1132" i="3"/>
  <c r="G1132" i="3"/>
  <c r="F1132" i="3"/>
  <c r="E1132" i="3"/>
  <c r="D1132" i="3"/>
  <c r="C1132" i="3"/>
  <c r="B1132" i="3"/>
  <c r="A1132" i="3"/>
  <c r="S1131" i="3"/>
  <c r="M1131" i="3"/>
  <c r="K1131" i="3"/>
  <c r="J1131" i="3"/>
  <c r="I1131" i="3"/>
  <c r="H1131" i="3"/>
  <c r="G1131" i="3"/>
  <c r="F1131" i="3"/>
  <c r="E1131" i="3"/>
  <c r="D1131" i="3"/>
  <c r="C1131" i="3"/>
  <c r="B1131" i="3"/>
  <c r="A1131" i="3"/>
  <c r="S1130" i="3"/>
  <c r="O1130" i="3"/>
  <c r="M1130" i="3"/>
  <c r="K1130" i="3"/>
  <c r="J1130" i="3"/>
  <c r="I1130" i="3"/>
  <c r="H1130" i="3"/>
  <c r="G1130" i="3"/>
  <c r="F1130" i="3"/>
  <c r="E1130" i="3"/>
  <c r="D1130" i="3"/>
  <c r="C1130" i="3"/>
  <c r="B1130" i="3"/>
  <c r="A1130" i="3"/>
  <c r="S1129" i="3"/>
  <c r="J1129" i="3"/>
  <c r="I1129" i="3"/>
  <c r="H1129" i="3"/>
  <c r="G1129" i="3"/>
  <c r="F1129" i="3"/>
  <c r="E1129" i="3"/>
  <c r="D1129" i="3"/>
  <c r="C1129" i="3"/>
  <c r="B1129" i="3"/>
  <c r="A1129" i="3"/>
  <c r="S1128" i="3"/>
  <c r="O1128" i="3"/>
  <c r="M1128" i="3"/>
  <c r="K1128" i="3"/>
  <c r="J1128" i="3"/>
  <c r="I1128" i="3"/>
  <c r="H1128" i="3"/>
  <c r="G1128" i="3"/>
  <c r="F1128" i="3"/>
  <c r="E1128" i="3"/>
  <c r="D1128" i="3"/>
  <c r="C1128" i="3"/>
  <c r="B1128" i="3"/>
  <c r="A1128" i="3"/>
  <c r="S1127" i="3"/>
  <c r="M1127" i="3"/>
  <c r="K1127" i="3"/>
  <c r="J1127" i="3"/>
  <c r="I1127" i="3"/>
  <c r="H1127" i="3"/>
  <c r="G1127" i="3"/>
  <c r="F1127" i="3"/>
  <c r="E1127" i="3"/>
  <c r="D1127" i="3"/>
  <c r="C1127" i="3"/>
  <c r="B1127" i="3"/>
  <c r="A1127" i="3"/>
  <c r="S1126" i="3"/>
  <c r="M1126" i="3"/>
  <c r="K1126" i="3"/>
  <c r="J1126" i="3"/>
  <c r="I1126" i="3"/>
  <c r="H1126" i="3"/>
  <c r="G1126" i="3"/>
  <c r="F1126" i="3"/>
  <c r="E1126" i="3"/>
  <c r="D1126" i="3"/>
  <c r="C1126" i="3"/>
  <c r="B1126" i="3"/>
  <c r="A1126" i="3"/>
  <c r="S1125" i="3"/>
  <c r="O1125" i="3"/>
  <c r="M1125" i="3"/>
  <c r="K1125" i="3"/>
  <c r="J1125" i="3"/>
  <c r="I1125" i="3"/>
  <c r="H1125" i="3"/>
  <c r="G1125" i="3"/>
  <c r="F1125" i="3"/>
  <c r="E1125" i="3"/>
  <c r="D1125" i="3"/>
  <c r="C1125" i="3"/>
  <c r="B1125" i="3"/>
  <c r="A1125" i="3"/>
  <c r="S1124" i="3"/>
  <c r="O1124" i="3"/>
  <c r="K1124" i="3"/>
  <c r="J1124" i="3"/>
  <c r="I1124" i="3"/>
  <c r="H1124" i="3"/>
  <c r="G1124" i="3"/>
  <c r="F1124" i="3"/>
  <c r="E1124" i="3"/>
  <c r="D1124" i="3"/>
  <c r="C1124" i="3"/>
  <c r="B1124" i="3"/>
  <c r="A1124" i="3"/>
  <c r="S1123" i="3"/>
  <c r="O1123" i="3"/>
  <c r="M1123" i="3"/>
  <c r="K1123" i="3"/>
  <c r="J1123" i="3"/>
  <c r="I1123" i="3"/>
  <c r="H1123" i="3"/>
  <c r="G1123" i="3"/>
  <c r="F1123" i="3"/>
  <c r="E1123" i="3"/>
  <c r="D1123" i="3"/>
  <c r="C1123" i="3"/>
  <c r="B1123" i="3"/>
  <c r="A1123" i="3"/>
  <c r="S1122" i="3"/>
  <c r="O1122" i="3"/>
  <c r="K1122" i="3"/>
  <c r="J1122" i="3"/>
  <c r="I1122" i="3"/>
  <c r="H1122" i="3"/>
  <c r="G1122" i="3"/>
  <c r="F1122" i="3"/>
  <c r="E1122" i="3"/>
  <c r="D1122" i="3"/>
  <c r="C1122" i="3"/>
  <c r="B1122" i="3"/>
  <c r="A1122" i="3"/>
  <c r="S1121" i="3"/>
  <c r="O1121" i="3"/>
  <c r="K1121" i="3"/>
  <c r="J1121" i="3"/>
  <c r="I1121" i="3"/>
  <c r="H1121" i="3"/>
  <c r="G1121" i="3"/>
  <c r="F1121" i="3"/>
  <c r="E1121" i="3"/>
  <c r="D1121" i="3"/>
  <c r="C1121" i="3"/>
  <c r="B1121" i="3"/>
  <c r="A1121" i="3"/>
  <c r="S1120" i="3"/>
  <c r="M1120" i="3"/>
  <c r="K1120" i="3"/>
  <c r="J1120" i="3"/>
  <c r="I1120" i="3"/>
  <c r="H1120" i="3"/>
  <c r="G1120" i="3"/>
  <c r="F1120" i="3"/>
  <c r="E1120" i="3"/>
  <c r="D1120" i="3"/>
  <c r="C1120" i="3"/>
  <c r="B1120" i="3"/>
  <c r="A1120" i="3"/>
  <c r="S1119" i="3"/>
  <c r="O1119" i="3"/>
  <c r="M1119" i="3"/>
  <c r="K1119" i="3"/>
  <c r="J1119" i="3"/>
  <c r="I1119" i="3"/>
  <c r="H1119" i="3"/>
  <c r="G1119" i="3"/>
  <c r="F1119" i="3"/>
  <c r="E1119" i="3"/>
  <c r="D1119" i="3"/>
  <c r="C1119" i="3"/>
  <c r="B1119" i="3"/>
  <c r="A1119" i="3"/>
  <c r="S1118" i="3"/>
  <c r="O1118" i="3"/>
  <c r="M1118" i="3"/>
  <c r="K1118" i="3"/>
  <c r="J1118" i="3"/>
  <c r="I1118" i="3"/>
  <c r="H1118" i="3"/>
  <c r="G1118" i="3"/>
  <c r="F1118" i="3"/>
  <c r="E1118" i="3"/>
  <c r="D1118" i="3"/>
  <c r="C1118" i="3"/>
  <c r="B1118" i="3"/>
  <c r="A1118" i="3"/>
  <c r="S1117" i="3"/>
  <c r="O1117" i="3"/>
  <c r="M1117" i="3"/>
  <c r="K1117" i="3"/>
  <c r="J1117" i="3"/>
  <c r="I1117" i="3"/>
  <c r="H1117" i="3"/>
  <c r="G1117" i="3"/>
  <c r="F1117" i="3"/>
  <c r="E1117" i="3"/>
  <c r="D1117" i="3"/>
  <c r="C1117" i="3"/>
  <c r="B1117" i="3"/>
  <c r="A1117" i="3"/>
  <c r="S1116" i="3"/>
  <c r="O1116" i="3"/>
  <c r="M1116" i="3"/>
  <c r="K1116" i="3"/>
  <c r="J1116" i="3"/>
  <c r="I1116" i="3"/>
  <c r="H1116" i="3"/>
  <c r="G1116" i="3"/>
  <c r="F1116" i="3"/>
  <c r="E1116" i="3"/>
  <c r="D1116" i="3"/>
  <c r="C1116" i="3"/>
  <c r="B1116" i="3"/>
  <c r="A1116" i="3"/>
  <c r="S1115" i="3"/>
  <c r="O1115" i="3"/>
  <c r="M1115" i="3"/>
  <c r="K1115" i="3"/>
  <c r="J1115" i="3"/>
  <c r="I1115" i="3"/>
  <c r="H1115" i="3"/>
  <c r="G1115" i="3"/>
  <c r="F1115" i="3"/>
  <c r="E1115" i="3"/>
  <c r="D1115" i="3"/>
  <c r="C1115" i="3"/>
  <c r="B1115" i="3"/>
  <c r="A1115" i="3"/>
  <c r="S1114" i="3"/>
  <c r="O1114" i="3"/>
  <c r="M1114" i="3"/>
  <c r="K1114" i="3"/>
  <c r="J1114" i="3"/>
  <c r="I1114" i="3"/>
  <c r="H1114" i="3"/>
  <c r="G1114" i="3"/>
  <c r="F1114" i="3"/>
  <c r="E1114" i="3"/>
  <c r="D1114" i="3"/>
  <c r="C1114" i="3"/>
  <c r="B1114" i="3"/>
  <c r="A1114" i="3"/>
  <c r="S1113" i="3"/>
  <c r="O1113" i="3"/>
  <c r="K1113" i="3"/>
  <c r="J1113" i="3"/>
  <c r="I1113" i="3"/>
  <c r="H1113" i="3"/>
  <c r="G1113" i="3"/>
  <c r="F1113" i="3"/>
  <c r="E1113" i="3"/>
  <c r="D1113" i="3"/>
  <c r="C1113" i="3"/>
  <c r="B1113" i="3"/>
  <c r="A1113" i="3"/>
  <c r="S1112" i="3"/>
  <c r="O1112" i="3"/>
  <c r="K1112" i="3"/>
  <c r="J1112" i="3"/>
  <c r="I1112" i="3"/>
  <c r="H1112" i="3"/>
  <c r="G1112" i="3"/>
  <c r="F1112" i="3"/>
  <c r="E1112" i="3"/>
  <c r="D1112" i="3"/>
  <c r="C1112" i="3"/>
  <c r="B1112" i="3"/>
  <c r="A1112" i="3"/>
  <c r="S1111" i="3"/>
  <c r="O1111" i="3"/>
  <c r="K1111" i="3"/>
  <c r="J1111" i="3"/>
  <c r="I1111" i="3"/>
  <c r="H1111" i="3"/>
  <c r="G1111" i="3"/>
  <c r="F1111" i="3"/>
  <c r="E1111" i="3"/>
  <c r="D1111" i="3"/>
  <c r="C1111" i="3"/>
  <c r="B1111" i="3"/>
  <c r="A1111" i="3"/>
  <c r="S1110" i="3"/>
  <c r="O1110" i="3"/>
  <c r="M1110" i="3"/>
  <c r="K1110" i="3"/>
  <c r="J1110" i="3"/>
  <c r="I1110" i="3"/>
  <c r="H1110" i="3"/>
  <c r="G1110" i="3"/>
  <c r="F1110" i="3"/>
  <c r="E1110" i="3"/>
  <c r="D1110" i="3"/>
  <c r="C1110" i="3"/>
  <c r="B1110" i="3"/>
  <c r="A1110" i="3"/>
  <c r="S1109" i="3"/>
  <c r="O1109" i="3"/>
  <c r="M1109" i="3"/>
  <c r="K1109" i="3"/>
  <c r="J1109" i="3"/>
  <c r="I1109" i="3"/>
  <c r="H1109" i="3"/>
  <c r="G1109" i="3"/>
  <c r="F1109" i="3"/>
  <c r="E1109" i="3"/>
  <c r="D1109" i="3"/>
  <c r="C1109" i="3"/>
  <c r="B1109" i="3"/>
  <c r="A1109" i="3"/>
  <c r="S1108" i="3"/>
  <c r="K1108" i="3"/>
  <c r="J1108" i="3"/>
  <c r="I1108" i="3"/>
  <c r="H1108" i="3"/>
  <c r="G1108" i="3"/>
  <c r="F1108" i="3"/>
  <c r="E1108" i="3"/>
  <c r="D1108" i="3"/>
  <c r="C1108" i="3"/>
  <c r="B1108" i="3"/>
  <c r="A1108" i="3"/>
  <c r="S1107" i="3"/>
  <c r="O1107" i="3"/>
  <c r="M1107" i="3"/>
  <c r="K1107" i="3"/>
  <c r="J1107" i="3"/>
  <c r="I1107" i="3"/>
  <c r="H1107" i="3"/>
  <c r="G1107" i="3"/>
  <c r="F1107" i="3"/>
  <c r="E1107" i="3"/>
  <c r="D1107" i="3"/>
  <c r="C1107" i="3"/>
  <c r="B1107" i="3"/>
  <c r="A1107" i="3"/>
  <c r="S1106" i="3"/>
  <c r="O1106" i="3"/>
  <c r="K1106" i="3"/>
  <c r="J1106" i="3"/>
  <c r="I1106" i="3"/>
  <c r="H1106" i="3"/>
  <c r="G1106" i="3"/>
  <c r="F1106" i="3"/>
  <c r="E1106" i="3"/>
  <c r="D1106" i="3"/>
  <c r="C1106" i="3"/>
  <c r="B1106" i="3"/>
  <c r="A1106" i="3"/>
  <c r="S1105" i="3"/>
  <c r="O1105" i="3"/>
  <c r="M1105" i="3"/>
  <c r="K1105" i="3"/>
  <c r="J1105" i="3"/>
  <c r="I1105" i="3"/>
  <c r="H1105" i="3"/>
  <c r="G1105" i="3"/>
  <c r="F1105" i="3"/>
  <c r="E1105" i="3"/>
  <c r="D1105" i="3"/>
  <c r="C1105" i="3"/>
  <c r="B1105" i="3"/>
  <c r="A1105" i="3"/>
  <c r="S1104" i="3"/>
  <c r="O1104" i="3"/>
  <c r="M1104" i="3"/>
  <c r="K1104" i="3"/>
  <c r="J1104" i="3"/>
  <c r="I1104" i="3"/>
  <c r="H1104" i="3"/>
  <c r="G1104" i="3"/>
  <c r="F1104" i="3"/>
  <c r="E1104" i="3"/>
  <c r="D1104" i="3"/>
  <c r="C1104" i="3"/>
  <c r="B1104" i="3"/>
  <c r="A1104" i="3"/>
  <c r="S1103" i="3"/>
  <c r="O1103" i="3"/>
  <c r="M1103" i="3"/>
  <c r="K1103" i="3"/>
  <c r="J1103" i="3"/>
  <c r="I1103" i="3"/>
  <c r="H1103" i="3"/>
  <c r="G1103" i="3"/>
  <c r="F1103" i="3"/>
  <c r="E1103" i="3"/>
  <c r="D1103" i="3"/>
  <c r="C1103" i="3"/>
  <c r="B1103" i="3"/>
  <c r="A1103" i="3"/>
  <c r="S1102" i="3"/>
  <c r="O1102" i="3"/>
  <c r="M1102" i="3"/>
  <c r="K1102" i="3"/>
  <c r="J1102" i="3"/>
  <c r="I1102" i="3"/>
  <c r="H1102" i="3"/>
  <c r="G1102" i="3"/>
  <c r="F1102" i="3"/>
  <c r="E1102" i="3"/>
  <c r="D1102" i="3"/>
  <c r="C1102" i="3"/>
  <c r="B1102" i="3"/>
  <c r="A1102" i="3"/>
  <c r="S1101" i="3"/>
  <c r="O1101" i="3"/>
  <c r="M1101" i="3"/>
  <c r="K1101" i="3"/>
  <c r="J1101" i="3"/>
  <c r="I1101" i="3"/>
  <c r="H1101" i="3"/>
  <c r="G1101" i="3"/>
  <c r="F1101" i="3"/>
  <c r="E1101" i="3"/>
  <c r="D1101" i="3"/>
  <c r="C1101" i="3"/>
  <c r="B1101" i="3"/>
  <c r="A1101" i="3"/>
  <c r="S1100" i="3"/>
  <c r="J1100" i="3"/>
  <c r="I1100" i="3"/>
  <c r="H1100" i="3"/>
  <c r="G1100" i="3"/>
  <c r="F1100" i="3"/>
  <c r="E1100" i="3"/>
  <c r="D1100" i="3"/>
  <c r="C1100" i="3"/>
  <c r="B1100" i="3"/>
  <c r="A1100" i="3"/>
  <c r="S1099" i="3"/>
  <c r="O1099" i="3"/>
  <c r="M1099" i="3"/>
  <c r="K1099" i="3"/>
  <c r="J1099" i="3"/>
  <c r="I1099" i="3"/>
  <c r="H1099" i="3"/>
  <c r="G1099" i="3"/>
  <c r="F1099" i="3"/>
  <c r="E1099" i="3"/>
  <c r="D1099" i="3"/>
  <c r="C1099" i="3"/>
  <c r="B1099" i="3"/>
  <c r="A1099" i="3"/>
  <c r="S1098" i="3"/>
  <c r="O1098" i="3"/>
  <c r="M1098" i="3"/>
  <c r="K1098" i="3"/>
  <c r="J1098" i="3"/>
  <c r="I1098" i="3"/>
  <c r="H1098" i="3"/>
  <c r="G1098" i="3"/>
  <c r="F1098" i="3"/>
  <c r="E1098" i="3"/>
  <c r="D1098" i="3"/>
  <c r="C1098" i="3"/>
  <c r="B1098" i="3"/>
  <c r="A1098" i="3"/>
  <c r="S1097" i="3"/>
  <c r="O1097" i="3"/>
  <c r="M1097" i="3"/>
  <c r="K1097" i="3"/>
  <c r="J1097" i="3"/>
  <c r="I1097" i="3"/>
  <c r="H1097" i="3"/>
  <c r="G1097" i="3"/>
  <c r="F1097" i="3"/>
  <c r="E1097" i="3"/>
  <c r="D1097" i="3"/>
  <c r="C1097" i="3"/>
  <c r="B1097" i="3"/>
  <c r="A1097" i="3"/>
  <c r="S1096" i="3"/>
  <c r="J1096" i="3"/>
  <c r="I1096" i="3"/>
  <c r="H1096" i="3"/>
  <c r="G1096" i="3"/>
  <c r="F1096" i="3"/>
  <c r="E1096" i="3"/>
  <c r="D1096" i="3"/>
  <c r="C1096" i="3"/>
  <c r="B1096" i="3"/>
  <c r="A1096" i="3"/>
  <c r="S1095" i="3"/>
  <c r="O1095" i="3"/>
  <c r="K1095" i="3"/>
  <c r="J1095" i="3"/>
  <c r="I1095" i="3"/>
  <c r="H1095" i="3"/>
  <c r="G1095" i="3"/>
  <c r="F1095" i="3"/>
  <c r="E1095" i="3"/>
  <c r="D1095" i="3"/>
  <c r="C1095" i="3"/>
  <c r="B1095" i="3"/>
  <c r="A1095" i="3"/>
  <c r="S1094" i="3"/>
  <c r="O1094" i="3"/>
  <c r="K1094" i="3"/>
  <c r="J1094" i="3"/>
  <c r="I1094" i="3"/>
  <c r="H1094" i="3"/>
  <c r="G1094" i="3"/>
  <c r="F1094" i="3"/>
  <c r="E1094" i="3"/>
  <c r="D1094" i="3"/>
  <c r="C1094" i="3"/>
  <c r="B1094" i="3"/>
  <c r="A1094" i="3"/>
  <c r="S1093" i="3"/>
  <c r="J1093" i="3"/>
  <c r="I1093" i="3"/>
  <c r="H1093" i="3"/>
  <c r="G1093" i="3"/>
  <c r="F1093" i="3"/>
  <c r="E1093" i="3"/>
  <c r="D1093" i="3"/>
  <c r="C1093" i="3"/>
  <c r="B1093" i="3"/>
  <c r="A1093" i="3"/>
  <c r="S1092" i="3"/>
  <c r="J1092" i="3"/>
  <c r="I1092" i="3"/>
  <c r="H1092" i="3"/>
  <c r="G1092" i="3"/>
  <c r="F1092" i="3"/>
  <c r="E1092" i="3"/>
  <c r="D1092" i="3"/>
  <c r="C1092" i="3"/>
  <c r="B1092" i="3"/>
  <c r="A1092" i="3"/>
  <c r="S1091" i="3"/>
  <c r="M1091" i="3"/>
  <c r="K1091" i="3"/>
  <c r="J1091" i="3"/>
  <c r="I1091" i="3"/>
  <c r="H1091" i="3"/>
  <c r="G1091" i="3"/>
  <c r="F1091" i="3"/>
  <c r="E1091" i="3"/>
  <c r="D1091" i="3"/>
  <c r="C1091" i="3"/>
  <c r="B1091" i="3"/>
  <c r="A1091" i="3"/>
  <c r="S1090" i="3"/>
  <c r="O1090" i="3"/>
  <c r="K1090" i="3"/>
  <c r="J1090" i="3"/>
  <c r="I1090" i="3"/>
  <c r="H1090" i="3"/>
  <c r="G1090" i="3"/>
  <c r="F1090" i="3"/>
  <c r="E1090" i="3"/>
  <c r="D1090" i="3"/>
  <c r="C1090" i="3"/>
  <c r="B1090" i="3"/>
  <c r="A1090" i="3"/>
  <c r="S1089" i="3"/>
  <c r="J1089" i="3"/>
  <c r="I1089" i="3"/>
  <c r="H1089" i="3"/>
  <c r="G1089" i="3"/>
  <c r="F1089" i="3"/>
  <c r="E1089" i="3"/>
  <c r="D1089" i="3"/>
  <c r="C1089" i="3"/>
  <c r="B1089" i="3"/>
  <c r="A1089" i="3"/>
  <c r="S1088" i="3"/>
  <c r="O1088" i="3"/>
  <c r="M1088" i="3"/>
  <c r="K1088" i="3"/>
  <c r="J1088" i="3"/>
  <c r="I1088" i="3"/>
  <c r="H1088" i="3"/>
  <c r="G1088" i="3"/>
  <c r="F1088" i="3"/>
  <c r="E1088" i="3"/>
  <c r="D1088" i="3"/>
  <c r="C1088" i="3"/>
  <c r="B1088" i="3"/>
  <c r="A1088" i="3"/>
  <c r="S1087" i="3"/>
  <c r="O1087" i="3"/>
  <c r="M1087" i="3"/>
  <c r="K1087" i="3"/>
  <c r="J1087" i="3"/>
  <c r="I1087" i="3"/>
  <c r="H1087" i="3"/>
  <c r="G1087" i="3"/>
  <c r="F1087" i="3"/>
  <c r="E1087" i="3"/>
  <c r="D1087" i="3"/>
  <c r="C1087" i="3"/>
  <c r="B1087" i="3"/>
  <c r="A1087" i="3"/>
  <c r="S1086" i="3"/>
  <c r="K1086" i="3"/>
  <c r="J1086" i="3"/>
  <c r="I1086" i="3"/>
  <c r="H1086" i="3"/>
  <c r="G1086" i="3"/>
  <c r="F1086" i="3"/>
  <c r="E1086" i="3"/>
  <c r="D1086" i="3"/>
  <c r="C1086" i="3"/>
  <c r="B1086" i="3"/>
  <c r="A1086" i="3"/>
  <c r="S1085" i="3"/>
  <c r="J1085" i="3"/>
  <c r="I1085" i="3"/>
  <c r="H1085" i="3"/>
  <c r="G1085" i="3"/>
  <c r="F1085" i="3"/>
  <c r="E1085" i="3"/>
  <c r="D1085" i="3"/>
  <c r="C1085" i="3"/>
  <c r="B1085" i="3"/>
  <c r="A1085" i="3"/>
  <c r="S1084" i="3"/>
  <c r="O1084" i="3"/>
  <c r="M1084" i="3"/>
  <c r="K1084" i="3"/>
  <c r="J1084" i="3"/>
  <c r="I1084" i="3"/>
  <c r="H1084" i="3"/>
  <c r="G1084" i="3"/>
  <c r="F1084" i="3"/>
  <c r="E1084" i="3"/>
  <c r="D1084" i="3"/>
  <c r="C1084" i="3"/>
  <c r="B1084" i="3"/>
  <c r="A1084" i="3"/>
  <c r="S1083" i="3"/>
  <c r="J1083" i="3"/>
  <c r="I1083" i="3"/>
  <c r="H1083" i="3"/>
  <c r="G1083" i="3"/>
  <c r="F1083" i="3"/>
  <c r="E1083" i="3"/>
  <c r="D1083" i="3"/>
  <c r="C1083" i="3"/>
  <c r="B1083" i="3"/>
  <c r="A1083" i="3"/>
  <c r="S1082" i="3"/>
  <c r="O1082" i="3"/>
  <c r="M1082" i="3"/>
  <c r="K1082" i="3"/>
  <c r="J1082" i="3"/>
  <c r="I1082" i="3"/>
  <c r="H1082" i="3"/>
  <c r="G1082" i="3"/>
  <c r="F1082" i="3"/>
  <c r="E1082" i="3"/>
  <c r="D1082" i="3"/>
  <c r="C1082" i="3"/>
  <c r="B1082" i="3"/>
  <c r="A1082" i="3"/>
  <c r="S1081" i="3"/>
  <c r="M1081" i="3"/>
  <c r="K1081" i="3"/>
  <c r="J1081" i="3"/>
  <c r="I1081" i="3"/>
  <c r="H1081" i="3"/>
  <c r="G1081" i="3"/>
  <c r="F1081" i="3"/>
  <c r="E1081" i="3"/>
  <c r="D1081" i="3"/>
  <c r="C1081" i="3"/>
  <c r="B1081" i="3"/>
  <c r="A1081" i="3"/>
  <c r="S1080" i="3"/>
  <c r="J1080" i="3"/>
  <c r="I1080" i="3"/>
  <c r="H1080" i="3"/>
  <c r="G1080" i="3"/>
  <c r="F1080" i="3"/>
  <c r="E1080" i="3"/>
  <c r="D1080" i="3"/>
  <c r="C1080" i="3"/>
  <c r="B1080" i="3"/>
  <c r="A1080" i="3"/>
  <c r="S1079" i="3"/>
  <c r="J1079" i="3"/>
  <c r="I1079" i="3"/>
  <c r="H1079" i="3"/>
  <c r="G1079" i="3"/>
  <c r="F1079" i="3"/>
  <c r="E1079" i="3"/>
  <c r="D1079" i="3"/>
  <c r="C1079" i="3"/>
  <c r="B1079" i="3"/>
  <c r="A1079" i="3"/>
  <c r="S1078" i="3"/>
  <c r="O1078" i="3"/>
  <c r="M1078" i="3"/>
  <c r="K1078" i="3"/>
  <c r="J1078" i="3"/>
  <c r="I1078" i="3"/>
  <c r="H1078" i="3"/>
  <c r="G1078" i="3"/>
  <c r="F1078" i="3"/>
  <c r="E1078" i="3"/>
  <c r="D1078" i="3"/>
  <c r="C1078" i="3"/>
  <c r="B1078" i="3"/>
  <c r="A1078" i="3"/>
  <c r="S1077" i="3"/>
  <c r="J1077" i="3"/>
  <c r="I1077" i="3"/>
  <c r="H1077" i="3"/>
  <c r="G1077" i="3"/>
  <c r="F1077" i="3"/>
  <c r="E1077" i="3"/>
  <c r="D1077" i="3"/>
  <c r="C1077" i="3"/>
  <c r="B1077" i="3"/>
  <c r="A1077" i="3"/>
  <c r="S1076" i="3"/>
  <c r="J1076" i="3"/>
  <c r="I1076" i="3"/>
  <c r="H1076" i="3"/>
  <c r="G1076" i="3"/>
  <c r="F1076" i="3"/>
  <c r="E1076" i="3"/>
  <c r="D1076" i="3"/>
  <c r="C1076" i="3"/>
  <c r="B1076" i="3"/>
  <c r="A1076" i="3"/>
  <c r="S1075" i="3"/>
  <c r="J1075" i="3"/>
  <c r="I1075" i="3"/>
  <c r="H1075" i="3"/>
  <c r="G1075" i="3"/>
  <c r="F1075" i="3"/>
  <c r="E1075" i="3"/>
  <c r="D1075" i="3"/>
  <c r="C1075" i="3"/>
  <c r="B1075" i="3"/>
  <c r="A1075" i="3"/>
  <c r="S1074" i="3"/>
  <c r="J1074" i="3"/>
  <c r="I1074" i="3"/>
  <c r="H1074" i="3"/>
  <c r="G1074" i="3"/>
  <c r="F1074" i="3"/>
  <c r="E1074" i="3"/>
  <c r="D1074" i="3"/>
  <c r="C1074" i="3"/>
  <c r="B1074" i="3"/>
  <c r="A1074" i="3"/>
  <c r="S1073" i="3"/>
  <c r="J1073" i="3"/>
  <c r="I1073" i="3"/>
  <c r="H1073" i="3"/>
  <c r="G1073" i="3"/>
  <c r="F1073" i="3"/>
  <c r="E1073" i="3"/>
  <c r="D1073" i="3"/>
  <c r="C1073" i="3"/>
  <c r="B1073" i="3"/>
  <c r="A1073" i="3"/>
  <c r="S1072" i="3"/>
  <c r="J1072" i="3"/>
  <c r="I1072" i="3"/>
  <c r="H1072" i="3"/>
  <c r="G1072" i="3"/>
  <c r="F1072" i="3"/>
  <c r="E1072" i="3"/>
  <c r="D1072" i="3"/>
  <c r="C1072" i="3"/>
  <c r="B1072" i="3"/>
  <c r="A1072" i="3"/>
  <c r="S1071" i="3"/>
  <c r="J1071" i="3"/>
  <c r="I1071" i="3"/>
  <c r="H1071" i="3"/>
  <c r="G1071" i="3"/>
  <c r="F1071" i="3"/>
  <c r="E1071" i="3"/>
  <c r="D1071" i="3"/>
  <c r="C1071" i="3"/>
  <c r="B1071" i="3"/>
  <c r="A1071" i="3"/>
  <c r="S1070" i="3"/>
  <c r="J1070" i="3"/>
  <c r="I1070" i="3"/>
  <c r="H1070" i="3"/>
  <c r="G1070" i="3"/>
  <c r="F1070" i="3"/>
  <c r="E1070" i="3"/>
  <c r="D1070" i="3"/>
  <c r="C1070" i="3"/>
  <c r="B1070" i="3"/>
  <c r="A1070" i="3"/>
  <c r="S1069" i="3"/>
  <c r="K1069" i="3"/>
  <c r="J1069" i="3"/>
  <c r="I1069" i="3"/>
  <c r="H1069" i="3"/>
  <c r="G1069" i="3"/>
  <c r="F1069" i="3"/>
  <c r="E1069" i="3"/>
  <c r="D1069" i="3"/>
  <c r="C1069" i="3"/>
  <c r="B1069" i="3"/>
  <c r="A1069" i="3"/>
  <c r="S1068" i="3"/>
  <c r="O1068" i="3"/>
  <c r="M1068" i="3"/>
  <c r="K1068" i="3"/>
  <c r="J1068" i="3"/>
  <c r="I1068" i="3"/>
  <c r="H1068" i="3"/>
  <c r="G1068" i="3"/>
  <c r="F1068" i="3"/>
  <c r="E1068" i="3"/>
  <c r="D1068" i="3"/>
  <c r="C1068" i="3"/>
  <c r="B1068" i="3"/>
  <c r="A1068" i="3"/>
  <c r="S1067" i="3"/>
  <c r="O1067" i="3"/>
  <c r="M1067" i="3"/>
  <c r="K1067" i="3"/>
  <c r="J1067" i="3"/>
  <c r="I1067" i="3"/>
  <c r="H1067" i="3"/>
  <c r="G1067" i="3"/>
  <c r="F1067" i="3"/>
  <c r="E1067" i="3"/>
  <c r="D1067" i="3"/>
  <c r="C1067" i="3"/>
  <c r="B1067" i="3"/>
  <c r="A1067" i="3"/>
  <c r="S1066" i="3"/>
  <c r="J1066" i="3"/>
  <c r="I1066" i="3"/>
  <c r="H1066" i="3"/>
  <c r="G1066" i="3"/>
  <c r="F1066" i="3"/>
  <c r="E1066" i="3"/>
  <c r="D1066" i="3"/>
  <c r="C1066" i="3"/>
  <c r="B1066" i="3"/>
  <c r="A1066" i="3"/>
  <c r="S1065" i="3"/>
  <c r="K1065" i="3"/>
  <c r="J1065" i="3"/>
  <c r="I1065" i="3"/>
  <c r="H1065" i="3"/>
  <c r="G1065" i="3"/>
  <c r="F1065" i="3"/>
  <c r="E1065" i="3"/>
  <c r="D1065" i="3"/>
  <c r="C1065" i="3"/>
  <c r="B1065" i="3"/>
  <c r="A1065" i="3"/>
  <c r="S1064" i="3"/>
  <c r="O1064" i="3"/>
  <c r="K1064" i="3"/>
  <c r="J1064" i="3"/>
  <c r="I1064" i="3"/>
  <c r="H1064" i="3"/>
  <c r="G1064" i="3"/>
  <c r="F1064" i="3"/>
  <c r="E1064" i="3"/>
  <c r="D1064" i="3"/>
  <c r="C1064" i="3"/>
  <c r="B1064" i="3"/>
  <c r="A1064" i="3"/>
  <c r="S1063" i="3"/>
  <c r="M1063" i="3"/>
  <c r="K1063" i="3"/>
  <c r="J1063" i="3"/>
  <c r="I1063" i="3"/>
  <c r="H1063" i="3"/>
  <c r="G1063" i="3"/>
  <c r="F1063" i="3"/>
  <c r="E1063" i="3"/>
  <c r="D1063" i="3"/>
  <c r="C1063" i="3"/>
  <c r="B1063" i="3"/>
  <c r="A1063" i="3"/>
  <c r="S1062" i="3"/>
  <c r="K1062" i="3"/>
  <c r="J1062" i="3"/>
  <c r="I1062" i="3"/>
  <c r="H1062" i="3"/>
  <c r="G1062" i="3"/>
  <c r="F1062" i="3"/>
  <c r="E1062" i="3"/>
  <c r="D1062" i="3"/>
  <c r="C1062" i="3"/>
  <c r="B1062" i="3"/>
  <c r="A1062" i="3"/>
  <c r="S1061" i="3"/>
  <c r="J1061" i="3"/>
  <c r="I1061" i="3"/>
  <c r="H1061" i="3"/>
  <c r="G1061" i="3"/>
  <c r="F1061" i="3"/>
  <c r="E1061" i="3"/>
  <c r="D1061" i="3"/>
  <c r="C1061" i="3"/>
  <c r="B1061" i="3"/>
  <c r="A1061" i="3"/>
  <c r="S1060" i="3"/>
  <c r="J1060" i="3"/>
  <c r="I1060" i="3"/>
  <c r="H1060" i="3"/>
  <c r="G1060" i="3"/>
  <c r="F1060" i="3"/>
  <c r="E1060" i="3"/>
  <c r="D1060" i="3"/>
  <c r="C1060" i="3"/>
  <c r="B1060" i="3"/>
  <c r="A1060" i="3"/>
  <c r="S1059" i="3"/>
  <c r="K1059" i="3"/>
  <c r="J1059" i="3"/>
  <c r="I1059" i="3"/>
  <c r="H1059" i="3"/>
  <c r="G1059" i="3"/>
  <c r="F1059" i="3"/>
  <c r="E1059" i="3"/>
  <c r="D1059" i="3"/>
  <c r="C1059" i="3"/>
  <c r="B1059" i="3"/>
  <c r="A1059" i="3"/>
  <c r="S1058" i="3"/>
  <c r="J1058" i="3"/>
  <c r="I1058" i="3"/>
  <c r="H1058" i="3"/>
  <c r="G1058" i="3"/>
  <c r="F1058" i="3"/>
  <c r="E1058" i="3"/>
  <c r="D1058" i="3"/>
  <c r="C1058" i="3"/>
  <c r="B1058" i="3"/>
  <c r="A1058" i="3"/>
  <c r="S1057" i="3"/>
  <c r="O1057" i="3"/>
  <c r="M1057" i="3"/>
  <c r="K1057" i="3"/>
  <c r="J1057" i="3"/>
  <c r="I1057" i="3"/>
  <c r="H1057" i="3"/>
  <c r="G1057" i="3"/>
  <c r="F1057" i="3"/>
  <c r="E1057" i="3"/>
  <c r="D1057" i="3"/>
  <c r="C1057" i="3"/>
  <c r="B1057" i="3"/>
  <c r="A1057" i="3"/>
  <c r="S1056" i="3"/>
  <c r="J1056" i="3"/>
  <c r="I1056" i="3"/>
  <c r="H1056" i="3"/>
  <c r="G1056" i="3"/>
  <c r="F1056" i="3"/>
  <c r="E1056" i="3"/>
  <c r="D1056" i="3"/>
  <c r="C1056" i="3"/>
  <c r="B1056" i="3"/>
  <c r="A1056" i="3"/>
  <c r="S1055" i="3"/>
  <c r="J1055" i="3"/>
  <c r="I1055" i="3"/>
  <c r="H1055" i="3"/>
  <c r="G1055" i="3"/>
  <c r="F1055" i="3"/>
  <c r="E1055" i="3"/>
  <c r="D1055" i="3"/>
  <c r="C1055" i="3"/>
  <c r="B1055" i="3"/>
  <c r="A1055" i="3"/>
  <c r="S1054" i="3"/>
  <c r="J1054" i="3"/>
  <c r="I1054" i="3"/>
  <c r="H1054" i="3"/>
  <c r="G1054" i="3"/>
  <c r="F1054" i="3"/>
  <c r="E1054" i="3"/>
  <c r="D1054" i="3"/>
  <c r="C1054" i="3"/>
  <c r="B1054" i="3"/>
  <c r="A1054" i="3"/>
  <c r="S1053" i="3"/>
  <c r="J1053" i="3"/>
  <c r="I1053" i="3"/>
  <c r="H1053" i="3"/>
  <c r="G1053" i="3"/>
  <c r="F1053" i="3"/>
  <c r="E1053" i="3"/>
  <c r="D1053" i="3"/>
  <c r="C1053" i="3"/>
  <c r="B1053" i="3"/>
  <c r="A1053" i="3"/>
  <c r="S1052" i="3"/>
  <c r="J1052" i="3"/>
  <c r="I1052" i="3"/>
  <c r="H1052" i="3"/>
  <c r="G1052" i="3"/>
  <c r="F1052" i="3"/>
  <c r="E1052" i="3"/>
  <c r="D1052" i="3"/>
  <c r="C1052" i="3"/>
  <c r="B1052" i="3"/>
  <c r="A1052" i="3"/>
  <c r="S1051" i="3"/>
  <c r="O1051" i="3"/>
  <c r="M1051" i="3"/>
  <c r="K1051" i="3"/>
  <c r="J1051" i="3"/>
  <c r="I1051" i="3"/>
  <c r="H1051" i="3"/>
  <c r="G1051" i="3"/>
  <c r="F1051" i="3"/>
  <c r="E1051" i="3"/>
  <c r="D1051" i="3"/>
  <c r="C1051" i="3"/>
  <c r="B1051" i="3"/>
  <c r="A1051" i="3"/>
  <c r="S1050" i="3"/>
  <c r="O1050" i="3"/>
  <c r="M1050" i="3"/>
  <c r="K1050" i="3"/>
  <c r="J1050" i="3"/>
  <c r="I1050" i="3"/>
  <c r="H1050" i="3"/>
  <c r="G1050" i="3"/>
  <c r="F1050" i="3"/>
  <c r="E1050" i="3"/>
  <c r="D1050" i="3"/>
  <c r="C1050" i="3"/>
  <c r="B1050" i="3"/>
  <c r="A1050" i="3"/>
  <c r="S1049" i="3"/>
  <c r="O1049" i="3"/>
  <c r="M1049" i="3"/>
  <c r="K1049" i="3"/>
  <c r="J1049" i="3"/>
  <c r="I1049" i="3"/>
  <c r="H1049" i="3"/>
  <c r="G1049" i="3"/>
  <c r="F1049" i="3"/>
  <c r="E1049" i="3"/>
  <c r="D1049" i="3"/>
  <c r="C1049" i="3"/>
  <c r="B1049" i="3"/>
  <c r="A1049" i="3"/>
  <c r="S1048" i="3"/>
  <c r="M1048" i="3"/>
  <c r="K1048" i="3"/>
  <c r="J1048" i="3"/>
  <c r="I1048" i="3"/>
  <c r="H1048" i="3"/>
  <c r="G1048" i="3"/>
  <c r="F1048" i="3"/>
  <c r="E1048" i="3"/>
  <c r="D1048" i="3"/>
  <c r="C1048" i="3"/>
  <c r="B1048" i="3"/>
  <c r="A1048" i="3"/>
  <c r="S1047" i="3"/>
  <c r="J1047" i="3"/>
  <c r="I1047" i="3"/>
  <c r="H1047" i="3"/>
  <c r="G1047" i="3"/>
  <c r="F1047" i="3"/>
  <c r="E1047" i="3"/>
  <c r="D1047" i="3"/>
  <c r="C1047" i="3"/>
  <c r="B1047" i="3"/>
  <c r="A1047" i="3"/>
  <c r="S1046" i="3"/>
  <c r="J1046" i="3"/>
  <c r="I1046" i="3"/>
  <c r="H1046" i="3"/>
  <c r="G1046" i="3"/>
  <c r="F1046" i="3"/>
  <c r="E1046" i="3"/>
  <c r="D1046" i="3"/>
  <c r="C1046" i="3"/>
  <c r="B1046" i="3"/>
  <c r="A1046" i="3"/>
  <c r="S1045" i="3"/>
  <c r="J1045" i="3"/>
  <c r="I1045" i="3"/>
  <c r="H1045" i="3"/>
  <c r="G1045" i="3"/>
  <c r="F1045" i="3"/>
  <c r="E1045" i="3"/>
  <c r="D1045" i="3"/>
  <c r="C1045" i="3"/>
  <c r="B1045" i="3"/>
  <c r="A1045" i="3"/>
  <c r="S1044" i="3"/>
  <c r="J1044" i="3"/>
  <c r="I1044" i="3"/>
  <c r="H1044" i="3"/>
  <c r="G1044" i="3"/>
  <c r="F1044" i="3"/>
  <c r="E1044" i="3"/>
  <c r="D1044" i="3"/>
  <c r="C1044" i="3"/>
  <c r="B1044" i="3"/>
  <c r="A1044" i="3"/>
  <c r="S1043" i="3"/>
  <c r="J1043" i="3"/>
  <c r="I1043" i="3"/>
  <c r="H1043" i="3"/>
  <c r="G1043" i="3"/>
  <c r="F1043" i="3"/>
  <c r="E1043" i="3"/>
  <c r="D1043" i="3"/>
  <c r="C1043" i="3"/>
  <c r="B1043" i="3"/>
  <c r="A1043" i="3"/>
  <c r="S1042" i="3"/>
  <c r="J1042" i="3"/>
  <c r="I1042" i="3"/>
  <c r="H1042" i="3"/>
  <c r="G1042" i="3"/>
  <c r="F1042" i="3"/>
  <c r="E1042" i="3"/>
  <c r="D1042" i="3"/>
  <c r="C1042" i="3"/>
  <c r="B1042" i="3"/>
  <c r="A1042" i="3"/>
  <c r="S1041" i="3"/>
  <c r="J1041" i="3"/>
  <c r="I1041" i="3"/>
  <c r="H1041" i="3"/>
  <c r="G1041" i="3"/>
  <c r="F1041" i="3"/>
  <c r="E1041" i="3"/>
  <c r="D1041" i="3"/>
  <c r="C1041" i="3"/>
  <c r="B1041" i="3"/>
  <c r="A1041" i="3"/>
  <c r="S1040" i="3"/>
  <c r="J1040" i="3"/>
  <c r="I1040" i="3"/>
  <c r="H1040" i="3"/>
  <c r="G1040" i="3"/>
  <c r="F1040" i="3"/>
  <c r="E1040" i="3"/>
  <c r="D1040" i="3"/>
  <c r="C1040" i="3"/>
  <c r="B1040" i="3"/>
  <c r="A1040" i="3"/>
  <c r="S1039" i="3"/>
  <c r="O1039" i="3"/>
  <c r="M1039" i="3"/>
  <c r="K1039" i="3"/>
  <c r="J1039" i="3"/>
  <c r="I1039" i="3"/>
  <c r="H1039" i="3"/>
  <c r="G1039" i="3"/>
  <c r="F1039" i="3"/>
  <c r="E1039" i="3"/>
  <c r="D1039" i="3"/>
  <c r="C1039" i="3"/>
  <c r="B1039" i="3"/>
  <c r="A1039" i="3"/>
  <c r="S1038" i="3"/>
  <c r="J1038" i="3"/>
  <c r="I1038" i="3"/>
  <c r="H1038" i="3"/>
  <c r="G1038" i="3"/>
  <c r="F1038" i="3"/>
  <c r="E1038" i="3"/>
  <c r="D1038" i="3"/>
  <c r="C1038" i="3"/>
  <c r="B1038" i="3"/>
  <c r="A1038" i="3"/>
  <c r="S1037" i="3"/>
  <c r="J1037" i="3"/>
  <c r="I1037" i="3"/>
  <c r="H1037" i="3"/>
  <c r="G1037" i="3"/>
  <c r="F1037" i="3"/>
  <c r="E1037" i="3"/>
  <c r="D1037" i="3"/>
  <c r="C1037" i="3"/>
  <c r="B1037" i="3"/>
  <c r="A1037" i="3"/>
  <c r="S1036" i="3"/>
  <c r="J1036" i="3"/>
  <c r="I1036" i="3"/>
  <c r="H1036" i="3"/>
  <c r="G1036" i="3"/>
  <c r="F1036" i="3"/>
  <c r="E1036" i="3"/>
  <c r="D1036" i="3"/>
  <c r="C1036" i="3"/>
  <c r="B1036" i="3"/>
  <c r="A1036" i="3"/>
  <c r="S1035" i="3"/>
  <c r="K1035" i="3"/>
  <c r="J1035" i="3"/>
  <c r="I1035" i="3"/>
  <c r="H1035" i="3"/>
  <c r="G1035" i="3"/>
  <c r="F1035" i="3"/>
  <c r="E1035" i="3"/>
  <c r="D1035" i="3"/>
  <c r="C1035" i="3"/>
  <c r="B1035" i="3"/>
  <c r="A1035" i="3"/>
  <c r="S1034" i="3"/>
  <c r="J1034" i="3"/>
  <c r="I1034" i="3"/>
  <c r="H1034" i="3"/>
  <c r="G1034" i="3"/>
  <c r="F1034" i="3"/>
  <c r="E1034" i="3"/>
  <c r="D1034" i="3"/>
  <c r="C1034" i="3"/>
  <c r="B1034" i="3"/>
  <c r="A1034" i="3"/>
  <c r="S1033" i="3"/>
  <c r="O1033" i="3"/>
  <c r="M1033" i="3"/>
  <c r="K1033" i="3"/>
  <c r="J1033" i="3"/>
  <c r="I1033" i="3"/>
  <c r="H1033" i="3"/>
  <c r="G1033" i="3"/>
  <c r="F1033" i="3"/>
  <c r="E1033" i="3"/>
  <c r="D1033" i="3"/>
  <c r="C1033" i="3"/>
  <c r="B1033" i="3"/>
  <c r="A1033" i="3"/>
  <c r="S1032" i="3"/>
  <c r="O1032" i="3"/>
  <c r="K1032" i="3"/>
  <c r="J1032" i="3"/>
  <c r="I1032" i="3"/>
  <c r="H1032" i="3"/>
  <c r="G1032" i="3"/>
  <c r="F1032" i="3"/>
  <c r="E1032" i="3"/>
  <c r="D1032" i="3"/>
  <c r="C1032" i="3"/>
  <c r="B1032" i="3"/>
  <c r="A1032" i="3"/>
  <c r="S1031" i="3"/>
  <c r="K1031" i="3"/>
  <c r="J1031" i="3"/>
  <c r="I1031" i="3"/>
  <c r="H1031" i="3"/>
  <c r="G1031" i="3"/>
  <c r="F1031" i="3"/>
  <c r="E1031" i="3"/>
  <c r="D1031" i="3"/>
  <c r="C1031" i="3"/>
  <c r="B1031" i="3"/>
  <c r="A1031" i="3"/>
  <c r="S1030" i="3"/>
  <c r="O1030" i="3"/>
  <c r="M1030" i="3"/>
  <c r="K1030" i="3"/>
  <c r="J1030" i="3"/>
  <c r="I1030" i="3"/>
  <c r="H1030" i="3"/>
  <c r="G1030" i="3"/>
  <c r="F1030" i="3"/>
  <c r="E1030" i="3"/>
  <c r="D1030" i="3"/>
  <c r="C1030" i="3"/>
  <c r="B1030" i="3"/>
  <c r="A1030" i="3"/>
  <c r="S1029" i="3"/>
  <c r="O1029" i="3"/>
  <c r="K1029" i="3"/>
  <c r="J1029" i="3"/>
  <c r="I1029" i="3"/>
  <c r="H1029" i="3"/>
  <c r="G1029" i="3"/>
  <c r="F1029" i="3"/>
  <c r="E1029" i="3"/>
  <c r="D1029" i="3"/>
  <c r="C1029" i="3"/>
  <c r="B1029" i="3"/>
  <c r="A1029" i="3"/>
  <c r="S1028" i="3"/>
  <c r="O1028" i="3"/>
  <c r="K1028" i="3"/>
  <c r="J1028" i="3"/>
  <c r="I1028" i="3"/>
  <c r="H1028" i="3"/>
  <c r="G1028" i="3"/>
  <c r="F1028" i="3"/>
  <c r="E1028" i="3"/>
  <c r="D1028" i="3"/>
  <c r="C1028" i="3"/>
  <c r="B1028" i="3"/>
  <c r="A1028" i="3"/>
  <c r="S1027" i="3"/>
  <c r="M1027" i="3"/>
  <c r="K1027" i="3"/>
  <c r="J1027" i="3"/>
  <c r="I1027" i="3"/>
  <c r="H1027" i="3"/>
  <c r="G1027" i="3"/>
  <c r="F1027" i="3"/>
  <c r="E1027" i="3"/>
  <c r="D1027" i="3"/>
  <c r="C1027" i="3"/>
  <c r="B1027" i="3"/>
  <c r="A1027" i="3"/>
  <c r="S1026" i="3"/>
  <c r="K1026" i="3"/>
  <c r="J1026" i="3"/>
  <c r="I1026" i="3"/>
  <c r="H1026" i="3"/>
  <c r="G1026" i="3"/>
  <c r="F1026" i="3"/>
  <c r="E1026" i="3"/>
  <c r="D1026" i="3"/>
  <c r="C1026" i="3"/>
  <c r="B1026" i="3"/>
  <c r="A1026" i="3"/>
  <c r="S1025" i="3"/>
  <c r="O1025" i="3"/>
  <c r="K1025" i="3"/>
  <c r="J1025" i="3"/>
  <c r="I1025" i="3"/>
  <c r="H1025" i="3"/>
  <c r="G1025" i="3"/>
  <c r="F1025" i="3"/>
  <c r="E1025" i="3"/>
  <c r="D1025" i="3"/>
  <c r="C1025" i="3"/>
  <c r="B1025" i="3"/>
  <c r="A1025" i="3"/>
  <c r="S1024" i="3"/>
  <c r="O1024" i="3"/>
  <c r="M1024" i="3"/>
  <c r="K1024" i="3"/>
  <c r="J1024" i="3"/>
  <c r="I1024" i="3"/>
  <c r="H1024" i="3"/>
  <c r="G1024" i="3"/>
  <c r="F1024" i="3"/>
  <c r="E1024" i="3"/>
  <c r="D1024" i="3"/>
  <c r="C1024" i="3"/>
  <c r="B1024" i="3"/>
  <c r="A1024" i="3"/>
  <c r="S1023" i="3"/>
  <c r="O1023" i="3"/>
  <c r="M1023" i="3"/>
  <c r="K1023" i="3"/>
  <c r="J1023" i="3"/>
  <c r="I1023" i="3"/>
  <c r="H1023" i="3"/>
  <c r="G1023" i="3"/>
  <c r="F1023" i="3"/>
  <c r="E1023" i="3"/>
  <c r="D1023" i="3"/>
  <c r="C1023" i="3"/>
  <c r="B1023" i="3"/>
  <c r="A1023" i="3"/>
  <c r="S1022" i="3"/>
  <c r="M1022" i="3"/>
  <c r="K1022" i="3"/>
  <c r="J1022" i="3"/>
  <c r="I1022" i="3"/>
  <c r="H1022" i="3"/>
  <c r="G1022" i="3"/>
  <c r="F1022" i="3"/>
  <c r="E1022" i="3"/>
  <c r="D1022" i="3"/>
  <c r="C1022" i="3"/>
  <c r="B1022" i="3"/>
  <c r="A1022" i="3"/>
  <c r="S1021" i="3"/>
  <c r="K1021" i="3"/>
  <c r="J1021" i="3"/>
  <c r="I1021" i="3"/>
  <c r="H1021" i="3"/>
  <c r="G1021" i="3"/>
  <c r="F1021" i="3"/>
  <c r="E1021" i="3"/>
  <c r="D1021" i="3"/>
  <c r="C1021" i="3"/>
  <c r="B1021" i="3"/>
  <c r="A1021" i="3"/>
  <c r="S1020" i="3"/>
  <c r="O1020" i="3"/>
  <c r="M1020" i="3"/>
  <c r="K1020" i="3"/>
  <c r="J1020" i="3"/>
  <c r="I1020" i="3"/>
  <c r="H1020" i="3"/>
  <c r="G1020" i="3"/>
  <c r="F1020" i="3"/>
  <c r="E1020" i="3"/>
  <c r="D1020" i="3"/>
  <c r="C1020" i="3"/>
  <c r="B1020" i="3"/>
  <c r="A1020" i="3"/>
  <c r="S1019" i="3"/>
  <c r="J1019" i="3"/>
  <c r="I1019" i="3"/>
  <c r="H1019" i="3"/>
  <c r="G1019" i="3"/>
  <c r="F1019" i="3"/>
  <c r="E1019" i="3"/>
  <c r="D1019" i="3"/>
  <c r="C1019" i="3"/>
  <c r="B1019" i="3"/>
  <c r="A1019" i="3"/>
  <c r="S1018" i="3"/>
  <c r="M1018" i="3"/>
  <c r="K1018" i="3"/>
  <c r="J1018" i="3"/>
  <c r="I1018" i="3"/>
  <c r="H1018" i="3"/>
  <c r="G1018" i="3"/>
  <c r="F1018" i="3"/>
  <c r="E1018" i="3"/>
  <c r="D1018" i="3"/>
  <c r="C1018" i="3"/>
  <c r="B1018" i="3"/>
  <c r="A1018" i="3"/>
  <c r="S1017" i="3"/>
  <c r="O1017" i="3"/>
  <c r="K1017" i="3"/>
  <c r="J1017" i="3"/>
  <c r="I1017" i="3"/>
  <c r="H1017" i="3"/>
  <c r="G1017" i="3"/>
  <c r="F1017" i="3"/>
  <c r="E1017" i="3"/>
  <c r="D1017" i="3"/>
  <c r="C1017" i="3"/>
  <c r="B1017" i="3"/>
  <c r="A1017" i="3"/>
  <c r="S1016" i="3"/>
  <c r="O1016" i="3"/>
  <c r="K1016" i="3"/>
  <c r="J1016" i="3"/>
  <c r="I1016" i="3"/>
  <c r="H1016" i="3"/>
  <c r="G1016" i="3"/>
  <c r="F1016" i="3"/>
  <c r="E1016" i="3"/>
  <c r="D1016" i="3"/>
  <c r="C1016" i="3"/>
  <c r="B1016" i="3"/>
  <c r="A1016" i="3"/>
  <c r="S1015" i="3"/>
  <c r="O1015" i="3"/>
  <c r="M1015" i="3"/>
  <c r="K1015" i="3"/>
  <c r="J1015" i="3"/>
  <c r="I1015" i="3"/>
  <c r="H1015" i="3"/>
  <c r="G1015" i="3"/>
  <c r="F1015" i="3"/>
  <c r="E1015" i="3"/>
  <c r="D1015" i="3"/>
  <c r="C1015" i="3"/>
  <c r="B1015" i="3"/>
  <c r="A1015" i="3"/>
  <c r="S1014" i="3"/>
  <c r="O1014" i="3"/>
  <c r="K1014" i="3"/>
  <c r="J1014" i="3"/>
  <c r="I1014" i="3"/>
  <c r="H1014" i="3"/>
  <c r="G1014" i="3"/>
  <c r="F1014" i="3"/>
  <c r="E1014" i="3"/>
  <c r="D1014" i="3"/>
  <c r="C1014" i="3"/>
  <c r="B1014" i="3"/>
  <c r="A1014" i="3"/>
  <c r="S1013" i="3"/>
  <c r="K1013" i="3"/>
  <c r="J1013" i="3"/>
  <c r="I1013" i="3"/>
  <c r="H1013" i="3"/>
  <c r="G1013" i="3"/>
  <c r="F1013" i="3"/>
  <c r="E1013" i="3"/>
  <c r="D1013" i="3"/>
  <c r="C1013" i="3"/>
  <c r="B1013" i="3"/>
  <c r="A1013" i="3"/>
  <c r="S1012" i="3"/>
  <c r="O1012" i="3"/>
  <c r="K1012" i="3"/>
  <c r="J1012" i="3"/>
  <c r="I1012" i="3"/>
  <c r="H1012" i="3"/>
  <c r="G1012" i="3"/>
  <c r="F1012" i="3"/>
  <c r="E1012" i="3"/>
  <c r="D1012" i="3"/>
  <c r="C1012" i="3"/>
  <c r="B1012" i="3"/>
  <c r="A1012" i="3"/>
  <c r="S1011" i="3"/>
  <c r="O1011" i="3"/>
  <c r="M1011" i="3"/>
  <c r="K1011" i="3"/>
  <c r="J1011" i="3"/>
  <c r="I1011" i="3"/>
  <c r="H1011" i="3"/>
  <c r="G1011" i="3"/>
  <c r="F1011" i="3"/>
  <c r="E1011" i="3"/>
  <c r="D1011" i="3"/>
  <c r="C1011" i="3"/>
  <c r="B1011" i="3"/>
  <c r="A1011" i="3"/>
  <c r="S1010" i="3"/>
  <c r="O1010" i="3"/>
  <c r="K1010" i="3"/>
  <c r="J1010" i="3"/>
  <c r="I1010" i="3"/>
  <c r="H1010" i="3"/>
  <c r="G1010" i="3"/>
  <c r="F1010" i="3"/>
  <c r="E1010" i="3"/>
  <c r="D1010" i="3"/>
  <c r="C1010" i="3"/>
  <c r="B1010" i="3"/>
  <c r="A1010" i="3"/>
  <c r="S1009" i="3"/>
  <c r="O1009" i="3"/>
  <c r="M1009" i="3"/>
  <c r="K1009" i="3"/>
  <c r="J1009" i="3"/>
  <c r="I1009" i="3"/>
  <c r="H1009" i="3"/>
  <c r="G1009" i="3"/>
  <c r="F1009" i="3"/>
  <c r="E1009" i="3"/>
  <c r="D1009" i="3"/>
  <c r="C1009" i="3"/>
  <c r="B1009" i="3"/>
  <c r="A1009" i="3"/>
  <c r="S1008" i="3"/>
  <c r="O1008" i="3"/>
  <c r="K1008" i="3"/>
  <c r="J1008" i="3"/>
  <c r="I1008" i="3"/>
  <c r="H1008" i="3"/>
  <c r="G1008" i="3"/>
  <c r="F1008" i="3"/>
  <c r="E1008" i="3"/>
  <c r="D1008" i="3"/>
  <c r="C1008" i="3"/>
  <c r="B1008" i="3"/>
  <c r="A1008" i="3"/>
  <c r="S1007" i="3"/>
  <c r="J1007" i="3"/>
  <c r="I1007" i="3"/>
  <c r="H1007" i="3"/>
  <c r="G1007" i="3"/>
  <c r="F1007" i="3"/>
  <c r="E1007" i="3"/>
  <c r="D1007" i="3"/>
  <c r="C1007" i="3"/>
  <c r="B1007" i="3"/>
  <c r="A1007" i="3"/>
  <c r="S1006" i="3"/>
  <c r="J1006" i="3"/>
  <c r="I1006" i="3"/>
  <c r="H1006" i="3"/>
  <c r="G1006" i="3"/>
  <c r="F1006" i="3"/>
  <c r="E1006" i="3"/>
  <c r="D1006" i="3"/>
  <c r="C1006" i="3"/>
  <c r="B1006" i="3"/>
  <c r="A1006" i="3"/>
  <c r="S1005" i="3"/>
  <c r="O1005" i="3"/>
  <c r="M1005" i="3"/>
  <c r="K1005" i="3"/>
  <c r="J1005" i="3"/>
  <c r="I1005" i="3"/>
  <c r="H1005" i="3"/>
  <c r="G1005" i="3"/>
  <c r="F1005" i="3"/>
  <c r="E1005" i="3"/>
  <c r="D1005" i="3"/>
  <c r="C1005" i="3"/>
  <c r="B1005" i="3"/>
  <c r="A1005" i="3"/>
  <c r="S1004" i="3"/>
  <c r="O1004" i="3"/>
  <c r="M1004" i="3"/>
  <c r="K1004" i="3"/>
  <c r="J1004" i="3"/>
  <c r="I1004" i="3"/>
  <c r="H1004" i="3"/>
  <c r="G1004" i="3"/>
  <c r="F1004" i="3"/>
  <c r="E1004" i="3"/>
  <c r="D1004" i="3"/>
  <c r="C1004" i="3"/>
  <c r="B1004" i="3"/>
  <c r="A1004" i="3"/>
  <c r="S1003" i="3"/>
  <c r="O1003" i="3"/>
  <c r="M1003" i="3"/>
  <c r="K1003" i="3"/>
  <c r="J1003" i="3"/>
  <c r="I1003" i="3"/>
  <c r="H1003" i="3"/>
  <c r="G1003" i="3"/>
  <c r="F1003" i="3"/>
  <c r="E1003" i="3"/>
  <c r="D1003" i="3"/>
  <c r="C1003" i="3"/>
  <c r="B1003" i="3"/>
  <c r="A1003" i="3"/>
  <c r="S1002" i="3"/>
  <c r="J1002" i="3"/>
  <c r="I1002" i="3"/>
  <c r="H1002" i="3"/>
  <c r="G1002" i="3"/>
  <c r="F1002" i="3"/>
  <c r="E1002" i="3"/>
  <c r="D1002" i="3"/>
  <c r="C1002" i="3"/>
  <c r="B1002" i="3"/>
  <c r="A1002" i="3"/>
  <c r="S1001" i="3"/>
  <c r="J1001" i="3"/>
  <c r="I1001" i="3"/>
  <c r="H1001" i="3"/>
  <c r="G1001" i="3"/>
  <c r="F1001" i="3"/>
  <c r="E1001" i="3"/>
  <c r="D1001" i="3"/>
  <c r="C1001" i="3"/>
  <c r="B1001" i="3"/>
  <c r="A1001" i="3"/>
  <c r="S1000" i="3"/>
  <c r="J1000" i="3"/>
  <c r="I1000" i="3"/>
  <c r="H1000" i="3"/>
  <c r="G1000" i="3"/>
  <c r="F1000" i="3"/>
  <c r="E1000" i="3"/>
  <c r="D1000" i="3"/>
  <c r="C1000" i="3"/>
  <c r="B1000" i="3"/>
  <c r="A1000" i="3"/>
  <c r="S999" i="3"/>
  <c r="J999" i="3"/>
  <c r="I999" i="3"/>
  <c r="H999" i="3"/>
  <c r="G999" i="3"/>
  <c r="F999" i="3"/>
  <c r="E999" i="3"/>
  <c r="D999" i="3"/>
  <c r="C999" i="3"/>
  <c r="B999" i="3"/>
  <c r="A999" i="3"/>
  <c r="S998" i="3"/>
  <c r="O998" i="3"/>
  <c r="M998" i="3"/>
  <c r="K998" i="3"/>
  <c r="J998" i="3"/>
  <c r="I998" i="3"/>
  <c r="H998" i="3"/>
  <c r="G998" i="3"/>
  <c r="F998" i="3"/>
  <c r="E998" i="3"/>
  <c r="D998" i="3"/>
  <c r="C998" i="3"/>
  <c r="B998" i="3"/>
  <c r="A998" i="3"/>
  <c r="S997" i="3"/>
  <c r="J997" i="3"/>
  <c r="I997" i="3"/>
  <c r="H997" i="3"/>
  <c r="G997" i="3"/>
  <c r="F997" i="3"/>
  <c r="E997" i="3"/>
  <c r="D997" i="3"/>
  <c r="C997" i="3"/>
  <c r="B997" i="3"/>
  <c r="A997" i="3"/>
  <c r="S996" i="3"/>
  <c r="O996" i="3"/>
  <c r="M996" i="3"/>
  <c r="K996" i="3"/>
  <c r="J996" i="3"/>
  <c r="I996" i="3"/>
  <c r="H996" i="3"/>
  <c r="G996" i="3"/>
  <c r="F996" i="3"/>
  <c r="E996" i="3"/>
  <c r="D996" i="3"/>
  <c r="C996" i="3"/>
  <c r="B996" i="3"/>
  <c r="A996" i="3"/>
  <c r="S995" i="3"/>
  <c r="O995" i="3"/>
  <c r="M995" i="3"/>
  <c r="K995" i="3"/>
  <c r="J995" i="3"/>
  <c r="I995" i="3"/>
  <c r="H995" i="3"/>
  <c r="G995" i="3"/>
  <c r="F995" i="3"/>
  <c r="E995" i="3"/>
  <c r="D995" i="3"/>
  <c r="C995" i="3"/>
  <c r="B995" i="3"/>
  <c r="A995" i="3"/>
  <c r="S994" i="3"/>
  <c r="O994" i="3"/>
  <c r="M994" i="3"/>
  <c r="K994" i="3"/>
  <c r="J994" i="3"/>
  <c r="I994" i="3"/>
  <c r="H994" i="3"/>
  <c r="G994" i="3"/>
  <c r="F994" i="3"/>
  <c r="E994" i="3"/>
  <c r="D994" i="3"/>
  <c r="C994" i="3"/>
  <c r="B994" i="3"/>
  <c r="A994" i="3"/>
  <c r="S993" i="3"/>
  <c r="K993" i="3"/>
  <c r="J993" i="3"/>
  <c r="I993" i="3"/>
  <c r="H993" i="3"/>
  <c r="G993" i="3"/>
  <c r="F993" i="3"/>
  <c r="E993" i="3"/>
  <c r="D993" i="3"/>
  <c r="C993" i="3"/>
  <c r="B993" i="3"/>
  <c r="A993" i="3"/>
  <c r="S992" i="3"/>
  <c r="O992" i="3"/>
  <c r="M992" i="3"/>
  <c r="K992" i="3"/>
  <c r="J992" i="3"/>
  <c r="I992" i="3"/>
  <c r="H992" i="3"/>
  <c r="G992" i="3"/>
  <c r="F992" i="3"/>
  <c r="E992" i="3"/>
  <c r="D992" i="3"/>
  <c r="C992" i="3"/>
  <c r="B992" i="3"/>
  <c r="A992" i="3"/>
  <c r="S991" i="3"/>
  <c r="J991" i="3"/>
  <c r="I991" i="3"/>
  <c r="H991" i="3"/>
  <c r="G991" i="3"/>
  <c r="F991" i="3"/>
  <c r="E991" i="3"/>
  <c r="D991" i="3"/>
  <c r="C991" i="3"/>
  <c r="B991" i="3"/>
  <c r="A991" i="3"/>
  <c r="S990" i="3"/>
  <c r="O990" i="3"/>
  <c r="M990" i="3"/>
  <c r="K990" i="3"/>
  <c r="J990" i="3"/>
  <c r="I990" i="3"/>
  <c r="H990" i="3"/>
  <c r="G990" i="3"/>
  <c r="F990" i="3"/>
  <c r="E990" i="3"/>
  <c r="D990" i="3"/>
  <c r="C990" i="3"/>
  <c r="B990" i="3"/>
  <c r="A990" i="3"/>
  <c r="S989" i="3"/>
  <c r="J989" i="3"/>
  <c r="I989" i="3"/>
  <c r="H989" i="3"/>
  <c r="G989" i="3"/>
  <c r="F989" i="3"/>
  <c r="E989" i="3"/>
  <c r="D989" i="3"/>
  <c r="C989" i="3"/>
  <c r="B989" i="3"/>
  <c r="A989" i="3"/>
  <c r="S988" i="3"/>
  <c r="O988" i="3"/>
  <c r="M988" i="3"/>
  <c r="K988" i="3"/>
  <c r="J988" i="3"/>
  <c r="I988" i="3"/>
  <c r="H988" i="3"/>
  <c r="G988" i="3"/>
  <c r="F988" i="3"/>
  <c r="E988" i="3"/>
  <c r="D988" i="3"/>
  <c r="C988" i="3"/>
  <c r="B988" i="3"/>
  <c r="A988" i="3"/>
  <c r="S987" i="3"/>
  <c r="J987" i="3"/>
  <c r="I987" i="3"/>
  <c r="H987" i="3"/>
  <c r="G987" i="3"/>
  <c r="F987" i="3"/>
  <c r="E987" i="3"/>
  <c r="D987" i="3"/>
  <c r="C987" i="3"/>
  <c r="B987" i="3"/>
  <c r="A987" i="3"/>
  <c r="S986" i="3"/>
  <c r="K986" i="3"/>
  <c r="J986" i="3"/>
  <c r="I986" i="3"/>
  <c r="H986" i="3"/>
  <c r="G986" i="3"/>
  <c r="F986" i="3"/>
  <c r="E986" i="3"/>
  <c r="D986" i="3"/>
  <c r="C986" i="3"/>
  <c r="B986" i="3"/>
  <c r="A986" i="3"/>
  <c r="S985" i="3"/>
  <c r="J985" i="3"/>
  <c r="I985" i="3"/>
  <c r="H985" i="3"/>
  <c r="G985" i="3"/>
  <c r="F985" i="3"/>
  <c r="E985" i="3"/>
  <c r="D985" i="3"/>
  <c r="C985" i="3"/>
  <c r="B985" i="3"/>
  <c r="A985" i="3"/>
  <c r="S984" i="3"/>
  <c r="M984" i="3"/>
  <c r="K984" i="3"/>
  <c r="J984" i="3"/>
  <c r="I984" i="3"/>
  <c r="H984" i="3"/>
  <c r="G984" i="3"/>
  <c r="F984" i="3"/>
  <c r="E984" i="3"/>
  <c r="D984" i="3"/>
  <c r="C984" i="3"/>
  <c r="B984" i="3"/>
  <c r="A984" i="3"/>
  <c r="S983" i="3"/>
  <c r="M983" i="3"/>
  <c r="K983" i="3"/>
  <c r="J983" i="3"/>
  <c r="I983" i="3"/>
  <c r="H983" i="3"/>
  <c r="G983" i="3"/>
  <c r="F983" i="3"/>
  <c r="E983" i="3"/>
  <c r="D983" i="3"/>
  <c r="C983" i="3"/>
  <c r="B983" i="3"/>
  <c r="A983" i="3"/>
  <c r="S982" i="3"/>
  <c r="J982" i="3"/>
  <c r="I982" i="3"/>
  <c r="H982" i="3"/>
  <c r="G982" i="3"/>
  <c r="F982" i="3"/>
  <c r="E982" i="3"/>
  <c r="D982" i="3"/>
  <c r="C982" i="3"/>
  <c r="B982" i="3"/>
  <c r="A982" i="3"/>
  <c r="S981" i="3"/>
  <c r="M981" i="3"/>
  <c r="K981" i="3"/>
  <c r="J981" i="3"/>
  <c r="I981" i="3"/>
  <c r="H981" i="3"/>
  <c r="G981" i="3"/>
  <c r="F981" i="3"/>
  <c r="E981" i="3"/>
  <c r="D981" i="3"/>
  <c r="C981" i="3"/>
  <c r="B981" i="3"/>
  <c r="A981" i="3"/>
  <c r="S980" i="3"/>
  <c r="O980" i="3"/>
  <c r="M980" i="3"/>
  <c r="K980" i="3"/>
  <c r="J980" i="3"/>
  <c r="I980" i="3"/>
  <c r="H980" i="3"/>
  <c r="G980" i="3"/>
  <c r="F980" i="3"/>
  <c r="E980" i="3"/>
  <c r="D980" i="3"/>
  <c r="C980" i="3"/>
  <c r="B980" i="3"/>
  <c r="A980" i="3"/>
  <c r="S979" i="3"/>
  <c r="O979" i="3"/>
  <c r="M979" i="3"/>
  <c r="K979" i="3"/>
  <c r="J979" i="3"/>
  <c r="I979" i="3"/>
  <c r="H979" i="3"/>
  <c r="G979" i="3"/>
  <c r="F979" i="3"/>
  <c r="E979" i="3"/>
  <c r="D979" i="3"/>
  <c r="C979" i="3"/>
  <c r="B979" i="3"/>
  <c r="A979" i="3"/>
  <c r="S978" i="3"/>
  <c r="J978" i="3"/>
  <c r="I978" i="3"/>
  <c r="H978" i="3"/>
  <c r="G978" i="3"/>
  <c r="F978" i="3"/>
  <c r="E978" i="3"/>
  <c r="D978" i="3"/>
  <c r="C978" i="3"/>
  <c r="B978" i="3"/>
  <c r="A978" i="3"/>
  <c r="S977" i="3"/>
  <c r="O977" i="3"/>
  <c r="M977" i="3"/>
  <c r="K977" i="3"/>
  <c r="J977" i="3"/>
  <c r="I977" i="3"/>
  <c r="H977" i="3"/>
  <c r="G977" i="3"/>
  <c r="F977" i="3"/>
  <c r="E977" i="3"/>
  <c r="D977" i="3"/>
  <c r="C977" i="3"/>
  <c r="B977" i="3"/>
  <c r="A977" i="3"/>
  <c r="S976" i="3"/>
  <c r="O976" i="3"/>
  <c r="M976" i="3"/>
  <c r="K976" i="3"/>
  <c r="J976" i="3"/>
  <c r="I976" i="3"/>
  <c r="H976" i="3"/>
  <c r="G976" i="3"/>
  <c r="F976" i="3"/>
  <c r="E976" i="3"/>
  <c r="D976" i="3"/>
  <c r="C976" i="3"/>
  <c r="B976" i="3"/>
  <c r="A976" i="3"/>
  <c r="S975" i="3"/>
  <c r="J975" i="3"/>
  <c r="I975" i="3"/>
  <c r="H975" i="3"/>
  <c r="G975" i="3"/>
  <c r="F975" i="3"/>
  <c r="E975" i="3"/>
  <c r="D975" i="3"/>
  <c r="C975" i="3"/>
  <c r="B975" i="3"/>
  <c r="A975" i="3"/>
  <c r="S974" i="3"/>
  <c r="M974" i="3"/>
  <c r="K974" i="3"/>
  <c r="J974" i="3"/>
  <c r="I974" i="3"/>
  <c r="H974" i="3"/>
  <c r="G974" i="3"/>
  <c r="F974" i="3"/>
  <c r="E974" i="3"/>
  <c r="D974" i="3"/>
  <c r="C974" i="3"/>
  <c r="B974" i="3"/>
  <c r="A974" i="3"/>
  <c r="S973" i="3"/>
  <c r="O973" i="3"/>
  <c r="K973" i="3"/>
  <c r="J973" i="3"/>
  <c r="I973" i="3"/>
  <c r="H973" i="3"/>
  <c r="G973" i="3"/>
  <c r="F973" i="3"/>
  <c r="E973" i="3"/>
  <c r="D973" i="3"/>
  <c r="C973" i="3"/>
  <c r="B973" i="3"/>
  <c r="A973" i="3"/>
  <c r="S972" i="3"/>
  <c r="M972" i="3"/>
  <c r="K972" i="3"/>
  <c r="J972" i="3"/>
  <c r="I972" i="3"/>
  <c r="H972" i="3"/>
  <c r="G972" i="3"/>
  <c r="F972" i="3"/>
  <c r="E972" i="3"/>
  <c r="D972" i="3"/>
  <c r="C972" i="3"/>
  <c r="B972" i="3"/>
  <c r="A972" i="3"/>
  <c r="S971" i="3"/>
  <c r="J971" i="3"/>
  <c r="I971" i="3"/>
  <c r="H971" i="3"/>
  <c r="G971" i="3"/>
  <c r="F971" i="3"/>
  <c r="E971" i="3"/>
  <c r="D971" i="3"/>
  <c r="C971" i="3"/>
  <c r="B971" i="3"/>
  <c r="A971" i="3"/>
  <c r="S970" i="3"/>
  <c r="O970" i="3"/>
  <c r="M970" i="3"/>
  <c r="K970" i="3"/>
  <c r="J970" i="3"/>
  <c r="I970" i="3"/>
  <c r="H970" i="3"/>
  <c r="G970" i="3"/>
  <c r="F970" i="3"/>
  <c r="E970" i="3"/>
  <c r="D970" i="3"/>
  <c r="C970" i="3"/>
  <c r="B970" i="3"/>
  <c r="A970" i="3"/>
  <c r="S969" i="3"/>
  <c r="O969" i="3"/>
  <c r="M969" i="3"/>
  <c r="K969" i="3"/>
  <c r="J969" i="3"/>
  <c r="I969" i="3"/>
  <c r="H969" i="3"/>
  <c r="G969" i="3"/>
  <c r="F969" i="3"/>
  <c r="E969" i="3"/>
  <c r="D969" i="3"/>
  <c r="C969" i="3"/>
  <c r="B969" i="3"/>
  <c r="A969" i="3"/>
  <c r="S968" i="3"/>
  <c r="J968" i="3"/>
  <c r="I968" i="3"/>
  <c r="H968" i="3"/>
  <c r="G968" i="3"/>
  <c r="F968" i="3"/>
  <c r="E968" i="3"/>
  <c r="D968" i="3"/>
  <c r="C968" i="3"/>
  <c r="B968" i="3"/>
  <c r="A968" i="3"/>
  <c r="S967" i="3"/>
  <c r="J967" i="3"/>
  <c r="I967" i="3"/>
  <c r="H967" i="3"/>
  <c r="G967" i="3"/>
  <c r="F967" i="3"/>
  <c r="E967" i="3"/>
  <c r="D967" i="3"/>
  <c r="C967" i="3"/>
  <c r="B967" i="3"/>
  <c r="A967" i="3"/>
  <c r="S966" i="3"/>
  <c r="K966" i="3"/>
  <c r="J966" i="3"/>
  <c r="I966" i="3"/>
  <c r="H966" i="3"/>
  <c r="G966" i="3"/>
  <c r="F966" i="3"/>
  <c r="E966" i="3"/>
  <c r="D966" i="3"/>
  <c r="C966" i="3"/>
  <c r="B966" i="3"/>
  <c r="A966" i="3"/>
  <c r="S965" i="3"/>
  <c r="J965" i="3"/>
  <c r="I965" i="3"/>
  <c r="H965" i="3"/>
  <c r="G965" i="3"/>
  <c r="F965" i="3"/>
  <c r="E965" i="3"/>
  <c r="D965" i="3"/>
  <c r="C965" i="3"/>
  <c r="B965" i="3"/>
  <c r="A965" i="3"/>
  <c r="S964" i="3"/>
  <c r="J964" i="3"/>
  <c r="I964" i="3"/>
  <c r="H964" i="3"/>
  <c r="G964" i="3"/>
  <c r="F964" i="3"/>
  <c r="E964" i="3"/>
  <c r="D964" i="3"/>
  <c r="C964" i="3"/>
  <c r="B964" i="3"/>
  <c r="A964" i="3"/>
  <c r="S963" i="3"/>
  <c r="K963" i="3"/>
  <c r="J963" i="3"/>
  <c r="I963" i="3"/>
  <c r="H963" i="3"/>
  <c r="G963" i="3"/>
  <c r="F963" i="3"/>
  <c r="E963" i="3"/>
  <c r="D963" i="3"/>
  <c r="C963" i="3"/>
  <c r="B963" i="3"/>
  <c r="A963" i="3"/>
  <c r="S962" i="3"/>
  <c r="J962" i="3"/>
  <c r="I962" i="3"/>
  <c r="H962" i="3"/>
  <c r="G962" i="3"/>
  <c r="F962" i="3"/>
  <c r="E962" i="3"/>
  <c r="D962" i="3"/>
  <c r="C962" i="3"/>
  <c r="B962" i="3"/>
  <c r="A962" i="3"/>
  <c r="S961" i="3"/>
  <c r="O961" i="3"/>
  <c r="M961" i="3"/>
  <c r="K961" i="3"/>
  <c r="J961" i="3"/>
  <c r="I961" i="3"/>
  <c r="H961" i="3"/>
  <c r="G961" i="3"/>
  <c r="F961" i="3"/>
  <c r="E961" i="3"/>
  <c r="D961" i="3"/>
  <c r="C961" i="3"/>
  <c r="B961" i="3"/>
  <c r="A961" i="3"/>
  <c r="S960" i="3"/>
  <c r="M960" i="3"/>
  <c r="K960" i="3"/>
  <c r="J960" i="3"/>
  <c r="I960" i="3"/>
  <c r="H960" i="3"/>
  <c r="G960" i="3"/>
  <c r="F960" i="3"/>
  <c r="E960" i="3"/>
  <c r="D960" i="3"/>
  <c r="C960" i="3"/>
  <c r="B960" i="3"/>
  <c r="A960" i="3"/>
  <c r="S959" i="3"/>
  <c r="J959" i="3"/>
  <c r="I959" i="3"/>
  <c r="H959" i="3"/>
  <c r="G959" i="3"/>
  <c r="F959" i="3"/>
  <c r="E959" i="3"/>
  <c r="D959" i="3"/>
  <c r="C959" i="3"/>
  <c r="B959" i="3"/>
  <c r="A959" i="3"/>
  <c r="S958" i="3"/>
  <c r="O958" i="3"/>
  <c r="M958" i="3"/>
  <c r="K958" i="3"/>
  <c r="J958" i="3"/>
  <c r="I958" i="3"/>
  <c r="H958" i="3"/>
  <c r="G958" i="3"/>
  <c r="F958" i="3"/>
  <c r="E958" i="3"/>
  <c r="D958" i="3"/>
  <c r="C958" i="3"/>
  <c r="B958" i="3"/>
  <c r="A958" i="3"/>
  <c r="S957" i="3"/>
  <c r="M957" i="3"/>
  <c r="K957" i="3"/>
  <c r="J957" i="3"/>
  <c r="I957" i="3"/>
  <c r="H957" i="3"/>
  <c r="G957" i="3"/>
  <c r="F957" i="3"/>
  <c r="E957" i="3"/>
  <c r="D957" i="3"/>
  <c r="C957" i="3"/>
  <c r="B957" i="3"/>
  <c r="A957" i="3"/>
  <c r="S956" i="3"/>
  <c r="O956" i="3"/>
  <c r="M956" i="3"/>
  <c r="K956" i="3"/>
  <c r="J956" i="3"/>
  <c r="I956" i="3"/>
  <c r="H956" i="3"/>
  <c r="G956" i="3"/>
  <c r="F956" i="3"/>
  <c r="E956" i="3"/>
  <c r="D956" i="3"/>
  <c r="C956" i="3"/>
  <c r="B956" i="3"/>
  <c r="A956" i="3"/>
  <c r="S955" i="3"/>
  <c r="O955" i="3"/>
  <c r="M955" i="3"/>
  <c r="K955" i="3"/>
  <c r="J955" i="3"/>
  <c r="I955" i="3"/>
  <c r="H955" i="3"/>
  <c r="G955" i="3"/>
  <c r="F955" i="3"/>
  <c r="E955" i="3"/>
  <c r="D955" i="3"/>
  <c r="C955" i="3"/>
  <c r="B955" i="3"/>
  <c r="A955" i="3"/>
  <c r="S954" i="3"/>
  <c r="O954" i="3"/>
  <c r="K954" i="3"/>
  <c r="J954" i="3"/>
  <c r="I954" i="3"/>
  <c r="H954" i="3"/>
  <c r="G954" i="3"/>
  <c r="F954" i="3"/>
  <c r="E954" i="3"/>
  <c r="D954" i="3"/>
  <c r="C954" i="3"/>
  <c r="B954" i="3"/>
  <c r="A954" i="3"/>
  <c r="S953" i="3"/>
  <c r="Q953" i="3"/>
  <c r="O953" i="3"/>
  <c r="M953" i="3"/>
  <c r="K953" i="3"/>
  <c r="J953" i="3"/>
  <c r="I953" i="3"/>
  <c r="H953" i="3"/>
  <c r="G953" i="3"/>
  <c r="F953" i="3"/>
  <c r="E953" i="3"/>
  <c r="D953" i="3"/>
  <c r="C953" i="3"/>
  <c r="B953" i="3"/>
  <c r="A953" i="3"/>
  <c r="S952" i="3"/>
  <c r="Q952" i="3"/>
  <c r="J952" i="3"/>
  <c r="I952" i="3"/>
  <c r="H952" i="3"/>
  <c r="G952" i="3"/>
  <c r="F952" i="3"/>
  <c r="E952" i="3"/>
  <c r="D952" i="3"/>
  <c r="C952" i="3"/>
  <c r="B952" i="3"/>
  <c r="A952" i="3"/>
  <c r="S951" i="3"/>
  <c r="Q951" i="3"/>
  <c r="K951" i="3"/>
  <c r="J951" i="3"/>
  <c r="I951" i="3"/>
  <c r="H951" i="3"/>
  <c r="G951" i="3"/>
  <c r="F951" i="3"/>
  <c r="E951" i="3"/>
  <c r="D951" i="3"/>
  <c r="C951" i="3"/>
  <c r="B951" i="3"/>
  <c r="A951" i="3"/>
  <c r="S950" i="3"/>
  <c r="Q950" i="3"/>
  <c r="K950" i="3"/>
  <c r="J950" i="3"/>
  <c r="I950" i="3"/>
  <c r="H950" i="3"/>
  <c r="G950" i="3"/>
  <c r="F950" i="3"/>
  <c r="E950" i="3"/>
  <c r="D950" i="3"/>
  <c r="C950" i="3"/>
  <c r="B950" i="3"/>
  <c r="A950" i="3"/>
  <c r="S949" i="3"/>
  <c r="Q949" i="3"/>
  <c r="J949" i="3"/>
  <c r="I949" i="3"/>
  <c r="H949" i="3"/>
  <c r="G949" i="3"/>
  <c r="F949" i="3"/>
  <c r="E949" i="3"/>
  <c r="D949" i="3"/>
  <c r="C949" i="3"/>
  <c r="B949" i="3"/>
  <c r="A949" i="3"/>
  <c r="S948" i="3"/>
  <c r="Q948" i="3"/>
  <c r="O948" i="3"/>
  <c r="K948" i="3"/>
  <c r="J948" i="3"/>
  <c r="I948" i="3"/>
  <c r="H948" i="3"/>
  <c r="G948" i="3"/>
  <c r="F948" i="3"/>
  <c r="E948" i="3"/>
  <c r="D948" i="3"/>
  <c r="C948" i="3"/>
  <c r="B948" i="3"/>
  <c r="A948" i="3"/>
  <c r="S947" i="3"/>
  <c r="Q947" i="3"/>
  <c r="J947" i="3"/>
  <c r="I947" i="3"/>
  <c r="H947" i="3"/>
  <c r="G947" i="3"/>
  <c r="F947" i="3"/>
  <c r="E947" i="3"/>
  <c r="D947" i="3"/>
  <c r="C947" i="3"/>
  <c r="B947" i="3"/>
  <c r="A947" i="3"/>
  <c r="S946" i="3"/>
  <c r="Q946" i="3"/>
  <c r="O946" i="3"/>
  <c r="M946" i="3"/>
  <c r="K946" i="3"/>
  <c r="J946" i="3"/>
  <c r="I946" i="3"/>
  <c r="H946" i="3"/>
  <c r="G946" i="3"/>
  <c r="F946" i="3"/>
  <c r="E946" i="3"/>
  <c r="D946" i="3"/>
  <c r="C946" i="3"/>
  <c r="B946" i="3"/>
  <c r="A946" i="3"/>
  <c r="S945" i="3"/>
  <c r="Q945" i="3"/>
  <c r="M945" i="3"/>
  <c r="K945" i="3"/>
  <c r="J945" i="3"/>
  <c r="I945" i="3"/>
  <c r="H945" i="3"/>
  <c r="G945" i="3"/>
  <c r="F945" i="3"/>
  <c r="E945" i="3"/>
  <c r="D945" i="3"/>
  <c r="C945" i="3"/>
  <c r="B945" i="3"/>
  <c r="A945" i="3"/>
  <c r="S944" i="3"/>
  <c r="Q944" i="3"/>
  <c r="J944" i="3"/>
  <c r="I944" i="3"/>
  <c r="H944" i="3"/>
  <c r="G944" i="3"/>
  <c r="F944" i="3"/>
  <c r="E944" i="3"/>
  <c r="D944" i="3"/>
  <c r="C944" i="3"/>
  <c r="B944" i="3"/>
  <c r="A944" i="3"/>
  <c r="S943" i="3"/>
  <c r="Q943" i="3"/>
  <c r="J943" i="3"/>
  <c r="I943" i="3"/>
  <c r="H943" i="3"/>
  <c r="G943" i="3"/>
  <c r="F943" i="3"/>
  <c r="E943" i="3"/>
  <c r="D943" i="3"/>
  <c r="C943" i="3"/>
  <c r="B943" i="3"/>
  <c r="A943" i="3"/>
  <c r="S942" i="3"/>
  <c r="Q942" i="3"/>
  <c r="O942" i="3"/>
  <c r="K942" i="3"/>
  <c r="J942" i="3"/>
  <c r="I942" i="3"/>
  <c r="H942" i="3"/>
  <c r="G942" i="3"/>
  <c r="F942" i="3"/>
  <c r="E942" i="3"/>
  <c r="D942" i="3"/>
  <c r="C942" i="3"/>
  <c r="B942" i="3"/>
  <c r="A942" i="3"/>
  <c r="S941" i="3"/>
  <c r="Q941" i="3"/>
  <c r="O941" i="3"/>
  <c r="K941" i="3"/>
  <c r="J941" i="3"/>
  <c r="I941" i="3"/>
  <c r="H941" i="3"/>
  <c r="G941" i="3"/>
  <c r="F941" i="3"/>
  <c r="E941" i="3"/>
  <c r="D941" i="3"/>
  <c r="C941" i="3"/>
  <c r="B941" i="3"/>
  <c r="A941" i="3"/>
  <c r="S940" i="3"/>
  <c r="Q940" i="3"/>
  <c r="O940" i="3"/>
  <c r="M940" i="3"/>
  <c r="K940" i="3"/>
  <c r="J940" i="3"/>
  <c r="I940" i="3"/>
  <c r="H940" i="3"/>
  <c r="G940" i="3"/>
  <c r="F940" i="3"/>
  <c r="E940" i="3"/>
  <c r="D940" i="3"/>
  <c r="C940" i="3"/>
  <c r="B940" i="3"/>
  <c r="A940" i="3"/>
  <c r="S939" i="3"/>
  <c r="Q939" i="3"/>
  <c r="O939" i="3"/>
  <c r="M939" i="3"/>
  <c r="K939" i="3"/>
  <c r="J939" i="3"/>
  <c r="I939" i="3"/>
  <c r="H939" i="3"/>
  <c r="G939" i="3"/>
  <c r="F939" i="3"/>
  <c r="E939" i="3"/>
  <c r="D939" i="3"/>
  <c r="C939" i="3"/>
  <c r="B939" i="3"/>
  <c r="A939" i="3"/>
  <c r="T938" i="3"/>
  <c r="S938" i="3"/>
  <c r="Q938" i="3"/>
  <c r="M938" i="3"/>
  <c r="K938" i="3"/>
  <c r="J938" i="3"/>
  <c r="I938" i="3"/>
  <c r="H938" i="3"/>
  <c r="G938" i="3"/>
  <c r="F938" i="3"/>
  <c r="E938" i="3"/>
  <c r="D938" i="3"/>
  <c r="C938" i="3"/>
  <c r="B938" i="3"/>
  <c r="A938" i="3"/>
  <c r="T937" i="3"/>
  <c r="S937" i="3"/>
  <c r="Q937" i="3"/>
  <c r="M937" i="3"/>
  <c r="K937" i="3"/>
  <c r="J937" i="3"/>
  <c r="I937" i="3"/>
  <c r="H937" i="3"/>
  <c r="G937" i="3"/>
  <c r="F937" i="3"/>
  <c r="E937" i="3"/>
  <c r="D937" i="3"/>
  <c r="C937" i="3"/>
  <c r="B937" i="3"/>
  <c r="A937" i="3"/>
  <c r="T936" i="3"/>
  <c r="S936" i="3"/>
  <c r="Q936" i="3"/>
  <c r="M936" i="3"/>
  <c r="K936" i="3"/>
  <c r="J936" i="3"/>
  <c r="I936" i="3"/>
  <c r="H936" i="3"/>
  <c r="G936" i="3"/>
  <c r="F936" i="3"/>
  <c r="E936" i="3"/>
  <c r="D936" i="3"/>
  <c r="C936" i="3"/>
  <c r="B936" i="3"/>
  <c r="A936" i="3"/>
  <c r="T935" i="3"/>
  <c r="S935" i="3"/>
  <c r="Q935" i="3"/>
  <c r="J935" i="3"/>
  <c r="I935" i="3"/>
  <c r="H935" i="3"/>
  <c r="G935" i="3"/>
  <c r="F935" i="3"/>
  <c r="E935" i="3"/>
  <c r="D935" i="3"/>
  <c r="C935" i="3"/>
  <c r="B935" i="3"/>
  <c r="A935" i="3"/>
  <c r="T934" i="3"/>
  <c r="S934" i="3"/>
  <c r="Q934" i="3"/>
  <c r="O934" i="3"/>
  <c r="M934" i="3"/>
  <c r="K934" i="3"/>
  <c r="J934" i="3"/>
  <c r="I934" i="3"/>
  <c r="H934" i="3"/>
  <c r="G934" i="3"/>
  <c r="F934" i="3"/>
  <c r="E934" i="3"/>
  <c r="D934" i="3"/>
  <c r="C934" i="3"/>
  <c r="B934" i="3"/>
  <c r="A934" i="3"/>
  <c r="T933" i="3"/>
  <c r="S933" i="3"/>
  <c r="Q933" i="3"/>
  <c r="O933" i="3"/>
  <c r="M933" i="3"/>
  <c r="K933" i="3"/>
  <c r="J933" i="3"/>
  <c r="I933" i="3"/>
  <c r="H933" i="3"/>
  <c r="G933" i="3"/>
  <c r="F933" i="3"/>
  <c r="E933" i="3"/>
  <c r="D933" i="3"/>
  <c r="C933" i="3"/>
  <c r="B933" i="3"/>
  <c r="A933" i="3"/>
  <c r="T932" i="3"/>
  <c r="S932" i="3"/>
  <c r="Q932" i="3"/>
  <c r="O932" i="3"/>
  <c r="K932" i="3"/>
  <c r="J932" i="3"/>
  <c r="I932" i="3"/>
  <c r="H932" i="3"/>
  <c r="G932" i="3"/>
  <c r="F932" i="3"/>
  <c r="E932" i="3"/>
  <c r="D932" i="3"/>
  <c r="C932" i="3"/>
  <c r="B932" i="3"/>
  <c r="A932" i="3"/>
  <c r="T931" i="3"/>
  <c r="S931" i="3"/>
  <c r="Q931" i="3"/>
  <c r="O931" i="3"/>
  <c r="K931" i="3"/>
  <c r="J931" i="3"/>
  <c r="I931" i="3"/>
  <c r="H931" i="3"/>
  <c r="G931" i="3"/>
  <c r="F931" i="3"/>
  <c r="E931" i="3"/>
  <c r="D931" i="3"/>
  <c r="C931" i="3"/>
  <c r="B931" i="3"/>
  <c r="A931" i="3"/>
  <c r="T930" i="3"/>
  <c r="S930" i="3"/>
  <c r="Q930" i="3"/>
  <c r="O930" i="3"/>
  <c r="M930" i="3"/>
  <c r="K930" i="3"/>
  <c r="J930" i="3"/>
  <c r="I930" i="3"/>
  <c r="H930" i="3"/>
  <c r="G930" i="3"/>
  <c r="F930" i="3"/>
  <c r="E930" i="3"/>
  <c r="D930" i="3"/>
  <c r="C930" i="3"/>
  <c r="B930" i="3"/>
  <c r="A930" i="3"/>
  <c r="T929" i="3"/>
  <c r="S929" i="3"/>
  <c r="Q929" i="3"/>
  <c r="O929" i="3"/>
  <c r="M929" i="3"/>
  <c r="K929" i="3"/>
  <c r="J929" i="3"/>
  <c r="I929" i="3"/>
  <c r="H929" i="3"/>
  <c r="G929" i="3"/>
  <c r="F929" i="3"/>
  <c r="E929" i="3"/>
  <c r="D929" i="3"/>
  <c r="C929" i="3"/>
  <c r="B929" i="3"/>
  <c r="A929" i="3"/>
  <c r="T928" i="3"/>
  <c r="S928" i="3"/>
  <c r="Q928" i="3"/>
  <c r="J928" i="3"/>
  <c r="I928" i="3"/>
  <c r="H928" i="3"/>
  <c r="G928" i="3"/>
  <c r="F928" i="3"/>
  <c r="E928" i="3"/>
  <c r="D928" i="3"/>
  <c r="C928" i="3"/>
  <c r="B928" i="3"/>
  <c r="A928" i="3"/>
  <c r="T927" i="3"/>
  <c r="S927" i="3"/>
  <c r="Q927" i="3"/>
  <c r="J927" i="3"/>
  <c r="I927" i="3"/>
  <c r="H927" i="3"/>
  <c r="G927" i="3"/>
  <c r="F927" i="3"/>
  <c r="E927" i="3"/>
  <c r="D927" i="3"/>
  <c r="C927" i="3"/>
  <c r="B927" i="3"/>
  <c r="A927" i="3"/>
  <c r="T926" i="3"/>
  <c r="S926" i="3"/>
  <c r="Q926" i="3"/>
  <c r="J926" i="3"/>
  <c r="I926" i="3"/>
  <c r="H926" i="3"/>
  <c r="G926" i="3"/>
  <c r="F926" i="3"/>
  <c r="E926" i="3"/>
  <c r="D926" i="3"/>
  <c r="C926" i="3"/>
  <c r="B926" i="3"/>
  <c r="A926" i="3"/>
  <c r="T925" i="3"/>
  <c r="S925" i="3"/>
  <c r="Q925" i="3"/>
  <c r="O925" i="3"/>
  <c r="M925" i="3"/>
  <c r="K925" i="3"/>
  <c r="J925" i="3"/>
  <c r="I925" i="3"/>
  <c r="H925" i="3"/>
  <c r="G925" i="3"/>
  <c r="F925" i="3"/>
  <c r="E925" i="3"/>
  <c r="D925" i="3"/>
  <c r="C925" i="3"/>
  <c r="B925" i="3"/>
  <c r="A925" i="3"/>
  <c r="T924" i="3"/>
  <c r="S924" i="3"/>
  <c r="Q924" i="3"/>
  <c r="O924" i="3"/>
  <c r="M924" i="3"/>
  <c r="K924" i="3"/>
  <c r="J924" i="3"/>
  <c r="I924" i="3"/>
  <c r="H924" i="3"/>
  <c r="G924" i="3"/>
  <c r="F924" i="3"/>
  <c r="E924" i="3"/>
  <c r="D924" i="3"/>
  <c r="C924" i="3"/>
  <c r="B924" i="3"/>
  <c r="A924" i="3"/>
  <c r="T923" i="3"/>
  <c r="S923" i="3"/>
  <c r="Q923" i="3"/>
  <c r="J923" i="3"/>
  <c r="I923" i="3"/>
  <c r="H923" i="3"/>
  <c r="G923" i="3"/>
  <c r="F923" i="3"/>
  <c r="E923" i="3"/>
  <c r="D923" i="3"/>
  <c r="C923" i="3"/>
  <c r="B923" i="3"/>
  <c r="A923" i="3"/>
  <c r="T922" i="3"/>
  <c r="S922" i="3"/>
  <c r="Q922" i="3"/>
  <c r="O922" i="3"/>
  <c r="M922" i="3"/>
  <c r="K922" i="3"/>
  <c r="J922" i="3"/>
  <c r="I922" i="3"/>
  <c r="H922" i="3"/>
  <c r="G922" i="3"/>
  <c r="F922" i="3"/>
  <c r="E922" i="3"/>
  <c r="D922" i="3"/>
  <c r="C922" i="3"/>
  <c r="B922" i="3"/>
  <c r="A922" i="3"/>
  <c r="T921" i="3"/>
  <c r="S921" i="3"/>
  <c r="Q921" i="3"/>
  <c r="O921" i="3"/>
  <c r="M921" i="3"/>
  <c r="K921" i="3"/>
  <c r="J921" i="3"/>
  <c r="I921" i="3"/>
  <c r="H921" i="3"/>
  <c r="G921" i="3"/>
  <c r="F921" i="3"/>
  <c r="E921" i="3"/>
  <c r="D921" i="3"/>
  <c r="C921" i="3"/>
  <c r="B921" i="3"/>
  <c r="A921" i="3"/>
  <c r="T920" i="3"/>
  <c r="S920" i="3"/>
  <c r="Q920" i="3"/>
  <c r="O920" i="3"/>
  <c r="M920" i="3"/>
  <c r="K920" i="3"/>
  <c r="J920" i="3"/>
  <c r="I920" i="3"/>
  <c r="H920" i="3"/>
  <c r="G920" i="3"/>
  <c r="F920" i="3"/>
  <c r="E920" i="3"/>
  <c r="D920" i="3"/>
  <c r="C920" i="3"/>
  <c r="B920" i="3"/>
  <c r="A920" i="3"/>
  <c r="T919" i="3"/>
  <c r="S919" i="3"/>
  <c r="Q919" i="3"/>
  <c r="M919" i="3"/>
  <c r="K919" i="3"/>
  <c r="J919" i="3"/>
  <c r="I919" i="3"/>
  <c r="H919" i="3"/>
  <c r="G919" i="3"/>
  <c r="F919" i="3"/>
  <c r="E919" i="3"/>
  <c r="D919" i="3"/>
  <c r="C919" i="3"/>
  <c r="B919" i="3"/>
  <c r="A919" i="3"/>
  <c r="T918" i="3"/>
  <c r="S918" i="3"/>
  <c r="Q918" i="3"/>
  <c r="M918" i="3"/>
  <c r="K918" i="3"/>
  <c r="J918" i="3"/>
  <c r="I918" i="3"/>
  <c r="H918" i="3"/>
  <c r="G918" i="3"/>
  <c r="F918" i="3"/>
  <c r="E918" i="3"/>
  <c r="D918" i="3"/>
  <c r="C918" i="3"/>
  <c r="B918" i="3"/>
  <c r="A918" i="3"/>
  <c r="T917" i="3"/>
  <c r="S917" i="3"/>
  <c r="Q917" i="3"/>
  <c r="K917" i="3"/>
  <c r="J917" i="3"/>
  <c r="I917" i="3"/>
  <c r="H917" i="3"/>
  <c r="G917" i="3"/>
  <c r="F917" i="3"/>
  <c r="E917" i="3"/>
  <c r="D917" i="3"/>
  <c r="C917" i="3"/>
  <c r="B917" i="3"/>
  <c r="A917" i="3"/>
  <c r="T916" i="3"/>
  <c r="S916" i="3"/>
  <c r="Q916" i="3"/>
  <c r="J916" i="3"/>
  <c r="I916" i="3"/>
  <c r="H916" i="3"/>
  <c r="G916" i="3"/>
  <c r="F916" i="3"/>
  <c r="E916" i="3"/>
  <c r="D916" i="3"/>
  <c r="C916" i="3"/>
  <c r="B916" i="3"/>
  <c r="A916" i="3"/>
  <c r="T915" i="3"/>
  <c r="S915" i="3"/>
  <c r="Q915" i="3"/>
  <c r="O915" i="3"/>
  <c r="K915" i="3"/>
  <c r="J915" i="3"/>
  <c r="I915" i="3"/>
  <c r="H915" i="3"/>
  <c r="G915" i="3"/>
  <c r="F915" i="3"/>
  <c r="E915" i="3"/>
  <c r="D915" i="3"/>
  <c r="C915" i="3"/>
  <c r="B915" i="3"/>
  <c r="A915" i="3"/>
  <c r="T914" i="3"/>
  <c r="S914" i="3"/>
  <c r="Q914" i="3"/>
  <c r="O914" i="3"/>
  <c r="K914" i="3"/>
  <c r="J914" i="3"/>
  <c r="I914" i="3"/>
  <c r="H914" i="3"/>
  <c r="G914" i="3"/>
  <c r="F914" i="3"/>
  <c r="E914" i="3"/>
  <c r="D914" i="3"/>
  <c r="C914" i="3"/>
  <c r="B914" i="3"/>
  <c r="A914" i="3"/>
  <c r="T913" i="3"/>
  <c r="S913" i="3"/>
  <c r="Q913" i="3"/>
  <c r="K913" i="3"/>
  <c r="J913" i="3"/>
  <c r="I913" i="3"/>
  <c r="H913" i="3"/>
  <c r="G913" i="3"/>
  <c r="F913" i="3"/>
  <c r="E913" i="3"/>
  <c r="D913" i="3"/>
  <c r="C913" i="3"/>
  <c r="B913" i="3"/>
  <c r="A913" i="3"/>
  <c r="T912" i="3"/>
  <c r="S912" i="3"/>
  <c r="Q912" i="3"/>
  <c r="K912" i="3"/>
  <c r="J912" i="3"/>
  <c r="I912" i="3"/>
  <c r="H912" i="3"/>
  <c r="G912" i="3"/>
  <c r="F912" i="3"/>
  <c r="E912" i="3"/>
  <c r="D912" i="3"/>
  <c r="C912" i="3"/>
  <c r="B912" i="3"/>
  <c r="A912" i="3"/>
  <c r="T911" i="3"/>
  <c r="S911" i="3"/>
  <c r="Q911" i="3"/>
  <c r="O911" i="3"/>
  <c r="K911" i="3"/>
  <c r="J911" i="3"/>
  <c r="I911" i="3"/>
  <c r="H911" i="3"/>
  <c r="G911" i="3"/>
  <c r="F911" i="3"/>
  <c r="E911" i="3"/>
  <c r="D911" i="3"/>
  <c r="C911" i="3"/>
  <c r="B911" i="3"/>
  <c r="A911" i="3"/>
  <c r="T910" i="3"/>
  <c r="S910" i="3"/>
  <c r="Q910" i="3"/>
  <c r="M910" i="3"/>
  <c r="K910" i="3"/>
  <c r="J910" i="3"/>
  <c r="I910" i="3"/>
  <c r="H910" i="3"/>
  <c r="G910" i="3"/>
  <c r="F910" i="3"/>
  <c r="E910" i="3"/>
  <c r="D910" i="3"/>
  <c r="C910" i="3"/>
  <c r="B910" i="3"/>
  <c r="A910" i="3"/>
  <c r="T909" i="3"/>
  <c r="S909" i="3"/>
  <c r="Q909" i="3"/>
  <c r="O909" i="3"/>
  <c r="M909" i="3"/>
  <c r="K909" i="3"/>
  <c r="J909" i="3"/>
  <c r="I909" i="3"/>
  <c r="H909" i="3"/>
  <c r="G909" i="3"/>
  <c r="F909" i="3"/>
  <c r="E909" i="3"/>
  <c r="D909" i="3"/>
  <c r="C909" i="3"/>
  <c r="B909" i="3"/>
  <c r="A909" i="3"/>
  <c r="T908" i="3"/>
  <c r="S908" i="3"/>
  <c r="Q908" i="3"/>
  <c r="J908" i="3"/>
  <c r="I908" i="3"/>
  <c r="H908" i="3"/>
  <c r="G908" i="3"/>
  <c r="F908" i="3"/>
  <c r="E908" i="3"/>
  <c r="D908" i="3"/>
  <c r="C908" i="3"/>
  <c r="B908" i="3"/>
  <c r="A908" i="3"/>
  <c r="T907" i="3"/>
  <c r="S907" i="3"/>
  <c r="Q907" i="3"/>
  <c r="O907" i="3"/>
  <c r="K907" i="3"/>
  <c r="J907" i="3"/>
  <c r="I907" i="3"/>
  <c r="H907" i="3"/>
  <c r="G907" i="3"/>
  <c r="F907" i="3"/>
  <c r="E907" i="3"/>
  <c r="D907" i="3"/>
  <c r="C907" i="3"/>
  <c r="B907" i="3"/>
  <c r="A907" i="3"/>
  <c r="T906" i="3"/>
  <c r="S906" i="3"/>
  <c r="Q906" i="3"/>
  <c r="J906" i="3"/>
  <c r="I906" i="3"/>
  <c r="H906" i="3"/>
  <c r="G906" i="3"/>
  <c r="F906" i="3"/>
  <c r="E906" i="3"/>
  <c r="D906" i="3"/>
  <c r="C906" i="3"/>
  <c r="B906" i="3"/>
  <c r="A906" i="3"/>
  <c r="T905" i="3"/>
  <c r="S905" i="3"/>
  <c r="Q905" i="3"/>
  <c r="J905" i="3"/>
  <c r="I905" i="3"/>
  <c r="H905" i="3"/>
  <c r="G905" i="3"/>
  <c r="F905" i="3"/>
  <c r="E905" i="3"/>
  <c r="D905" i="3"/>
  <c r="C905" i="3"/>
  <c r="B905" i="3"/>
  <c r="A905" i="3"/>
  <c r="T904" i="3"/>
  <c r="S904" i="3"/>
  <c r="Q904" i="3"/>
  <c r="J904" i="3"/>
  <c r="I904" i="3"/>
  <c r="H904" i="3"/>
  <c r="G904" i="3"/>
  <c r="F904" i="3"/>
  <c r="E904" i="3"/>
  <c r="D904" i="3"/>
  <c r="C904" i="3"/>
  <c r="B904" i="3"/>
  <c r="A904" i="3"/>
  <c r="T903" i="3"/>
  <c r="S903" i="3"/>
  <c r="Q903" i="3"/>
  <c r="J903" i="3"/>
  <c r="I903" i="3"/>
  <c r="H903" i="3"/>
  <c r="G903" i="3"/>
  <c r="F903" i="3"/>
  <c r="E903" i="3"/>
  <c r="D903" i="3"/>
  <c r="C903" i="3"/>
  <c r="B903" i="3"/>
  <c r="A903" i="3"/>
  <c r="T902" i="3"/>
  <c r="S902" i="3"/>
  <c r="Q902" i="3"/>
  <c r="J902" i="3"/>
  <c r="I902" i="3"/>
  <c r="H902" i="3"/>
  <c r="G902" i="3"/>
  <c r="F902" i="3"/>
  <c r="E902" i="3"/>
  <c r="D902" i="3"/>
  <c r="C902" i="3"/>
  <c r="B902" i="3"/>
  <c r="A902" i="3"/>
  <c r="T901" i="3"/>
  <c r="S901" i="3"/>
  <c r="Q901" i="3"/>
  <c r="J901" i="3"/>
  <c r="I901" i="3"/>
  <c r="H901" i="3"/>
  <c r="G901" i="3"/>
  <c r="F901" i="3"/>
  <c r="E901" i="3"/>
  <c r="D901" i="3"/>
  <c r="C901" i="3"/>
  <c r="B901" i="3"/>
  <c r="A901" i="3"/>
  <c r="T900" i="3"/>
  <c r="S900" i="3"/>
  <c r="Q900" i="3"/>
  <c r="O900" i="3"/>
  <c r="M900" i="3"/>
  <c r="K900" i="3"/>
  <c r="J900" i="3"/>
  <c r="I900" i="3"/>
  <c r="H900" i="3"/>
  <c r="G900" i="3"/>
  <c r="F900" i="3"/>
  <c r="E900" i="3"/>
  <c r="D900" i="3"/>
  <c r="C900" i="3"/>
  <c r="B900" i="3"/>
  <c r="A900" i="3"/>
  <c r="T899" i="3"/>
  <c r="S899" i="3"/>
  <c r="Q899" i="3"/>
  <c r="O899" i="3"/>
  <c r="M899" i="3"/>
  <c r="K899" i="3"/>
  <c r="J899" i="3"/>
  <c r="I899" i="3"/>
  <c r="H899" i="3"/>
  <c r="G899" i="3"/>
  <c r="F899" i="3"/>
  <c r="E899" i="3"/>
  <c r="D899" i="3"/>
  <c r="C899" i="3"/>
  <c r="B899" i="3"/>
  <c r="A899" i="3"/>
  <c r="T898" i="3"/>
  <c r="S898" i="3"/>
  <c r="Q898" i="3"/>
  <c r="J898" i="3"/>
  <c r="I898" i="3"/>
  <c r="H898" i="3"/>
  <c r="G898" i="3"/>
  <c r="F898" i="3"/>
  <c r="E898" i="3"/>
  <c r="D898" i="3"/>
  <c r="C898" i="3"/>
  <c r="B898" i="3"/>
  <c r="A898" i="3"/>
  <c r="T897" i="3"/>
  <c r="S897" i="3"/>
  <c r="Q897" i="3"/>
  <c r="O897" i="3"/>
  <c r="M897" i="3"/>
  <c r="K897" i="3"/>
  <c r="J897" i="3"/>
  <c r="I897" i="3"/>
  <c r="H897" i="3"/>
  <c r="G897" i="3"/>
  <c r="F897" i="3"/>
  <c r="E897" i="3"/>
  <c r="D897" i="3"/>
  <c r="C897" i="3"/>
  <c r="B897" i="3"/>
  <c r="A897" i="3"/>
  <c r="T896" i="3"/>
  <c r="S896" i="3"/>
  <c r="Q896" i="3"/>
  <c r="J896" i="3"/>
  <c r="I896" i="3"/>
  <c r="H896" i="3"/>
  <c r="G896" i="3"/>
  <c r="F896" i="3"/>
  <c r="E896" i="3"/>
  <c r="D896" i="3"/>
  <c r="C896" i="3"/>
  <c r="B896" i="3"/>
  <c r="A896" i="3"/>
  <c r="T895" i="3"/>
  <c r="S895" i="3"/>
  <c r="Q895" i="3"/>
  <c r="J895" i="3"/>
  <c r="I895" i="3"/>
  <c r="H895" i="3"/>
  <c r="G895" i="3"/>
  <c r="F895" i="3"/>
  <c r="E895" i="3"/>
  <c r="D895" i="3"/>
  <c r="C895" i="3"/>
  <c r="B895" i="3"/>
  <c r="A895" i="3"/>
  <c r="T894" i="3"/>
  <c r="S894" i="3"/>
  <c r="Q894" i="3"/>
  <c r="J894" i="3"/>
  <c r="I894" i="3"/>
  <c r="H894" i="3"/>
  <c r="G894" i="3"/>
  <c r="F894" i="3"/>
  <c r="E894" i="3"/>
  <c r="D894" i="3"/>
  <c r="C894" i="3"/>
  <c r="B894" i="3"/>
  <c r="A894" i="3"/>
  <c r="T893" i="3"/>
  <c r="S893" i="3"/>
  <c r="Q893" i="3"/>
  <c r="J893" i="3"/>
  <c r="I893" i="3"/>
  <c r="H893" i="3"/>
  <c r="G893" i="3"/>
  <c r="F893" i="3"/>
  <c r="E893" i="3"/>
  <c r="D893" i="3"/>
  <c r="C893" i="3"/>
  <c r="B893" i="3"/>
  <c r="A893" i="3"/>
  <c r="T892" i="3"/>
  <c r="S892" i="3"/>
  <c r="Q892" i="3"/>
  <c r="J892" i="3"/>
  <c r="I892" i="3"/>
  <c r="H892" i="3"/>
  <c r="G892" i="3"/>
  <c r="F892" i="3"/>
  <c r="E892" i="3"/>
  <c r="D892" i="3"/>
  <c r="C892" i="3"/>
  <c r="B892" i="3"/>
  <c r="A892" i="3"/>
  <c r="T891" i="3"/>
  <c r="S891" i="3"/>
  <c r="Q891" i="3"/>
  <c r="K891" i="3"/>
  <c r="J891" i="3"/>
  <c r="I891" i="3"/>
  <c r="H891" i="3"/>
  <c r="G891" i="3"/>
  <c r="F891" i="3"/>
  <c r="E891" i="3"/>
  <c r="D891" i="3"/>
  <c r="C891" i="3"/>
  <c r="B891" i="3"/>
  <c r="A891" i="3"/>
  <c r="T890" i="3"/>
  <c r="S890" i="3"/>
  <c r="Q890" i="3"/>
  <c r="J890" i="3"/>
  <c r="I890" i="3"/>
  <c r="H890" i="3"/>
  <c r="G890" i="3"/>
  <c r="F890" i="3"/>
  <c r="E890" i="3"/>
  <c r="D890" i="3"/>
  <c r="C890" i="3"/>
  <c r="B890" i="3"/>
  <c r="A890" i="3"/>
  <c r="T889" i="3"/>
  <c r="S889" i="3"/>
  <c r="Q889" i="3"/>
  <c r="J889" i="3"/>
  <c r="I889" i="3"/>
  <c r="H889" i="3"/>
  <c r="G889" i="3"/>
  <c r="F889" i="3"/>
  <c r="E889" i="3"/>
  <c r="D889" i="3"/>
  <c r="C889" i="3"/>
  <c r="B889" i="3"/>
  <c r="A889" i="3"/>
  <c r="T888" i="3"/>
  <c r="S888" i="3"/>
  <c r="Q888" i="3"/>
  <c r="J888" i="3"/>
  <c r="I888" i="3"/>
  <c r="H888" i="3"/>
  <c r="G888" i="3"/>
  <c r="F888" i="3"/>
  <c r="E888" i="3"/>
  <c r="D888" i="3"/>
  <c r="C888" i="3"/>
  <c r="B888" i="3"/>
  <c r="A888" i="3"/>
  <c r="T887" i="3"/>
  <c r="S887" i="3"/>
  <c r="Q887" i="3"/>
  <c r="O887" i="3"/>
  <c r="M887" i="3"/>
  <c r="K887" i="3"/>
  <c r="J887" i="3"/>
  <c r="I887" i="3"/>
  <c r="H887" i="3"/>
  <c r="G887" i="3"/>
  <c r="F887" i="3"/>
  <c r="E887" i="3"/>
  <c r="D887" i="3"/>
  <c r="C887" i="3"/>
  <c r="B887" i="3"/>
  <c r="A887" i="3"/>
  <c r="T886" i="3"/>
  <c r="S886" i="3"/>
  <c r="Q886" i="3"/>
  <c r="J886" i="3"/>
  <c r="I886" i="3"/>
  <c r="H886" i="3"/>
  <c r="G886" i="3"/>
  <c r="F886" i="3"/>
  <c r="E886" i="3"/>
  <c r="D886" i="3"/>
  <c r="C886" i="3"/>
  <c r="B886" i="3"/>
  <c r="A886" i="3"/>
  <c r="T885" i="3"/>
  <c r="S885" i="3"/>
  <c r="Q885" i="3"/>
  <c r="O885" i="3"/>
  <c r="M885" i="3"/>
  <c r="K885" i="3"/>
  <c r="J885" i="3"/>
  <c r="I885" i="3"/>
  <c r="H885" i="3"/>
  <c r="G885" i="3"/>
  <c r="F885" i="3"/>
  <c r="E885" i="3"/>
  <c r="D885" i="3"/>
  <c r="C885" i="3"/>
  <c r="B885" i="3"/>
  <c r="A885" i="3"/>
  <c r="T884" i="3"/>
  <c r="S884" i="3"/>
  <c r="Q884" i="3"/>
  <c r="J884" i="3"/>
  <c r="I884" i="3"/>
  <c r="H884" i="3"/>
  <c r="G884" i="3"/>
  <c r="F884" i="3"/>
  <c r="E884" i="3"/>
  <c r="D884" i="3"/>
  <c r="C884" i="3"/>
  <c r="B884" i="3"/>
  <c r="A884" i="3"/>
  <c r="T883" i="3"/>
  <c r="S883" i="3"/>
  <c r="Q883" i="3"/>
  <c r="O883" i="3"/>
  <c r="M883" i="3"/>
  <c r="K883" i="3"/>
  <c r="J883" i="3"/>
  <c r="I883" i="3"/>
  <c r="H883" i="3"/>
  <c r="G883" i="3"/>
  <c r="F883" i="3"/>
  <c r="E883" i="3"/>
  <c r="D883" i="3"/>
  <c r="C883" i="3"/>
  <c r="B883" i="3"/>
  <c r="A883" i="3"/>
  <c r="T882" i="3"/>
  <c r="S882" i="3"/>
  <c r="Q882" i="3"/>
  <c r="O882" i="3"/>
  <c r="M882" i="3"/>
  <c r="K882" i="3"/>
  <c r="J882" i="3"/>
  <c r="I882" i="3"/>
  <c r="H882" i="3"/>
  <c r="G882" i="3"/>
  <c r="F882" i="3"/>
  <c r="E882" i="3"/>
  <c r="D882" i="3"/>
  <c r="C882" i="3"/>
  <c r="B882" i="3"/>
  <c r="A882" i="3"/>
  <c r="T881" i="3"/>
  <c r="S881" i="3"/>
  <c r="Q881" i="3"/>
  <c r="O881" i="3"/>
  <c r="M881" i="3"/>
  <c r="K881" i="3"/>
  <c r="J881" i="3"/>
  <c r="I881" i="3"/>
  <c r="H881" i="3"/>
  <c r="G881" i="3"/>
  <c r="F881" i="3"/>
  <c r="E881" i="3"/>
  <c r="D881" i="3"/>
  <c r="C881" i="3"/>
  <c r="B881" i="3"/>
  <c r="A881" i="3"/>
  <c r="T880" i="3"/>
  <c r="S880" i="3"/>
  <c r="Q880" i="3"/>
  <c r="O880" i="3"/>
  <c r="M880" i="3"/>
  <c r="K880" i="3"/>
  <c r="J880" i="3"/>
  <c r="I880" i="3"/>
  <c r="H880" i="3"/>
  <c r="G880" i="3"/>
  <c r="F880" i="3"/>
  <c r="E880" i="3"/>
  <c r="D880" i="3"/>
  <c r="C880" i="3"/>
  <c r="B880" i="3"/>
  <c r="A880" i="3"/>
  <c r="T879" i="3"/>
  <c r="S879" i="3"/>
  <c r="Q879" i="3"/>
  <c r="O879" i="3"/>
  <c r="M879" i="3"/>
  <c r="K879" i="3"/>
  <c r="J879" i="3"/>
  <c r="I879" i="3"/>
  <c r="H879" i="3"/>
  <c r="G879" i="3"/>
  <c r="F879" i="3"/>
  <c r="E879" i="3"/>
  <c r="D879" i="3"/>
  <c r="C879" i="3"/>
  <c r="B879" i="3"/>
  <c r="A879" i="3"/>
  <c r="T878" i="3"/>
  <c r="S878" i="3"/>
  <c r="Q878" i="3"/>
  <c r="M878" i="3"/>
  <c r="K878" i="3"/>
  <c r="J878" i="3"/>
  <c r="I878" i="3"/>
  <c r="H878" i="3"/>
  <c r="G878" i="3"/>
  <c r="F878" i="3"/>
  <c r="E878" i="3"/>
  <c r="D878" i="3"/>
  <c r="C878" i="3"/>
  <c r="B878" i="3"/>
  <c r="A878" i="3"/>
  <c r="T877" i="3"/>
  <c r="S877" i="3"/>
  <c r="Q877" i="3"/>
  <c r="O877" i="3"/>
  <c r="M877" i="3"/>
  <c r="K877" i="3"/>
  <c r="J877" i="3"/>
  <c r="I877" i="3"/>
  <c r="H877" i="3"/>
  <c r="G877" i="3"/>
  <c r="F877" i="3"/>
  <c r="E877" i="3"/>
  <c r="D877" i="3"/>
  <c r="C877" i="3"/>
  <c r="B877" i="3"/>
  <c r="A877" i="3"/>
  <c r="T876" i="3"/>
  <c r="S876" i="3"/>
  <c r="Q876" i="3"/>
  <c r="J876" i="3"/>
  <c r="I876" i="3"/>
  <c r="H876" i="3"/>
  <c r="G876" i="3"/>
  <c r="F876" i="3"/>
  <c r="E876" i="3"/>
  <c r="D876" i="3"/>
  <c r="C876" i="3"/>
  <c r="B876" i="3"/>
  <c r="A876" i="3"/>
  <c r="T875" i="3"/>
  <c r="S875" i="3"/>
  <c r="Q875" i="3"/>
  <c r="J875" i="3"/>
  <c r="I875" i="3"/>
  <c r="H875" i="3"/>
  <c r="G875" i="3"/>
  <c r="F875" i="3"/>
  <c r="E875" i="3"/>
  <c r="D875" i="3"/>
  <c r="C875" i="3"/>
  <c r="B875" i="3"/>
  <c r="A875" i="3"/>
  <c r="T874" i="3"/>
  <c r="S874" i="3"/>
  <c r="Q874" i="3"/>
  <c r="O874" i="3"/>
  <c r="M874" i="3"/>
  <c r="K874" i="3"/>
  <c r="J874" i="3"/>
  <c r="I874" i="3"/>
  <c r="H874" i="3"/>
  <c r="G874" i="3"/>
  <c r="F874" i="3"/>
  <c r="E874" i="3"/>
  <c r="D874" i="3"/>
  <c r="C874" i="3"/>
  <c r="B874" i="3"/>
  <c r="A874" i="3"/>
  <c r="T873" i="3"/>
  <c r="S873" i="3"/>
  <c r="Q873" i="3"/>
  <c r="O873" i="3"/>
  <c r="K873" i="3"/>
  <c r="J873" i="3"/>
  <c r="I873" i="3"/>
  <c r="H873" i="3"/>
  <c r="G873" i="3"/>
  <c r="F873" i="3"/>
  <c r="E873" i="3"/>
  <c r="D873" i="3"/>
  <c r="C873" i="3"/>
  <c r="B873" i="3"/>
  <c r="A873" i="3"/>
  <c r="T872" i="3"/>
  <c r="S872" i="3"/>
  <c r="Q872" i="3"/>
  <c r="O872" i="3"/>
  <c r="M872" i="3"/>
  <c r="K872" i="3"/>
  <c r="J872" i="3"/>
  <c r="I872" i="3"/>
  <c r="H872" i="3"/>
  <c r="G872" i="3"/>
  <c r="F872" i="3"/>
  <c r="E872" i="3"/>
  <c r="D872" i="3"/>
  <c r="C872" i="3"/>
  <c r="B872" i="3"/>
  <c r="A872" i="3"/>
  <c r="T871" i="3"/>
  <c r="S871" i="3"/>
  <c r="Q871" i="3"/>
  <c r="O871" i="3"/>
  <c r="K871" i="3"/>
  <c r="J871" i="3"/>
  <c r="I871" i="3"/>
  <c r="H871" i="3"/>
  <c r="G871" i="3"/>
  <c r="F871" i="3"/>
  <c r="E871" i="3"/>
  <c r="D871" i="3"/>
  <c r="C871" i="3"/>
  <c r="B871" i="3"/>
  <c r="A871" i="3"/>
  <c r="T870" i="3"/>
  <c r="S870" i="3"/>
  <c r="Q870" i="3"/>
  <c r="O870" i="3"/>
  <c r="K870" i="3"/>
  <c r="J870" i="3"/>
  <c r="I870" i="3"/>
  <c r="H870" i="3"/>
  <c r="G870" i="3"/>
  <c r="F870" i="3"/>
  <c r="E870" i="3"/>
  <c r="D870" i="3"/>
  <c r="C870" i="3"/>
  <c r="B870" i="3"/>
  <c r="A870" i="3"/>
  <c r="T869" i="3"/>
  <c r="S869" i="3"/>
  <c r="Q869" i="3"/>
  <c r="O869" i="3"/>
  <c r="M869" i="3"/>
  <c r="K869" i="3"/>
  <c r="J869" i="3"/>
  <c r="I869" i="3"/>
  <c r="H869" i="3"/>
  <c r="G869" i="3"/>
  <c r="F869" i="3"/>
  <c r="E869" i="3"/>
  <c r="D869" i="3"/>
  <c r="C869" i="3"/>
  <c r="B869" i="3"/>
  <c r="A869" i="3"/>
  <c r="T868" i="3"/>
  <c r="S868" i="3"/>
  <c r="Q868" i="3"/>
  <c r="O868" i="3"/>
  <c r="M868" i="3"/>
  <c r="K868" i="3"/>
  <c r="J868" i="3"/>
  <c r="I868" i="3"/>
  <c r="H868" i="3"/>
  <c r="G868" i="3"/>
  <c r="F868" i="3"/>
  <c r="E868" i="3"/>
  <c r="D868" i="3"/>
  <c r="C868" i="3"/>
  <c r="B868" i="3"/>
  <c r="A868" i="3"/>
  <c r="T867" i="3"/>
  <c r="S867" i="3"/>
  <c r="Q867" i="3"/>
  <c r="M867" i="3"/>
  <c r="K867" i="3"/>
  <c r="J867" i="3"/>
  <c r="I867" i="3"/>
  <c r="H867" i="3"/>
  <c r="G867" i="3"/>
  <c r="F867" i="3"/>
  <c r="E867" i="3"/>
  <c r="D867" i="3"/>
  <c r="C867" i="3"/>
  <c r="B867" i="3"/>
  <c r="A867" i="3"/>
  <c r="T866" i="3"/>
  <c r="S866" i="3"/>
  <c r="Q866" i="3"/>
  <c r="J866" i="3"/>
  <c r="I866" i="3"/>
  <c r="H866" i="3"/>
  <c r="G866" i="3"/>
  <c r="F866" i="3"/>
  <c r="E866" i="3"/>
  <c r="D866" i="3"/>
  <c r="C866" i="3"/>
  <c r="B866" i="3"/>
  <c r="A866" i="3"/>
  <c r="T865" i="3"/>
  <c r="S865" i="3"/>
  <c r="Q865" i="3"/>
  <c r="O865" i="3"/>
  <c r="K865" i="3"/>
  <c r="J865" i="3"/>
  <c r="I865" i="3"/>
  <c r="H865" i="3"/>
  <c r="G865" i="3"/>
  <c r="F865" i="3"/>
  <c r="E865" i="3"/>
  <c r="D865" i="3"/>
  <c r="C865" i="3"/>
  <c r="B865" i="3"/>
  <c r="A865" i="3"/>
  <c r="T864" i="3"/>
  <c r="S864" i="3"/>
  <c r="Q864" i="3"/>
  <c r="O864" i="3"/>
  <c r="M864" i="3"/>
  <c r="K864" i="3"/>
  <c r="J864" i="3"/>
  <c r="I864" i="3"/>
  <c r="H864" i="3"/>
  <c r="G864" i="3"/>
  <c r="F864" i="3"/>
  <c r="E864" i="3"/>
  <c r="D864" i="3"/>
  <c r="C864" i="3"/>
  <c r="B864" i="3"/>
  <c r="A864" i="3"/>
  <c r="T863" i="3"/>
  <c r="S863" i="3"/>
  <c r="Q863" i="3"/>
  <c r="M863" i="3"/>
  <c r="K863" i="3"/>
  <c r="J863" i="3"/>
  <c r="I863" i="3"/>
  <c r="H863" i="3"/>
  <c r="G863" i="3"/>
  <c r="F863" i="3"/>
  <c r="E863" i="3"/>
  <c r="D863" i="3"/>
  <c r="C863" i="3"/>
  <c r="B863" i="3"/>
  <c r="A863" i="3"/>
  <c r="T862" i="3"/>
  <c r="S862" i="3"/>
  <c r="Q862" i="3"/>
  <c r="M862" i="3"/>
  <c r="K862" i="3"/>
  <c r="J862" i="3"/>
  <c r="I862" i="3"/>
  <c r="H862" i="3"/>
  <c r="G862" i="3"/>
  <c r="F862" i="3"/>
  <c r="E862" i="3"/>
  <c r="D862" i="3"/>
  <c r="C862" i="3"/>
  <c r="B862" i="3"/>
  <c r="A862" i="3"/>
  <c r="T861" i="3"/>
  <c r="S861" i="3"/>
  <c r="Q861" i="3"/>
  <c r="O861" i="3"/>
  <c r="M861" i="3"/>
  <c r="K861" i="3"/>
  <c r="J861" i="3"/>
  <c r="I861" i="3"/>
  <c r="H861" i="3"/>
  <c r="G861" i="3"/>
  <c r="F861" i="3"/>
  <c r="E861" i="3"/>
  <c r="D861" i="3"/>
  <c r="C861" i="3"/>
  <c r="B861" i="3"/>
  <c r="A861" i="3"/>
  <c r="T860" i="3"/>
  <c r="S860" i="3"/>
  <c r="Q860" i="3"/>
  <c r="J860" i="3"/>
  <c r="I860" i="3"/>
  <c r="H860" i="3"/>
  <c r="G860" i="3"/>
  <c r="F860" i="3"/>
  <c r="E860" i="3"/>
  <c r="D860" i="3"/>
  <c r="C860" i="3"/>
  <c r="B860" i="3"/>
  <c r="A860" i="3"/>
  <c r="T859" i="3"/>
  <c r="S859" i="3"/>
  <c r="Q859" i="3"/>
  <c r="J859" i="3"/>
  <c r="I859" i="3"/>
  <c r="H859" i="3"/>
  <c r="G859" i="3"/>
  <c r="F859" i="3"/>
  <c r="E859" i="3"/>
  <c r="D859" i="3"/>
  <c r="C859" i="3"/>
  <c r="B859" i="3"/>
  <c r="A859" i="3"/>
  <c r="T858" i="3"/>
  <c r="S858" i="3"/>
  <c r="Q858" i="3"/>
  <c r="K858" i="3"/>
  <c r="J858" i="3"/>
  <c r="I858" i="3"/>
  <c r="H858" i="3"/>
  <c r="G858" i="3"/>
  <c r="F858" i="3"/>
  <c r="E858" i="3"/>
  <c r="D858" i="3"/>
  <c r="C858" i="3"/>
  <c r="B858" i="3"/>
  <c r="A858" i="3"/>
  <c r="T857" i="3"/>
  <c r="S857" i="3"/>
  <c r="Q857" i="3"/>
  <c r="O857" i="3"/>
  <c r="M857" i="3"/>
  <c r="K857" i="3"/>
  <c r="J857" i="3"/>
  <c r="I857" i="3"/>
  <c r="H857" i="3"/>
  <c r="G857" i="3"/>
  <c r="F857" i="3"/>
  <c r="E857" i="3"/>
  <c r="D857" i="3"/>
  <c r="C857" i="3"/>
  <c r="B857" i="3"/>
  <c r="A857" i="3"/>
  <c r="T856" i="3"/>
  <c r="S856" i="3"/>
  <c r="Q856" i="3"/>
  <c r="O856" i="3"/>
  <c r="M856" i="3"/>
  <c r="K856" i="3"/>
  <c r="J856" i="3"/>
  <c r="I856" i="3"/>
  <c r="H856" i="3"/>
  <c r="G856" i="3"/>
  <c r="F856" i="3"/>
  <c r="E856" i="3"/>
  <c r="D856" i="3"/>
  <c r="C856" i="3"/>
  <c r="B856" i="3"/>
  <c r="A856" i="3"/>
  <c r="T855" i="3"/>
  <c r="S855" i="3"/>
  <c r="Q855" i="3"/>
  <c r="O855" i="3"/>
  <c r="M855" i="3"/>
  <c r="K855" i="3"/>
  <c r="J855" i="3"/>
  <c r="I855" i="3"/>
  <c r="H855" i="3"/>
  <c r="G855" i="3"/>
  <c r="F855" i="3"/>
  <c r="E855" i="3"/>
  <c r="D855" i="3"/>
  <c r="C855" i="3"/>
  <c r="B855" i="3"/>
  <c r="A855" i="3"/>
  <c r="T854" i="3"/>
  <c r="S854" i="3"/>
  <c r="Q854" i="3"/>
  <c r="J854" i="3"/>
  <c r="I854" i="3"/>
  <c r="H854" i="3"/>
  <c r="G854" i="3"/>
  <c r="F854" i="3"/>
  <c r="E854" i="3"/>
  <c r="D854" i="3"/>
  <c r="C854" i="3"/>
  <c r="B854" i="3"/>
  <c r="A854" i="3"/>
  <c r="T853" i="3"/>
  <c r="S853" i="3"/>
  <c r="Q853" i="3"/>
  <c r="O853" i="3"/>
  <c r="M853" i="3"/>
  <c r="K853" i="3"/>
  <c r="J853" i="3"/>
  <c r="I853" i="3"/>
  <c r="H853" i="3"/>
  <c r="G853" i="3"/>
  <c r="F853" i="3"/>
  <c r="E853" i="3"/>
  <c r="D853" i="3"/>
  <c r="C853" i="3"/>
  <c r="B853" i="3"/>
  <c r="A853" i="3"/>
  <c r="T852" i="3"/>
  <c r="S852" i="3"/>
  <c r="Q852" i="3"/>
  <c r="M852" i="3"/>
  <c r="K852" i="3"/>
  <c r="J852" i="3"/>
  <c r="I852" i="3"/>
  <c r="H852" i="3"/>
  <c r="G852" i="3"/>
  <c r="F852" i="3"/>
  <c r="E852" i="3"/>
  <c r="D852" i="3"/>
  <c r="C852" i="3"/>
  <c r="B852" i="3"/>
  <c r="A852" i="3"/>
  <c r="T851" i="3"/>
  <c r="S851" i="3"/>
  <c r="Q851" i="3"/>
  <c r="O851" i="3"/>
  <c r="K851" i="3"/>
  <c r="J851" i="3"/>
  <c r="I851" i="3"/>
  <c r="H851" i="3"/>
  <c r="G851" i="3"/>
  <c r="F851" i="3"/>
  <c r="E851" i="3"/>
  <c r="D851" i="3"/>
  <c r="C851" i="3"/>
  <c r="B851" i="3"/>
  <c r="A851" i="3"/>
  <c r="T850" i="3"/>
  <c r="S850" i="3"/>
  <c r="Q850" i="3"/>
  <c r="M850" i="3"/>
  <c r="K850" i="3"/>
  <c r="J850" i="3"/>
  <c r="I850" i="3"/>
  <c r="H850" i="3"/>
  <c r="G850" i="3"/>
  <c r="F850" i="3"/>
  <c r="E850" i="3"/>
  <c r="D850" i="3"/>
  <c r="C850" i="3"/>
  <c r="B850" i="3"/>
  <c r="A850" i="3"/>
  <c r="T849" i="3"/>
  <c r="S849" i="3"/>
  <c r="Q849" i="3"/>
  <c r="O849" i="3"/>
  <c r="M849" i="3"/>
  <c r="K849" i="3"/>
  <c r="J849" i="3"/>
  <c r="I849" i="3"/>
  <c r="H849" i="3"/>
  <c r="G849" i="3"/>
  <c r="F849" i="3"/>
  <c r="E849" i="3"/>
  <c r="D849" i="3"/>
  <c r="C849" i="3"/>
  <c r="B849" i="3"/>
  <c r="A849" i="3"/>
  <c r="T848" i="3"/>
  <c r="S848" i="3"/>
  <c r="Q848" i="3"/>
  <c r="M848" i="3"/>
  <c r="K848" i="3"/>
  <c r="J848" i="3"/>
  <c r="I848" i="3"/>
  <c r="H848" i="3"/>
  <c r="G848" i="3"/>
  <c r="F848" i="3"/>
  <c r="E848" i="3"/>
  <c r="D848" i="3"/>
  <c r="C848" i="3"/>
  <c r="B848" i="3"/>
  <c r="A848" i="3"/>
  <c r="T847" i="3"/>
  <c r="S847" i="3"/>
  <c r="Q847" i="3"/>
  <c r="J847" i="3"/>
  <c r="I847" i="3"/>
  <c r="H847" i="3"/>
  <c r="G847" i="3"/>
  <c r="F847" i="3"/>
  <c r="E847" i="3"/>
  <c r="D847" i="3"/>
  <c r="C847" i="3"/>
  <c r="B847" i="3"/>
  <c r="A847" i="3"/>
  <c r="T846" i="3"/>
  <c r="S846" i="3"/>
  <c r="Q846" i="3"/>
  <c r="O846" i="3"/>
  <c r="M846" i="3"/>
  <c r="K846" i="3"/>
  <c r="J846" i="3"/>
  <c r="I846" i="3"/>
  <c r="H846" i="3"/>
  <c r="G846" i="3"/>
  <c r="F846" i="3"/>
  <c r="E846" i="3"/>
  <c r="D846" i="3"/>
  <c r="C846" i="3"/>
  <c r="B846" i="3"/>
  <c r="A846" i="3"/>
  <c r="T845" i="3"/>
  <c r="S845" i="3"/>
  <c r="Q845" i="3"/>
  <c r="O845" i="3"/>
  <c r="M845" i="3"/>
  <c r="K845" i="3"/>
  <c r="J845" i="3"/>
  <c r="I845" i="3"/>
  <c r="H845" i="3"/>
  <c r="G845" i="3"/>
  <c r="F845" i="3"/>
  <c r="E845" i="3"/>
  <c r="D845" i="3"/>
  <c r="C845" i="3"/>
  <c r="B845" i="3"/>
  <c r="A845" i="3"/>
  <c r="T844" i="3"/>
  <c r="S844" i="3"/>
  <c r="Q844" i="3"/>
  <c r="O844" i="3"/>
  <c r="M844" i="3"/>
  <c r="K844" i="3"/>
  <c r="J844" i="3"/>
  <c r="I844" i="3"/>
  <c r="H844" i="3"/>
  <c r="G844" i="3"/>
  <c r="F844" i="3"/>
  <c r="E844" i="3"/>
  <c r="D844" i="3"/>
  <c r="C844" i="3"/>
  <c r="B844" i="3"/>
  <c r="A844" i="3"/>
  <c r="T843" i="3"/>
  <c r="S843" i="3"/>
  <c r="Q843" i="3"/>
  <c r="J843" i="3"/>
  <c r="I843" i="3"/>
  <c r="H843" i="3"/>
  <c r="G843" i="3"/>
  <c r="F843" i="3"/>
  <c r="E843" i="3"/>
  <c r="D843" i="3"/>
  <c r="C843" i="3"/>
  <c r="B843" i="3"/>
  <c r="A843" i="3"/>
  <c r="T842" i="3"/>
  <c r="S842" i="3"/>
  <c r="Q842" i="3"/>
  <c r="O842" i="3"/>
  <c r="K842" i="3"/>
  <c r="J842" i="3"/>
  <c r="I842" i="3"/>
  <c r="H842" i="3"/>
  <c r="G842" i="3"/>
  <c r="F842" i="3"/>
  <c r="E842" i="3"/>
  <c r="D842" i="3"/>
  <c r="C842" i="3"/>
  <c r="B842" i="3"/>
  <c r="A842" i="3"/>
  <c r="T841" i="3"/>
  <c r="S841" i="3"/>
  <c r="Q841" i="3"/>
  <c r="J841" i="3"/>
  <c r="I841" i="3"/>
  <c r="H841" i="3"/>
  <c r="G841" i="3"/>
  <c r="F841" i="3"/>
  <c r="E841" i="3"/>
  <c r="D841" i="3"/>
  <c r="C841" i="3"/>
  <c r="B841" i="3"/>
  <c r="A841" i="3"/>
  <c r="T840" i="3"/>
  <c r="S840" i="3"/>
  <c r="Q840" i="3"/>
  <c r="O840" i="3"/>
  <c r="M840" i="3"/>
  <c r="K840" i="3"/>
  <c r="J840" i="3"/>
  <c r="I840" i="3"/>
  <c r="H840" i="3"/>
  <c r="G840" i="3"/>
  <c r="F840" i="3"/>
  <c r="E840" i="3"/>
  <c r="D840" i="3"/>
  <c r="C840" i="3"/>
  <c r="B840" i="3"/>
  <c r="A840" i="3"/>
  <c r="T839" i="3"/>
  <c r="S839" i="3"/>
  <c r="Q839" i="3"/>
  <c r="K839" i="3"/>
  <c r="J839" i="3"/>
  <c r="I839" i="3"/>
  <c r="H839" i="3"/>
  <c r="G839" i="3"/>
  <c r="F839" i="3"/>
  <c r="E839" i="3"/>
  <c r="D839" i="3"/>
  <c r="C839" i="3"/>
  <c r="B839" i="3"/>
  <c r="A839" i="3"/>
  <c r="T838" i="3"/>
  <c r="S838" i="3"/>
  <c r="Q838" i="3"/>
  <c r="J838" i="3"/>
  <c r="I838" i="3"/>
  <c r="H838" i="3"/>
  <c r="G838" i="3"/>
  <c r="F838" i="3"/>
  <c r="E838" i="3"/>
  <c r="D838" i="3"/>
  <c r="C838" i="3"/>
  <c r="B838" i="3"/>
  <c r="A838" i="3"/>
  <c r="T837" i="3"/>
  <c r="S837" i="3"/>
  <c r="Q837" i="3"/>
  <c r="K837" i="3"/>
  <c r="J837" i="3"/>
  <c r="I837" i="3"/>
  <c r="H837" i="3"/>
  <c r="G837" i="3"/>
  <c r="F837" i="3"/>
  <c r="E837" i="3"/>
  <c r="D837" i="3"/>
  <c r="C837" i="3"/>
  <c r="B837" i="3"/>
  <c r="A837" i="3"/>
  <c r="T836" i="3"/>
  <c r="S836" i="3"/>
  <c r="Q836" i="3"/>
  <c r="O836" i="3"/>
  <c r="M836" i="3"/>
  <c r="K836" i="3"/>
  <c r="J836" i="3"/>
  <c r="I836" i="3"/>
  <c r="H836" i="3"/>
  <c r="G836" i="3"/>
  <c r="F836" i="3"/>
  <c r="E836" i="3"/>
  <c r="D836" i="3"/>
  <c r="C836" i="3"/>
  <c r="B836" i="3"/>
  <c r="A836" i="3"/>
  <c r="T835" i="3"/>
  <c r="S835" i="3"/>
  <c r="Q835" i="3"/>
  <c r="J835" i="3"/>
  <c r="I835" i="3"/>
  <c r="H835" i="3"/>
  <c r="G835" i="3"/>
  <c r="F835" i="3"/>
  <c r="E835" i="3"/>
  <c r="D835" i="3"/>
  <c r="C835" i="3"/>
  <c r="B835" i="3"/>
  <c r="A835" i="3"/>
  <c r="T834" i="3"/>
  <c r="S834" i="3"/>
  <c r="Q834" i="3"/>
  <c r="J834" i="3"/>
  <c r="I834" i="3"/>
  <c r="H834" i="3"/>
  <c r="G834" i="3"/>
  <c r="F834" i="3"/>
  <c r="E834" i="3"/>
  <c r="D834" i="3"/>
  <c r="C834" i="3"/>
  <c r="B834" i="3"/>
  <c r="A834" i="3"/>
  <c r="T833" i="3"/>
  <c r="S833" i="3"/>
  <c r="Q833" i="3"/>
  <c r="J833" i="3"/>
  <c r="I833" i="3"/>
  <c r="H833" i="3"/>
  <c r="G833" i="3"/>
  <c r="F833" i="3"/>
  <c r="E833" i="3"/>
  <c r="D833" i="3"/>
  <c r="C833" i="3"/>
  <c r="B833" i="3"/>
  <c r="A833" i="3"/>
  <c r="T832" i="3"/>
  <c r="S832" i="3"/>
  <c r="Q832" i="3"/>
  <c r="J832" i="3"/>
  <c r="I832" i="3"/>
  <c r="H832" i="3"/>
  <c r="G832" i="3"/>
  <c r="F832" i="3"/>
  <c r="E832" i="3"/>
  <c r="D832" i="3"/>
  <c r="C832" i="3"/>
  <c r="B832" i="3"/>
  <c r="A832" i="3"/>
  <c r="T831" i="3"/>
  <c r="S831" i="3"/>
  <c r="Q831" i="3"/>
  <c r="J831" i="3"/>
  <c r="I831" i="3"/>
  <c r="H831" i="3"/>
  <c r="G831" i="3"/>
  <c r="F831" i="3"/>
  <c r="E831" i="3"/>
  <c r="D831" i="3"/>
  <c r="C831" i="3"/>
  <c r="B831" i="3"/>
  <c r="A831" i="3"/>
  <c r="T830" i="3"/>
  <c r="S830" i="3"/>
  <c r="Q830" i="3"/>
  <c r="K830" i="3"/>
  <c r="J830" i="3"/>
  <c r="I830" i="3"/>
  <c r="H830" i="3"/>
  <c r="G830" i="3"/>
  <c r="F830" i="3"/>
  <c r="E830" i="3"/>
  <c r="D830" i="3"/>
  <c r="C830" i="3"/>
  <c r="B830" i="3"/>
  <c r="A830" i="3"/>
  <c r="T829" i="3"/>
  <c r="S829" i="3"/>
  <c r="Q829" i="3"/>
  <c r="O829" i="3"/>
  <c r="K829" i="3"/>
  <c r="J829" i="3"/>
  <c r="I829" i="3"/>
  <c r="H829" i="3"/>
  <c r="G829" i="3"/>
  <c r="F829" i="3"/>
  <c r="E829" i="3"/>
  <c r="D829" i="3"/>
  <c r="C829" i="3"/>
  <c r="B829" i="3"/>
  <c r="A829" i="3"/>
  <c r="T828" i="3"/>
  <c r="S828" i="3"/>
  <c r="Q828" i="3"/>
  <c r="O828" i="3"/>
  <c r="M828" i="3"/>
  <c r="K828" i="3"/>
  <c r="J828" i="3"/>
  <c r="I828" i="3"/>
  <c r="H828" i="3"/>
  <c r="G828" i="3"/>
  <c r="F828" i="3"/>
  <c r="E828" i="3"/>
  <c r="D828" i="3"/>
  <c r="C828" i="3"/>
  <c r="B828" i="3"/>
  <c r="A828" i="3"/>
  <c r="T827" i="3"/>
  <c r="S827" i="3"/>
  <c r="Q827" i="3"/>
  <c r="J827" i="3"/>
  <c r="I827" i="3"/>
  <c r="H827" i="3"/>
  <c r="G827" i="3"/>
  <c r="F827" i="3"/>
  <c r="E827" i="3"/>
  <c r="D827" i="3"/>
  <c r="C827" i="3"/>
  <c r="B827" i="3"/>
  <c r="A827" i="3"/>
  <c r="T826" i="3"/>
  <c r="S826" i="3"/>
  <c r="Q826" i="3"/>
  <c r="O826" i="3"/>
  <c r="M826" i="3"/>
  <c r="K826" i="3"/>
  <c r="J826" i="3"/>
  <c r="I826" i="3"/>
  <c r="H826" i="3"/>
  <c r="G826" i="3"/>
  <c r="F826" i="3"/>
  <c r="E826" i="3"/>
  <c r="D826" i="3"/>
  <c r="C826" i="3"/>
  <c r="B826" i="3"/>
  <c r="A826" i="3"/>
  <c r="T825" i="3"/>
  <c r="S825" i="3"/>
  <c r="Q825" i="3"/>
  <c r="J825" i="3"/>
  <c r="I825" i="3"/>
  <c r="H825" i="3"/>
  <c r="G825" i="3"/>
  <c r="F825" i="3"/>
  <c r="E825" i="3"/>
  <c r="D825" i="3"/>
  <c r="C825" i="3"/>
  <c r="B825" i="3"/>
  <c r="A825" i="3"/>
  <c r="T824" i="3"/>
  <c r="S824" i="3"/>
  <c r="Q824" i="3"/>
  <c r="J824" i="3"/>
  <c r="I824" i="3"/>
  <c r="H824" i="3"/>
  <c r="G824" i="3"/>
  <c r="F824" i="3"/>
  <c r="E824" i="3"/>
  <c r="D824" i="3"/>
  <c r="C824" i="3"/>
  <c r="B824" i="3"/>
  <c r="A824" i="3"/>
  <c r="T823" i="3"/>
  <c r="S823" i="3"/>
  <c r="Q823" i="3"/>
  <c r="K823" i="3"/>
  <c r="J823" i="3"/>
  <c r="I823" i="3"/>
  <c r="H823" i="3"/>
  <c r="G823" i="3"/>
  <c r="F823" i="3"/>
  <c r="E823" i="3"/>
  <c r="D823" i="3"/>
  <c r="C823" i="3"/>
  <c r="B823" i="3"/>
  <c r="A823" i="3"/>
  <c r="T822" i="3"/>
  <c r="S822" i="3"/>
  <c r="Q822" i="3"/>
  <c r="M822" i="3"/>
  <c r="K822" i="3"/>
  <c r="J822" i="3"/>
  <c r="I822" i="3"/>
  <c r="H822" i="3"/>
  <c r="G822" i="3"/>
  <c r="F822" i="3"/>
  <c r="E822" i="3"/>
  <c r="D822" i="3"/>
  <c r="C822" i="3"/>
  <c r="B822" i="3"/>
  <c r="A822" i="3"/>
  <c r="T821" i="3"/>
  <c r="S821" i="3"/>
  <c r="Q821" i="3"/>
  <c r="J821" i="3"/>
  <c r="I821" i="3"/>
  <c r="H821" i="3"/>
  <c r="G821" i="3"/>
  <c r="F821" i="3"/>
  <c r="E821" i="3"/>
  <c r="D821" i="3"/>
  <c r="C821" i="3"/>
  <c r="B821" i="3"/>
  <c r="A821" i="3"/>
  <c r="T820" i="3"/>
  <c r="S820" i="3"/>
  <c r="Q820" i="3"/>
  <c r="O820" i="3"/>
  <c r="M820" i="3"/>
  <c r="K820" i="3"/>
  <c r="J820" i="3"/>
  <c r="I820" i="3"/>
  <c r="H820" i="3"/>
  <c r="G820" i="3"/>
  <c r="F820" i="3"/>
  <c r="E820" i="3"/>
  <c r="D820" i="3"/>
  <c r="C820" i="3"/>
  <c r="B820" i="3"/>
  <c r="A820" i="3"/>
  <c r="T819" i="3"/>
  <c r="S819" i="3"/>
  <c r="Q819" i="3"/>
  <c r="O819" i="3"/>
  <c r="M819" i="3"/>
  <c r="K819" i="3"/>
  <c r="J819" i="3"/>
  <c r="I819" i="3"/>
  <c r="H819" i="3"/>
  <c r="G819" i="3"/>
  <c r="F819" i="3"/>
  <c r="E819" i="3"/>
  <c r="D819" i="3"/>
  <c r="C819" i="3"/>
  <c r="B819" i="3"/>
  <c r="A819" i="3"/>
  <c r="T818" i="3"/>
  <c r="S818" i="3"/>
  <c r="Q818" i="3"/>
  <c r="M818" i="3"/>
  <c r="K818" i="3"/>
  <c r="J818" i="3"/>
  <c r="I818" i="3"/>
  <c r="H818" i="3"/>
  <c r="G818" i="3"/>
  <c r="F818" i="3"/>
  <c r="E818" i="3"/>
  <c r="D818" i="3"/>
  <c r="C818" i="3"/>
  <c r="B818" i="3"/>
  <c r="A818" i="3"/>
  <c r="T817" i="3"/>
  <c r="S817" i="3"/>
  <c r="Q817" i="3"/>
  <c r="M817" i="3"/>
  <c r="K817" i="3"/>
  <c r="J817" i="3"/>
  <c r="I817" i="3"/>
  <c r="H817" i="3"/>
  <c r="G817" i="3"/>
  <c r="F817" i="3"/>
  <c r="E817" i="3"/>
  <c r="D817" i="3"/>
  <c r="C817" i="3"/>
  <c r="B817" i="3"/>
  <c r="A817" i="3"/>
  <c r="T816" i="3"/>
  <c r="S816" i="3"/>
  <c r="Q816" i="3"/>
  <c r="O816" i="3"/>
  <c r="K816" i="3"/>
  <c r="J816" i="3"/>
  <c r="I816" i="3"/>
  <c r="H816" i="3"/>
  <c r="G816" i="3"/>
  <c r="F816" i="3"/>
  <c r="E816" i="3"/>
  <c r="D816" i="3"/>
  <c r="C816" i="3"/>
  <c r="B816" i="3"/>
  <c r="A816" i="3"/>
  <c r="T815" i="3"/>
  <c r="S815" i="3"/>
  <c r="Q815" i="3"/>
  <c r="M815" i="3"/>
  <c r="K815" i="3"/>
  <c r="J815" i="3"/>
  <c r="I815" i="3"/>
  <c r="H815" i="3"/>
  <c r="G815" i="3"/>
  <c r="F815" i="3"/>
  <c r="E815" i="3"/>
  <c r="D815" i="3"/>
  <c r="C815" i="3"/>
  <c r="B815" i="3"/>
  <c r="A815" i="3"/>
  <c r="T814" i="3"/>
  <c r="S814" i="3"/>
  <c r="Q814" i="3"/>
  <c r="J814" i="3"/>
  <c r="I814" i="3"/>
  <c r="H814" i="3"/>
  <c r="G814" i="3"/>
  <c r="F814" i="3"/>
  <c r="E814" i="3"/>
  <c r="D814" i="3"/>
  <c r="C814" i="3"/>
  <c r="B814" i="3"/>
  <c r="A814" i="3"/>
  <c r="T813" i="3"/>
  <c r="S813" i="3"/>
  <c r="Q813" i="3"/>
  <c r="J813" i="3"/>
  <c r="I813" i="3"/>
  <c r="H813" i="3"/>
  <c r="G813" i="3"/>
  <c r="F813" i="3"/>
  <c r="E813" i="3"/>
  <c r="D813" i="3"/>
  <c r="C813" i="3"/>
  <c r="B813" i="3"/>
  <c r="A813" i="3"/>
  <c r="T812" i="3"/>
  <c r="S812" i="3"/>
  <c r="Q812" i="3"/>
  <c r="O812" i="3"/>
  <c r="M812" i="3"/>
  <c r="K812" i="3"/>
  <c r="J812" i="3"/>
  <c r="I812" i="3"/>
  <c r="H812" i="3"/>
  <c r="G812" i="3"/>
  <c r="F812" i="3"/>
  <c r="E812" i="3"/>
  <c r="D812" i="3"/>
  <c r="C812" i="3"/>
  <c r="B812" i="3"/>
  <c r="A812" i="3"/>
  <c r="T811" i="3"/>
  <c r="S811" i="3"/>
  <c r="Q811" i="3"/>
  <c r="O811" i="3"/>
  <c r="M811" i="3"/>
  <c r="K811" i="3"/>
  <c r="J811" i="3"/>
  <c r="I811" i="3"/>
  <c r="H811" i="3"/>
  <c r="G811" i="3"/>
  <c r="F811" i="3"/>
  <c r="E811" i="3"/>
  <c r="D811" i="3"/>
  <c r="C811" i="3"/>
  <c r="B811" i="3"/>
  <c r="A811" i="3"/>
  <c r="T810" i="3"/>
  <c r="S810" i="3"/>
  <c r="Q810" i="3"/>
  <c r="J810" i="3"/>
  <c r="I810" i="3"/>
  <c r="H810" i="3"/>
  <c r="G810" i="3"/>
  <c r="F810" i="3"/>
  <c r="E810" i="3"/>
  <c r="D810" i="3"/>
  <c r="C810" i="3"/>
  <c r="B810" i="3"/>
  <c r="A810" i="3"/>
  <c r="T809" i="3"/>
  <c r="S809" i="3"/>
  <c r="Q809" i="3"/>
  <c r="O809" i="3"/>
  <c r="M809" i="3"/>
  <c r="K809" i="3"/>
  <c r="J809" i="3"/>
  <c r="I809" i="3"/>
  <c r="H809" i="3"/>
  <c r="G809" i="3"/>
  <c r="F809" i="3"/>
  <c r="E809" i="3"/>
  <c r="D809" i="3"/>
  <c r="C809" i="3"/>
  <c r="B809" i="3"/>
  <c r="A809" i="3"/>
  <c r="T808" i="3"/>
  <c r="S808" i="3"/>
  <c r="Q808" i="3"/>
  <c r="J808" i="3"/>
  <c r="I808" i="3"/>
  <c r="H808" i="3"/>
  <c r="G808" i="3"/>
  <c r="F808" i="3"/>
  <c r="E808" i="3"/>
  <c r="D808" i="3"/>
  <c r="C808" i="3"/>
  <c r="B808" i="3"/>
  <c r="A808" i="3"/>
  <c r="T807" i="3"/>
  <c r="S807" i="3"/>
  <c r="Q807" i="3"/>
  <c r="O807" i="3"/>
  <c r="M807" i="3"/>
  <c r="K807" i="3"/>
  <c r="J807" i="3"/>
  <c r="I807" i="3"/>
  <c r="H807" i="3"/>
  <c r="G807" i="3"/>
  <c r="F807" i="3"/>
  <c r="E807" i="3"/>
  <c r="D807" i="3"/>
  <c r="C807" i="3"/>
  <c r="B807" i="3"/>
  <c r="A807" i="3"/>
  <c r="T806" i="3"/>
  <c r="S806" i="3"/>
  <c r="Q806" i="3"/>
  <c r="O806" i="3"/>
  <c r="M806" i="3"/>
  <c r="K806" i="3"/>
  <c r="J806" i="3"/>
  <c r="I806" i="3"/>
  <c r="H806" i="3"/>
  <c r="G806" i="3"/>
  <c r="F806" i="3"/>
  <c r="E806" i="3"/>
  <c r="D806" i="3"/>
  <c r="C806" i="3"/>
  <c r="B806" i="3"/>
  <c r="A806" i="3"/>
  <c r="T805" i="3"/>
  <c r="S805" i="3"/>
  <c r="Q805" i="3"/>
  <c r="M805" i="3"/>
  <c r="K805" i="3"/>
  <c r="J805" i="3"/>
  <c r="I805" i="3"/>
  <c r="H805" i="3"/>
  <c r="G805" i="3"/>
  <c r="F805" i="3"/>
  <c r="E805" i="3"/>
  <c r="D805" i="3"/>
  <c r="C805" i="3"/>
  <c r="B805" i="3"/>
  <c r="A805" i="3"/>
  <c r="T804" i="3"/>
  <c r="S804" i="3"/>
  <c r="Q804" i="3"/>
  <c r="O804" i="3"/>
  <c r="K804" i="3"/>
  <c r="J804" i="3"/>
  <c r="I804" i="3"/>
  <c r="H804" i="3"/>
  <c r="G804" i="3"/>
  <c r="F804" i="3"/>
  <c r="E804" i="3"/>
  <c r="D804" i="3"/>
  <c r="C804" i="3"/>
  <c r="B804" i="3"/>
  <c r="A804" i="3"/>
  <c r="T803" i="3"/>
  <c r="S803" i="3"/>
  <c r="Q803" i="3"/>
  <c r="K803" i="3"/>
  <c r="J803" i="3"/>
  <c r="I803" i="3"/>
  <c r="H803" i="3"/>
  <c r="G803" i="3"/>
  <c r="F803" i="3"/>
  <c r="E803" i="3"/>
  <c r="D803" i="3"/>
  <c r="C803" i="3"/>
  <c r="B803" i="3"/>
  <c r="A803" i="3"/>
  <c r="T802" i="3"/>
  <c r="S802" i="3"/>
  <c r="Q802" i="3"/>
  <c r="K802" i="3"/>
  <c r="J802" i="3"/>
  <c r="I802" i="3"/>
  <c r="H802" i="3"/>
  <c r="G802" i="3"/>
  <c r="F802" i="3"/>
  <c r="E802" i="3"/>
  <c r="D802" i="3"/>
  <c r="C802" i="3"/>
  <c r="B802" i="3"/>
  <c r="A802" i="3"/>
  <c r="T801" i="3"/>
  <c r="S801" i="3"/>
  <c r="Q801" i="3"/>
  <c r="O801" i="3"/>
  <c r="M801" i="3"/>
  <c r="K801" i="3"/>
  <c r="J801" i="3"/>
  <c r="I801" i="3"/>
  <c r="H801" i="3"/>
  <c r="G801" i="3"/>
  <c r="F801" i="3"/>
  <c r="E801" i="3"/>
  <c r="D801" i="3"/>
  <c r="C801" i="3"/>
  <c r="B801" i="3"/>
  <c r="A801" i="3"/>
  <c r="T800" i="3"/>
  <c r="S800" i="3"/>
  <c r="Q800" i="3"/>
  <c r="O800" i="3"/>
  <c r="M800" i="3"/>
  <c r="K800" i="3"/>
  <c r="J800" i="3"/>
  <c r="I800" i="3"/>
  <c r="H800" i="3"/>
  <c r="G800" i="3"/>
  <c r="F800" i="3"/>
  <c r="E800" i="3"/>
  <c r="D800" i="3"/>
  <c r="C800" i="3"/>
  <c r="B800" i="3"/>
  <c r="A800" i="3"/>
  <c r="T799" i="3"/>
  <c r="S799" i="3"/>
  <c r="Q799" i="3"/>
  <c r="O799" i="3"/>
  <c r="M799" i="3"/>
  <c r="K799" i="3"/>
  <c r="J799" i="3"/>
  <c r="I799" i="3"/>
  <c r="H799" i="3"/>
  <c r="G799" i="3"/>
  <c r="F799" i="3"/>
  <c r="E799" i="3"/>
  <c r="D799" i="3"/>
  <c r="C799" i="3"/>
  <c r="B799" i="3"/>
  <c r="A799" i="3"/>
  <c r="T798" i="3"/>
  <c r="S798" i="3"/>
  <c r="Q798" i="3"/>
  <c r="O798" i="3"/>
  <c r="M798" i="3"/>
  <c r="K798" i="3"/>
  <c r="J798" i="3"/>
  <c r="I798" i="3"/>
  <c r="H798" i="3"/>
  <c r="G798" i="3"/>
  <c r="F798" i="3"/>
  <c r="E798" i="3"/>
  <c r="D798" i="3"/>
  <c r="C798" i="3"/>
  <c r="B798" i="3"/>
  <c r="A798" i="3"/>
  <c r="T797" i="3"/>
  <c r="S797" i="3"/>
  <c r="Q797" i="3"/>
  <c r="M797" i="3"/>
  <c r="K797" i="3"/>
  <c r="J797" i="3"/>
  <c r="I797" i="3"/>
  <c r="H797" i="3"/>
  <c r="G797" i="3"/>
  <c r="F797" i="3"/>
  <c r="E797" i="3"/>
  <c r="D797" i="3"/>
  <c r="C797" i="3"/>
  <c r="B797" i="3"/>
  <c r="A797" i="3"/>
  <c r="T796" i="3"/>
  <c r="S796" i="3"/>
  <c r="Q796" i="3"/>
  <c r="K796" i="3"/>
  <c r="J796" i="3"/>
  <c r="I796" i="3"/>
  <c r="H796" i="3"/>
  <c r="G796" i="3"/>
  <c r="F796" i="3"/>
  <c r="E796" i="3"/>
  <c r="D796" i="3"/>
  <c r="C796" i="3"/>
  <c r="B796" i="3"/>
  <c r="A796" i="3"/>
  <c r="T795" i="3"/>
  <c r="S795" i="3"/>
  <c r="Q795" i="3"/>
  <c r="O795" i="3"/>
  <c r="M795" i="3"/>
  <c r="K795" i="3"/>
  <c r="J795" i="3"/>
  <c r="I795" i="3"/>
  <c r="H795" i="3"/>
  <c r="G795" i="3"/>
  <c r="F795" i="3"/>
  <c r="E795" i="3"/>
  <c r="D795" i="3"/>
  <c r="C795" i="3"/>
  <c r="B795" i="3"/>
  <c r="A795" i="3"/>
  <c r="T794" i="3"/>
  <c r="S794" i="3"/>
  <c r="Q794" i="3"/>
  <c r="O794" i="3"/>
  <c r="M794" i="3"/>
  <c r="K794" i="3"/>
  <c r="J794" i="3"/>
  <c r="I794" i="3"/>
  <c r="H794" i="3"/>
  <c r="G794" i="3"/>
  <c r="F794" i="3"/>
  <c r="E794" i="3"/>
  <c r="D794" i="3"/>
  <c r="C794" i="3"/>
  <c r="B794" i="3"/>
  <c r="A794" i="3"/>
  <c r="T793" i="3"/>
  <c r="S793" i="3"/>
  <c r="Q793" i="3"/>
  <c r="J793" i="3"/>
  <c r="I793" i="3"/>
  <c r="H793" i="3"/>
  <c r="G793" i="3"/>
  <c r="F793" i="3"/>
  <c r="E793" i="3"/>
  <c r="D793" i="3"/>
  <c r="C793" i="3"/>
  <c r="B793" i="3"/>
  <c r="A793" i="3"/>
  <c r="T792" i="3"/>
  <c r="S792" i="3"/>
  <c r="Q792" i="3"/>
  <c r="J792" i="3"/>
  <c r="I792" i="3"/>
  <c r="H792" i="3"/>
  <c r="G792" i="3"/>
  <c r="F792" i="3"/>
  <c r="E792" i="3"/>
  <c r="D792" i="3"/>
  <c r="C792" i="3"/>
  <c r="B792" i="3"/>
  <c r="A792" i="3"/>
  <c r="T791" i="3"/>
  <c r="S791" i="3"/>
  <c r="Q791" i="3"/>
  <c r="O791" i="3"/>
  <c r="K791" i="3"/>
  <c r="J791" i="3"/>
  <c r="I791" i="3"/>
  <c r="H791" i="3"/>
  <c r="G791" i="3"/>
  <c r="F791" i="3"/>
  <c r="E791" i="3"/>
  <c r="D791" i="3"/>
  <c r="C791" i="3"/>
  <c r="B791" i="3"/>
  <c r="A791" i="3"/>
  <c r="T790" i="3"/>
  <c r="S790" i="3"/>
  <c r="Q790" i="3"/>
  <c r="M790" i="3"/>
  <c r="K790" i="3"/>
  <c r="J790" i="3"/>
  <c r="I790" i="3"/>
  <c r="H790" i="3"/>
  <c r="G790" i="3"/>
  <c r="F790" i="3"/>
  <c r="E790" i="3"/>
  <c r="D790" i="3"/>
  <c r="C790" i="3"/>
  <c r="B790" i="3"/>
  <c r="A790" i="3"/>
  <c r="T789" i="3"/>
  <c r="S789" i="3"/>
  <c r="Q789" i="3"/>
  <c r="J789" i="3"/>
  <c r="I789" i="3"/>
  <c r="H789" i="3"/>
  <c r="G789" i="3"/>
  <c r="F789" i="3"/>
  <c r="E789" i="3"/>
  <c r="D789" i="3"/>
  <c r="C789" i="3"/>
  <c r="B789" i="3"/>
  <c r="A789" i="3"/>
  <c r="T788" i="3"/>
  <c r="S788" i="3"/>
  <c r="Q788" i="3"/>
  <c r="J788" i="3"/>
  <c r="I788" i="3"/>
  <c r="H788" i="3"/>
  <c r="G788" i="3"/>
  <c r="F788" i="3"/>
  <c r="E788" i="3"/>
  <c r="D788" i="3"/>
  <c r="C788" i="3"/>
  <c r="B788" i="3"/>
  <c r="A788" i="3"/>
  <c r="T787" i="3"/>
  <c r="S787" i="3"/>
  <c r="Q787" i="3"/>
  <c r="M787" i="3"/>
  <c r="K787" i="3"/>
  <c r="J787" i="3"/>
  <c r="I787" i="3"/>
  <c r="H787" i="3"/>
  <c r="G787" i="3"/>
  <c r="F787" i="3"/>
  <c r="E787" i="3"/>
  <c r="D787" i="3"/>
  <c r="C787" i="3"/>
  <c r="B787" i="3"/>
  <c r="A787" i="3"/>
  <c r="T786" i="3"/>
  <c r="S786" i="3"/>
  <c r="Q786" i="3"/>
  <c r="O786" i="3"/>
  <c r="M786" i="3"/>
  <c r="K786" i="3"/>
  <c r="J786" i="3"/>
  <c r="I786" i="3"/>
  <c r="H786" i="3"/>
  <c r="G786" i="3"/>
  <c r="F786" i="3"/>
  <c r="E786" i="3"/>
  <c r="D786" i="3"/>
  <c r="C786" i="3"/>
  <c r="B786" i="3"/>
  <c r="A786" i="3"/>
  <c r="T785" i="3"/>
  <c r="S785" i="3"/>
  <c r="Q785" i="3"/>
  <c r="M785" i="3"/>
  <c r="K785" i="3"/>
  <c r="J785" i="3"/>
  <c r="I785" i="3"/>
  <c r="H785" i="3"/>
  <c r="G785" i="3"/>
  <c r="F785" i="3"/>
  <c r="E785" i="3"/>
  <c r="D785" i="3"/>
  <c r="C785" i="3"/>
  <c r="B785" i="3"/>
  <c r="A785" i="3"/>
  <c r="T784" i="3"/>
  <c r="S784" i="3"/>
  <c r="Q784" i="3"/>
  <c r="M784" i="3"/>
  <c r="K784" i="3"/>
  <c r="J784" i="3"/>
  <c r="I784" i="3"/>
  <c r="H784" i="3"/>
  <c r="G784" i="3"/>
  <c r="F784" i="3"/>
  <c r="E784" i="3"/>
  <c r="D784" i="3"/>
  <c r="C784" i="3"/>
  <c r="B784" i="3"/>
  <c r="A784" i="3"/>
  <c r="T783" i="3"/>
  <c r="S783" i="3"/>
  <c r="Q783" i="3"/>
  <c r="J783" i="3"/>
  <c r="I783" i="3"/>
  <c r="H783" i="3"/>
  <c r="G783" i="3"/>
  <c r="F783" i="3"/>
  <c r="E783" i="3"/>
  <c r="D783" i="3"/>
  <c r="C783" i="3"/>
  <c r="B783" i="3"/>
  <c r="A783" i="3"/>
  <c r="T782" i="3"/>
  <c r="S782" i="3"/>
  <c r="Q782" i="3"/>
  <c r="M782" i="3"/>
  <c r="K782" i="3"/>
  <c r="J782" i="3"/>
  <c r="I782" i="3"/>
  <c r="H782" i="3"/>
  <c r="G782" i="3"/>
  <c r="F782" i="3"/>
  <c r="E782" i="3"/>
  <c r="D782" i="3"/>
  <c r="C782" i="3"/>
  <c r="B782" i="3"/>
  <c r="A782" i="3"/>
  <c r="T781" i="3"/>
  <c r="S781" i="3"/>
  <c r="Q781" i="3"/>
  <c r="J781" i="3"/>
  <c r="I781" i="3"/>
  <c r="H781" i="3"/>
  <c r="G781" i="3"/>
  <c r="F781" i="3"/>
  <c r="E781" i="3"/>
  <c r="D781" i="3"/>
  <c r="C781" i="3"/>
  <c r="B781" i="3"/>
  <c r="A781" i="3"/>
  <c r="T780" i="3"/>
  <c r="S780" i="3"/>
  <c r="Q780" i="3"/>
  <c r="M780" i="3"/>
  <c r="K780" i="3"/>
  <c r="J780" i="3"/>
  <c r="I780" i="3"/>
  <c r="H780" i="3"/>
  <c r="G780" i="3"/>
  <c r="F780" i="3"/>
  <c r="E780" i="3"/>
  <c r="D780" i="3"/>
  <c r="C780" i="3"/>
  <c r="B780" i="3"/>
  <c r="A780" i="3"/>
  <c r="T779" i="3"/>
  <c r="S779" i="3"/>
  <c r="Q779" i="3"/>
  <c r="J779" i="3"/>
  <c r="I779" i="3"/>
  <c r="H779" i="3"/>
  <c r="G779" i="3"/>
  <c r="F779" i="3"/>
  <c r="E779" i="3"/>
  <c r="D779" i="3"/>
  <c r="C779" i="3"/>
  <c r="B779" i="3"/>
  <c r="A779" i="3"/>
  <c r="T778" i="3"/>
  <c r="S778" i="3"/>
  <c r="Q778" i="3"/>
  <c r="M778" i="3"/>
  <c r="K778" i="3"/>
  <c r="J778" i="3"/>
  <c r="I778" i="3"/>
  <c r="H778" i="3"/>
  <c r="G778" i="3"/>
  <c r="F778" i="3"/>
  <c r="E778" i="3"/>
  <c r="D778" i="3"/>
  <c r="C778" i="3"/>
  <c r="B778" i="3"/>
  <c r="A778" i="3"/>
  <c r="T777" i="3"/>
  <c r="S777" i="3"/>
  <c r="Q777" i="3"/>
  <c r="O777" i="3"/>
  <c r="K777" i="3"/>
  <c r="J777" i="3"/>
  <c r="I777" i="3"/>
  <c r="H777" i="3"/>
  <c r="G777" i="3"/>
  <c r="F777" i="3"/>
  <c r="E777" i="3"/>
  <c r="D777" i="3"/>
  <c r="C777" i="3"/>
  <c r="B777" i="3"/>
  <c r="A777" i="3"/>
  <c r="T776" i="3"/>
  <c r="S776" i="3"/>
  <c r="Q776" i="3"/>
  <c r="O776" i="3"/>
  <c r="M776" i="3"/>
  <c r="K776" i="3"/>
  <c r="J776" i="3"/>
  <c r="I776" i="3"/>
  <c r="H776" i="3"/>
  <c r="G776" i="3"/>
  <c r="F776" i="3"/>
  <c r="E776" i="3"/>
  <c r="D776" i="3"/>
  <c r="C776" i="3"/>
  <c r="B776" i="3"/>
  <c r="A776" i="3"/>
  <c r="T775" i="3"/>
  <c r="S775" i="3"/>
  <c r="Q775" i="3"/>
  <c r="O775" i="3"/>
  <c r="M775" i="3"/>
  <c r="K775" i="3"/>
  <c r="J775" i="3"/>
  <c r="I775" i="3"/>
  <c r="H775" i="3"/>
  <c r="G775" i="3"/>
  <c r="F775" i="3"/>
  <c r="E775" i="3"/>
  <c r="D775" i="3"/>
  <c r="C775" i="3"/>
  <c r="B775" i="3"/>
  <c r="A775" i="3"/>
  <c r="T774" i="3"/>
  <c r="S774" i="3"/>
  <c r="Q774" i="3"/>
  <c r="O774" i="3"/>
  <c r="M774" i="3"/>
  <c r="K774" i="3"/>
  <c r="J774" i="3"/>
  <c r="I774" i="3"/>
  <c r="H774" i="3"/>
  <c r="G774" i="3"/>
  <c r="F774" i="3"/>
  <c r="E774" i="3"/>
  <c r="D774" i="3"/>
  <c r="C774" i="3"/>
  <c r="B774" i="3"/>
  <c r="A774" i="3"/>
  <c r="T773" i="3"/>
  <c r="S773" i="3"/>
  <c r="Q773" i="3"/>
  <c r="J773" i="3"/>
  <c r="I773" i="3"/>
  <c r="H773" i="3"/>
  <c r="G773" i="3"/>
  <c r="F773" i="3"/>
  <c r="E773" i="3"/>
  <c r="D773" i="3"/>
  <c r="C773" i="3"/>
  <c r="B773" i="3"/>
  <c r="A773" i="3"/>
  <c r="T772" i="3"/>
  <c r="S772" i="3"/>
  <c r="Q772" i="3"/>
  <c r="O772" i="3"/>
  <c r="M772" i="3"/>
  <c r="K772" i="3"/>
  <c r="J772" i="3"/>
  <c r="I772" i="3"/>
  <c r="H772" i="3"/>
  <c r="G772" i="3"/>
  <c r="F772" i="3"/>
  <c r="E772" i="3"/>
  <c r="D772" i="3"/>
  <c r="C772" i="3"/>
  <c r="B772" i="3"/>
  <c r="A772" i="3"/>
  <c r="T771" i="3"/>
  <c r="S771" i="3"/>
  <c r="Q771" i="3"/>
  <c r="O771" i="3"/>
  <c r="M771" i="3"/>
  <c r="K771" i="3"/>
  <c r="J771" i="3"/>
  <c r="I771" i="3"/>
  <c r="H771" i="3"/>
  <c r="G771" i="3"/>
  <c r="F771" i="3"/>
  <c r="E771" i="3"/>
  <c r="D771" i="3"/>
  <c r="C771" i="3"/>
  <c r="B771" i="3"/>
  <c r="A771" i="3"/>
  <c r="T770" i="3"/>
  <c r="S770" i="3"/>
  <c r="Q770" i="3"/>
  <c r="O770" i="3"/>
  <c r="M770" i="3"/>
  <c r="K770" i="3"/>
  <c r="J770" i="3"/>
  <c r="I770" i="3"/>
  <c r="H770" i="3"/>
  <c r="G770" i="3"/>
  <c r="F770" i="3"/>
  <c r="E770" i="3"/>
  <c r="D770" i="3"/>
  <c r="C770" i="3"/>
  <c r="B770" i="3"/>
  <c r="A770" i="3"/>
  <c r="T769" i="3"/>
  <c r="S769" i="3"/>
  <c r="Q769" i="3"/>
  <c r="O769" i="3"/>
  <c r="M769" i="3"/>
  <c r="K769" i="3"/>
  <c r="J769" i="3"/>
  <c r="I769" i="3"/>
  <c r="H769" i="3"/>
  <c r="G769" i="3"/>
  <c r="F769" i="3"/>
  <c r="E769" i="3"/>
  <c r="D769" i="3"/>
  <c r="C769" i="3"/>
  <c r="B769" i="3"/>
  <c r="A769" i="3"/>
  <c r="T768" i="3"/>
  <c r="S768" i="3"/>
  <c r="Q768" i="3"/>
  <c r="O768" i="3"/>
  <c r="M768" i="3"/>
  <c r="K768" i="3"/>
  <c r="J768" i="3"/>
  <c r="I768" i="3"/>
  <c r="H768" i="3"/>
  <c r="G768" i="3"/>
  <c r="F768" i="3"/>
  <c r="E768" i="3"/>
  <c r="D768" i="3"/>
  <c r="C768" i="3"/>
  <c r="B768" i="3"/>
  <c r="A768" i="3"/>
  <c r="T767" i="3"/>
  <c r="S767" i="3"/>
  <c r="Q767" i="3"/>
  <c r="O767" i="3"/>
  <c r="K767" i="3"/>
  <c r="J767" i="3"/>
  <c r="I767" i="3"/>
  <c r="H767" i="3"/>
  <c r="G767" i="3"/>
  <c r="F767" i="3"/>
  <c r="E767" i="3"/>
  <c r="D767" i="3"/>
  <c r="C767" i="3"/>
  <c r="B767" i="3"/>
  <c r="A767" i="3"/>
  <c r="T766" i="3"/>
  <c r="S766" i="3"/>
  <c r="Q766" i="3"/>
  <c r="O766" i="3"/>
  <c r="K766" i="3"/>
  <c r="J766" i="3"/>
  <c r="I766" i="3"/>
  <c r="H766" i="3"/>
  <c r="G766" i="3"/>
  <c r="F766" i="3"/>
  <c r="E766" i="3"/>
  <c r="D766" i="3"/>
  <c r="C766" i="3"/>
  <c r="B766" i="3"/>
  <c r="A766" i="3"/>
  <c r="T765" i="3"/>
  <c r="S765" i="3"/>
  <c r="Q765" i="3"/>
  <c r="M765" i="3"/>
  <c r="K765" i="3"/>
  <c r="J765" i="3"/>
  <c r="I765" i="3"/>
  <c r="H765" i="3"/>
  <c r="G765" i="3"/>
  <c r="F765" i="3"/>
  <c r="E765" i="3"/>
  <c r="D765" i="3"/>
  <c r="C765" i="3"/>
  <c r="B765" i="3"/>
  <c r="A765" i="3"/>
  <c r="T764" i="3"/>
  <c r="S764" i="3"/>
  <c r="Q764" i="3"/>
  <c r="O764" i="3"/>
  <c r="M764" i="3"/>
  <c r="K764" i="3"/>
  <c r="J764" i="3"/>
  <c r="I764" i="3"/>
  <c r="H764" i="3"/>
  <c r="G764" i="3"/>
  <c r="F764" i="3"/>
  <c r="E764" i="3"/>
  <c r="D764" i="3"/>
  <c r="C764" i="3"/>
  <c r="B764" i="3"/>
  <c r="A764" i="3"/>
  <c r="T763" i="3"/>
  <c r="S763" i="3"/>
  <c r="Q763" i="3"/>
  <c r="O763" i="3"/>
  <c r="M763" i="3"/>
  <c r="K763" i="3"/>
  <c r="J763" i="3"/>
  <c r="I763" i="3"/>
  <c r="H763" i="3"/>
  <c r="G763" i="3"/>
  <c r="F763" i="3"/>
  <c r="E763" i="3"/>
  <c r="D763" i="3"/>
  <c r="C763" i="3"/>
  <c r="B763" i="3"/>
  <c r="A763" i="3"/>
  <c r="T762" i="3"/>
  <c r="S762" i="3"/>
  <c r="Q762" i="3"/>
  <c r="O762" i="3"/>
  <c r="M762" i="3"/>
  <c r="K762" i="3"/>
  <c r="J762" i="3"/>
  <c r="I762" i="3"/>
  <c r="H762" i="3"/>
  <c r="G762" i="3"/>
  <c r="F762" i="3"/>
  <c r="E762" i="3"/>
  <c r="D762" i="3"/>
  <c r="C762" i="3"/>
  <c r="B762" i="3"/>
  <c r="A762" i="3"/>
  <c r="T761" i="3"/>
  <c r="S761" i="3"/>
  <c r="Q761" i="3"/>
  <c r="O761" i="3"/>
  <c r="K761" i="3"/>
  <c r="J761" i="3"/>
  <c r="I761" i="3"/>
  <c r="H761" i="3"/>
  <c r="G761" i="3"/>
  <c r="F761" i="3"/>
  <c r="E761" i="3"/>
  <c r="D761" i="3"/>
  <c r="C761" i="3"/>
  <c r="B761" i="3"/>
  <c r="A761" i="3"/>
  <c r="T760" i="3"/>
  <c r="S760" i="3"/>
  <c r="Q760" i="3"/>
  <c r="O760" i="3"/>
  <c r="M760" i="3"/>
  <c r="K760" i="3"/>
  <c r="J760" i="3"/>
  <c r="I760" i="3"/>
  <c r="H760" i="3"/>
  <c r="G760" i="3"/>
  <c r="F760" i="3"/>
  <c r="E760" i="3"/>
  <c r="D760" i="3"/>
  <c r="C760" i="3"/>
  <c r="B760" i="3"/>
  <c r="A760" i="3"/>
  <c r="T759" i="3"/>
  <c r="S759" i="3"/>
  <c r="Q759" i="3"/>
  <c r="O759" i="3"/>
  <c r="M759" i="3"/>
  <c r="K759" i="3"/>
  <c r="J759" i="3"/>
  <c r="I759" i="3"/>
  <c r="H759" i="3"/>
  <c r="G759" i="3"/>
  <c r="F759" i="3"/>
  <c r="E759" i="3"/>
  <c r="D759" i="3"/>
  <c r="C759" i="3"/>
  <c r="B759" i="3"/>
  <c r="A759" i="3"/>
  <c r="T758" i="3"/>
  <c r="S758" i="3"/>
  <c r="Q758" i="3"/>
  <c r="O758" i="3"/>
  <c r="M758" i="3"/>
  <c r="K758" i="3"/>
  <c r="J758" i="3"/>
  <c r="I758" i="3"/>
  <c r="H758" i="3"/>
  <c r="G758" i="3"/>
  <c r="F758" i="3"/>
  <c r="E758" i="3"/>
  <c r="D758" i="3"/>
  <c r="C758" i="3"/>
  <c r="B758" i="3"/>
  <c r="A758" i="3"/>
  <c r="T757" i="3"/>
  <c r="S757" i="3"/>
  <c r="Q757" i="3"/>
  <c r="J757" i="3"/>
  <c r="I757" i="3"/>
  <c r="H757" i="3"/>
  <c r="G757" i="3"/>
  <c r="F757" i="3"/>
  <c r="E757" i="3"/>
  <c r="D757" i="3"/>
  <c r="C757" i="3"/>
  <c r="B757" i="3"/>
  <c r="A757" i="3"/>
  <c r="T756" i="3"/>
  <c r="S756" i="3"/>
  <c r="Q756" i="3"/>
  <c r="O756" i="3"/>
  <c r="M756" i="3"/>
  <c r="K756" i="3"/>
  <c r="J756" i="3"/>
  <c r="I756" i="3"/>
  <c r="H756" i="3"/>
  <c r="G756" i="3"/>
  <c r="F756" i="3"/>
  <c r="E756" i="3"/>
  <c r="D756" i="3"/>
  <c r="C756" i="3"/>
  <c r="B756" i="3"/>
  <c r="A756" i="3"/>
  <c r="T755" i="3"/>
  <c r="S755" i="3"/>
  <c r="Q755" i="3"/>
  <c r="O755" i="3"/>
  <c r="K755" i="3"/>
  <c r="J755" i="3"/>
  <c r="I755" i="3"/>
  <c r="H755" i="3"/>
  <c r="G755" i="3"/>
  <c r="F755" i="3"/>
  <c r="E755" i="3"/>
  <c r="D755" i="3"/>
  <c r="C755" i="3"/>
  <c r="B755" i="3"/>
  <c r="A755" i="3"/>
  <c r="T754" i="3"/>
  <c r="S754" i="3"/>
  <c r="Q754" i="3"/>
  <c r="J754" i="3"/>
  <c r="I754" i="3"/>
  <c r="H754" i="3"/>
  <c r="G754" i="3"/>
  <c r="F754" i="3"/>
  <c r="E754" i="3"/>
  <c r="D754" i="3"/>
  <c r="C754" i="3"/>
  <c r="B754" i="3"/>
  <c r="A754" i="3"/>
  <c r="T753" i="3"/>
  <c r="S753" i="3"/>
  <c r="Q753" i="3"/>
  <c r="J753" i="3"/>
  <c r="I753" i="3"/>
  <c r="H753" i="3"/>
  <c r="G753" i="3"/>
  <c r="F753" i="3"/>
  <c r="E753" i="3"/>
  <c r="D753" i="3"/>
  <c r="C753" i="3"/>
  <c r="B753" i="3"/>
  <c r="A753" i="3"/>
  <c r="T752" i="3"/>
  <c r="S752" i="3"/>
  <c r="Q752" i="3"/>
  <c r="O752" i="3"/>
  <c r="M752" i="3"/>
  <c r="K752" i="3"/>
  <c r="J752" i="3"/>
  <c r="I752" i="3"/>
  <c r="H752" i="3"/>
  <c r="G752" i="3"/>
  <c r="F752" i="3"/>
  <c r="E752" i="3"/>
  <c r="D752" i="3"/>
  <c r="C752" i="3"/>
  <c r="B752" i="3"/>
  <c r="A752" i="3"/>
  <c r="T751" i="3"/>
  <c r="S751" i="3"/>
  <c r="Q751" i="3"/>
  <c r="O751" i="3"/>
  <c r="M751" i="3"/>
  <c r="K751" i="3"/>
  <c r="J751" i="3"/>
  <c r="I751" i="3"/>
  <c r="H751" i="3"/>
  <c r="G751" i="3"/>
  <c r="F751" i="3"/>
  <c r="E751" i="3"/>
  <c r="D751" i="3"/>
  <c r="C751" i="3"/>
  <c r="B751" i="3"/>
  <c r="A751" i="3"/>
  <c r="T750" i="3"/>
  <c r="S750" i="3"/>
  <c r="Q750" i="3"/>
  <c r="J750" i="3"/>
  <c r="I750" i="3"/>
  <c r="H750" i="3"/>
  <c r="G750" i="3"/>
  <c r="F750" i="3"/>
  <c r="E750" i="3"/>
  <c r="D750" i="3"/>
  <c r="C750" i="3"/>
  <c r="B750" i="3"/>
  <c r="A750" i="3"/>
  <c r="T749" i="3"/>
  <c r="S749" i="3"/>
  <c r="Q749" i="3"/>
  <c r="O749" i="3"/>
  <c r="M749" i="3"/>
  <c r="K749" i="3"/>
  <c r="J749" i="3"/>
  <c r="I749" i="3"/>
  <c r="H749" i="3"/>
  <c r="G749" i="3"/>
  <c r="F749" i="3"/>
  <c r="E749" i="3"/>
  <c r="D749" i="3"/>
  <c r="C749" i="3"/>
  <c r="B749" i="3"/>
  <c r="A749" i="3"/>
  <c r="T748" i="3"/>
  <c r="S748" i="3"/>
  <c r="Q748" i="3"/>
  <c r="O748" i="3"/>
  <c r="M748" i="3"/>
  <c r="K748" i="3"/>
  <c r="J748" i="3"/>
  <c r="I748" i="3"/>
  <c r="H748" i="3"/>
  <c r="G748" i="3"/>
  <c r="F748" i="3"/>
  <c r="E748" i="3"/>
  <c r="D748" i="3"/>
  <c r="C748" i="3"/>
  <c r="B748" i="3"/>
  <c r="A748" i="3"/>
  <c r="T747" i="3"/>
  <c r="S747" i="3"/>
  <c r="Q747" i="3"/>
  <c r="J747" i="3"/>
  <c r="I747" i="3"/>
  <c r="H747" i="3"/>
  <c r="G747" i="3"/>
  <c r="F747" i="3"/>
  <c r="E747" i="3"/>
  <c r="D747" i="3"/>
  <c r="C747" i="3"/>
  <c r="B747" i="3"/>
  <c r="A747" i="3"/>
  <c r="T746" i="3"/>
  <c r="S746" i="3"/>
  <c r="Q746" i="3"/>
  <c r="O746" i="3"/>
  <c r="M746" i="3"/>
  <c r="K746" i="3"/>
  <c r="J746" i="3"/>
  <c r="I746" i="3"/>
  <c r="H746" i="3"/>
  <c r="G746" i="3"/>
  <c r="F746" i="3"/>
  <c r="E746" i="3"/>
  <c r="D746" i="3"/>
  <c r="C746" i="3"/>
  <c r="B746" i="3"/>
  <c r="A746" i="3"/>
  <c r="T745" i="3"/>
  <c r="S745" i="3"/>
  <c r="Q745" i="3"/>
  <c r="J745" i="3"/>
  <c r="I745" i="3"/>
  <c r="H745" i="3"/>
  <c r="G745" i="3"/>
  <c r="F745" i="3"/>
  <c r="E745" i="3"/>
  <c r="D745" i="3"/>
  <c r="C745" i="3"/>
  <c r="B745" i="3"/>
  <c r="A745" i="3"/>
  <c r="T744" i="3"/>
  <c r="S744" i="3"/>
  <c r="Q744" i="3"/>
  <c r="J744" i="3"/>
  <c r="I744" i="3"/>
  <c r="H744" i="3"/>
  <c r="G744" i="3"/>
  <c r="F744" i="3"/>
  <c r="E744" i="3"/>
  <c r="D744" i="3"/>
  <c r="C744" i="3"/>
  <c r="B744" i="3"/>
  <c r="A744" i="3"/>
  <c r="T743" i="3"/>
  <c r="S743" i="3"/>
  <c r="Q743" i="3"/>
  <c r="O743" i="3"/>
  <c r="K743" i="3"/>
  <c r="J743" i="3"/>
  <c r="I743" i="3"/>
  <c r="H743" i="3"/>
  <c r="G743" i="3"/>
  <c r="F743" i="3"/>
  <c r="E743" i="3"/>
  <c r="D743" i="3"/>
  <c r="C743" i="3"/>
  <c r="B743" i="3"/>
  <c r="A743" i="3"/>
  <c r="T742" i="3"/>
  <c r="S742" i="3"/>
  <c r="Q742" i="3"/>
  <c r="O742" i="3"/>
  <c r="K742" i="3"/>
  <c r="J742" i="3"/>
  <c r="I742" i="3"/>
  <c r="H742" i="3"/>
  <c r="G742" i="3"/>
  <c r="F742" i="3"/>
  <c r="E742" i="3"/>
  <c r="D742" i="3"/>
  <c r="C742" i="3"/>
  <c r="B742" i="3"/>
  <c r="A742" i="3"/>
  <c r="T741" i="3"/>
  <c r="S741" i="3"/>
  <c r="Q741" i="3"/>
  <c r="O741" i="3"/>
  <c r="K741" i="3"/>
  <c r="J741" i="3"/>
  <c r="I741" i="3"/>
  <c r="H741" i="3"/>
  <c r="G741" i="3"/>
  <c r="F741" i="3"/>
  <c r="E741" i="3"/>
  <c r="D741" i="3"/>
  <c r="C741" i="3"/>
  <c r="B741" i="3"/>
  <c r="A741" i="3"/>
  <c r="T740" i="3"/>
  <c r="S740" i="3"/>
  <c r="Q740" i="3"/>
  <c r="O740" i="3"/>
  <c r="M740" i="3"/>
  <c r="K740" i="3"/>
  <c r="J740" i="3"/>
  <c r="I740" i="3"/>
  <c r="H740" i="3"/>
  <c r="G740" i="3"/>
  <c r="F740" i="3"/>
  <c r="E740" i="3"/>
  <c r="D740" i="3"/>
  <c r="C740" i="3"/>
  <c r="B740" i="3"/>
  <c r="A740" i="3"/>
  <c r="T739" i="3"/>
  <c r="S739" i="3"/>
  <c r="Q739" i="3"/>
  <c r="O739" i="3"/>
  <c r="M739" i="3"/>
  <c r="K739" i="3"/>
  <c r="J739" i="3"/>
  <c r="I739" i="3"/>
  <c r="H739" i="3"/>
  <c r="G739" i="3"/>
  <c r="F739" i="3"/>
  <c r="E739" i="3"/>
  <c r="D739" i="3"/>
  <c r="C739" i="3"/>
  <c r="B739" i="3"/>
  <c r="A739" i="3"/>
  <c r="T738" i="3"/>
  <c r="S738" i="3"/>
  <c r="Q738" i="3"/>
  <c r="J738" i="3"/>
  <c r="I738" i="3"/>
  <c r="H738" i="3"/>
  <c r="G738" i="3"/>
  <c r="F738" i="3"/>
  <c r="E738" i="3"/>
  <c r="D738" i="3"/>
  <c r="C738" i="3"/>
  <c r="B738" i="3"/>
  <c r="A738" i="3"/>
  <c r="T737" i="3"/>
  <c r="S737" i="3"/>
  <c r="Q737" i="3"/>
  <c r="O737" i="3"/>
  <c r="K737" i="3"/>
  <c r="J737" i="3"/>
  <c r="I737" i="3"/>
  <c r="H737" i="3"/>
  <c r="G737" i="3"/>
  <c r="F737" i="3"/>
  <c r="E737" i="3"/>
  <c r="D737" i="3"/>
  <c r="C737" i="3"/>
  <c r="B737" i="3"/>
  <c r="A737" i="3"/>
  <c r="T736" i="3"/>
  <c r="S736" i="3"/>
  <c r="Q736" i="3"/>
  <c r="O736" i="3"/>
  <c r="M736" i="3"/>
  <c r="K736" i="3"/>
  <c r="J736" i="3"/>
  <c r="I736" i="3"/>
  <c r="H736" i="3"/>
  <c r="G736" i="3"/>
  <c r="F736" i="3"/>
  <c r="E736" i="3"/>
  <c r="D736" i="3"/>
  <c r="C736" i="3"/>
  <c r="B736" i="3"/>
  <c r="A736" i="3"/>
  <c r="T735" i="3"/>
  <c r="S735" i="3"/>
  <c r="Q735" i="3"/>
  <c r="K735" i="3"/>
  <c r="J735" i="3"/>
  <c r="I735" i="3"/>
  <c r="H735" i="3"/>
  <c r="G735" i="3"/>
  <c r="F735" i="3"/>
  <c r="E735" i="3"/>
  <c r="D735" i="3"/>
  <c r="C735" i="3"/>
  <c r="B735" i="3"/>
  <c r="A735" i="3"/>
  <c r="T734" i="3"/>
  <c r="S734" i="3"/>
  <c r="Q734" i="3"/>
  <c r="O734" i="3"/>
  <c r="M734" i="3"/>
  <c r="K734" i="3"/>
  <c r="J734" i="3"/>
  <c r="I734" i="3"/>
  <c r="H734" i="3"/>
  <c r="G734" i="3"/>
  <c r="F734" i="3"/>
  <c r="E734" i="3"/>
  <c r="D734" i="3"/>
  <c r="C734" i="3"/>
  <c r="B734" i="3"/>
  <c r="A734" i="3"/>
  <c r="T733" i="3"/>
  <c r="S733" i="3"/>
  <c r="Q733" i="3"/>
  <c r="O733" i="3"/>
  <c r="M733" i="3"/>
  <c r="K733" i="3"/>
  <c r="J733" i="3"/>
  <c r="I733" i="3"/>
  <c r="H733" i="3"/>
  <c r="G733" i="3"/>
  <c r="F733" i="3"/>
  <c r="E733" i="3"/>
  <c r="D733" i="3"/>
  <c r="C733" i="3"/>
  <c r="B733" i="3"/>
  <c r="A733" i="3"/>
  <c r="T732" i="3"/>
  <c r="S732" i="3"/>
  <c r="Q732" i="3"/>
  <c r="M732" i="3"/>
  <c r="K732" i="3"/>
  <c r="J732" i="3"/>
  <c r="I732" i="3"/>
  <c r="H732" i="3"/>
  <c r="G732" i="3"/>
  <c r="F732" i="3"/>
  <c r="E732" i="3"/>
  <c r="D732" i="3"/>
  <c r="C732" i="3"/>
  <c r="B732" i="3"/>
  <c r="A732" i="3"/>
  <c r="T731" i="3"/>
  <c r="S731" i="3"/>
  <c r="Q731" i="3"/>
  <c r="O731" i="3"/>
  <c r="K731" i="3"/>
  <c r="J731" i="3"/>
  <c r="I731" i="3"/>
  <c r="H731" i="3"/>
  <c r="G731" i="3"/>
  <c r="F731" i="3"/>
  <c r="E731" i="3"/>
  <c r="D731" i="3"/>
  <c r="C731" i="3"/>
  <c r="B731" i="3"/>
  <c r="A731" i="3"/>
  <c r="T730" i="3"/>
  <c r="S730" i="3"/>
  <c r="Q730" i="3"/>
  <c r="O730" i="3"/>
  <c r="M730" i="3"/>
  <c r="K730" i="3"/>
  <c r="J730" i="3"/>
  <c r="I730" i="3"/>
  <c r="H730" i="3"/>
  <c r="G730" i="3"/>
  <c r="F730" i="3"/>
  <c r="E730" i="3"/>
  <c r="D730" i="3"/>
  <c r="C730" i="3"/>
  <c r="B730" i="3"/>
  <c r="A730" i="3"/>
  <c r="T729" i="3"/>
  <c r="S729" i="3"/>
  <c r="Q729" i="3"/>
  <c r="M729" i="3"/>
  <c r="K729" i="3"/>
  <c r="J729" i="3"/>
  <c r="I729" i="3"/>
  <c r="H729" i="3"/>
  <c r="G729" i="3"/>
  <c r="F729" i="3"/>
  <c r="E729" i="3"/>
  <c r="D729" i="3"/>
  <c r="C729" i="3"/>
  <c r="B729" i="3"/>
  <c r="A729" i="3"/>
  <c r="T728" i="3"/>
  <c r="S728" i="3"/>
  <c r="Q728" i="3"/>
  <c r="O728" i="3"/>
  <c r="M728" i="3"/>
  <c r="K728" i="3"/>
  <c r="J728" i="3"/>
  <c r="I728" i="3"/>
  <c r="H728" i="3"/>
  <c r="G728" i="3"/>
  <c r="F728" i="3"/>
  <c r="E728" i="3"/>
  <c r="D728" i="3"/>
  <c r="C728" i="3"/>
  <c r="B728" i="3"/>
  <c r="A728" i="3"/>
  <c r="T727" i="3"/>
  <c r="S727" i="3"/>
  <c r="Q727" i="3"/>
  <c r="J727" i="3"/>
  <c r="I727" i="3"/>
  <c r="H727" i="3"/>
  <c r="G727" i="3"/>
  <c r="F727" i="3"/>
  <c r="E727" i="3"/>
  <c r="D727" i="3"/>
  <c r="C727" i="3"/>
  <c r="B727" i="3"/>
  <c r="A727" i="3"/>
  <c r="T726" i="3"/>
  <c r="S726" i="3"/>
  <c r="Q726" i="3"/>
  <c r="O726" i="3"/>
  <c r="M726" i="3"/>
  <c r="K726" i="3"/>
  <c r="J726" i="3"/>
  <c r="I726" i="3"/>
  <c r="H726" i="3"/>
  <c r="G726" i="3"/>
  <c r="F726" i="3"/>
  <c r="E726" i="3"/>
  <c r="D726" i="3"/>
  <c r="C726" i="3"/>
  <c r="B726" i="3"/>
  <c r="A726" i="3"/>
  <c r="T725" i="3"/>
  <c r="S725" i="3"/>
  <c r="Q725" i="3"/>
  <c r="K725" i="3"/>
  <c r="J725" i="3"/>
  <c r="I725" i="3"/>
  <c r="H725" i="3"/>
  <c r="G725" i="3"/>
  <c r="F725" i="3"/>
  <c r="E725" i="3"/>
  <c r="D725" i="3"/>
  <c r="C725" i="3"/>
  <c r="B725" i="3"/>
  <c r="A725" i="3"/>
  <c r="T724" i="3"/>
  <c r="S724" i="3"/>
  <c r="Q724" i="3"/>
  <c r="J724" i="3"/>
  <c r="I724" i="3"/>
  <c r="H724" i="3"/>
  <c r="G724" i="3"/>
  <c r="F724" i="3"/>
  <c r="E724" i="3"/>
  <c r="D724" i="3"/>
  <c r="C724" i="3"/>
  <c r="B724" i="3"/>
  <c r="A724" i="3"/>
  <c r="T723" i="3"/>
  <c r="S723" i="3"/>
  <c r="Q723" i="3"/>
  <c r="J723" i="3"/>
  <c r="I723" i="3"/>
  <c r="H723" i="3"/>
  <c r="G723" i="3"/>
  <c r="F723" i="3"/>
  <c r="E723" i="3"/>
  <c r="D723" i="3"/>
  <c r="C723" i="3"/>
  <c r="B723" i="3"/>
  <c r="A723" i="3"/>
  <c r="T722" i="3"/>
  <c r="S722" i="3"/>
  <c r="Q722" i="3"/>
  <c r="M722" i="3"/>
  <c r="K722" i="3"/>
  <c r="J722" i="3"/>
  <c r="I722" i="3"/>
  <c r="H722" i="3"/>
  <c r="G722" i="3"/>
  <c r="F722" i="3"/>
  <c r="E722" i="3"/>
  <c r="D722" i="3"/>
  <c r="C722" i="3"/>
  <c r="B722" i="3"/>
  <c r="A722" i="3"/>
  <c r="T721" i="3"/>
  <c r="S721" i="3"/>
  <c r="Q721" i="3"/>
  <c r="O721" i="3"/>
  <c r="K721" i="3"/>
  <c r="J721" i="3"/>
  <c r="I721" i="3"/>
  <c r="H721" i="3"/>
  <c r="G721" i="3"/>
  <c r="F721" i="3"/>
  <c r="E721" i="3"/>
  <c r="D721" i="3"/>
  <c r="C721" i="3"/>
  <c r="B721" i="3"/>
  <c r="A721" i="3"/>
  <c r="T720" i="3"/>
  <c r="S720" i="3"/>
  <c r="Q720" i="3"/>
  <c r="O720" i="3"/>
  <c r="K720" i="3"/>
  <c r="J720" i="3"/>
  <c r="I720" i="3"/>
  <c r="H720" i="3"/>
  <c r="G720" i="3"/>
  <c r="F720" i="3"/>
  <c r="E720" i="3"/>
  <c r="D720" i="3"/>
  <c r="C720" i="3"/>
  <c r="B720" i="3"/>
  <c r="A720" i="3"/>
  <c r="T719" i="3"/>
  <c r="S719" i="3"/>
  <c r="Q719" i="3"/>
  <c r="J719" i="3"/>
  <c r="I719" i="3"/>
  <c r="H719" i="3"/>
  <c r="G719" i="3"/>
  <c r="F719" i="3"/>
  <c r="E719" i="3"/>
  <c r="D719" i="3"/>
  <c r="C719" i="3"/>
  <c r="B719" i="3"/>
  <c r="A719" i="3"/>
  <c r="T718" i="3"/>
  <c r="S718" i="3"/>
  <c r="Q718" i="3"/>
  <c r="O718" i="3"/>
  <c r="M718" i="3"/>
  <c r="K718" i="3"/>
  <c r="J718" i="3"/>
  <c r="I718" i="3"/>
  <c r="H718" i="3"/>
  <c r="G718" i="3"/>
  <c r="F718" i="3"/>
  <c r="E718" i="3"/>
  <c r="D718" i="3"/>
  <c r="C718" i="3"/>
  <c r="B718" i="3"/>
  <c r="A718" i="3"/>
  <c r="T717" i="3"/>
  <c r="S717" i="3"/>
  <c r="Q717" i="3"/>
  <c r="J717" i="3"/>
  <c r="I717" i="3"/>
  <c r="H717" i="3"/>
  <c r="G717" i="3"/>
  <c r="F717" i="3"/>
  <c r="E717" i="3"/>
  <c r="D717" i="3"/>
  <c r="C717" i="3"/>
  <c r="B717" i="3"/>
  <c r="A717" i="3"/>
  <c r="T716" i="3"/>
  <c r="S716" i="3"/>
  <c r="Q716" i="3"/>
  <c r="J716" i="3"/>
  <c r="I716" i="3"/>
  <c r="H716" i="3"/>
  <c r="G716" i="3"/>
  <c r="F716" i="3"/>
  <c r="E716" i="3"/>
  <c r="D716" i="3"/>
  <c r="C716" i="3"/>
  <c r="B716" i="3"/>
  <c r="A716" i="3"/>
  <c r="T715" i="3"/>
  <c r="S715" i="3"/>
  <c r="Q715" i="3"/>
  <c r="O715" i="3"/>
  <c r="K715" i="3"/>
  <c r="J715" i="3"/>
  <c r="I715" i="3"/>
  <c r="H715" i="3"/>
  <c r="G715" i="3"/>
  <c r="F715" i="3"/>
  <c r="E715" i="3"/>
  <c r="D715" i="3"/>
  <c r="C715" i="3"/>
  <c r="B715" i="3"/>
  <c r="A715" i="3"/>
  <c r="T714" i="3"/>
  <c r="S714" i="3"/>
  <c r="Q714" i="3"/>
  <c r="O714" i="3"/>
  <c r="M714" i="3"/>
  <c r="K714" i="3"/>
  <c r="J714" i="3"/>
  <c r="I714" i="3"/>
  <c r="H714" i="3"/>
  <c r="G714" i="3"/>
  <c r="F714" i="3"/>
  <c r="E714" i="3"/>
  <c r="D714" i="3"/>
  <c r="C714" i="3"/>
  <c r="B714" i="3"/>
  <c r="A714" i="3"/>
  <c r="T713" i="3"/>
  <c r="S713" i="3"/>
  <c r="Q713" i="3"/>
  <c r="J713" i="3"/>
  <c r="I713" i="3"/>
  <c r="H713" i="3"/>
  <c r="G713" i="3"/>
  <c r="F713" i="3"/>
  <c r="E713" i="3"/>
  <c r="D713" i="3"/>
  <c r="C713" i="3"/>
  <c r="B713" i="3"/>
  <c r="A713" i="3"/>
  <c r="T712" i="3"/>
  <c r="S712" i="3"/>
  <c r="Q712" i="3"/>
  <c r="J712" i="3"/>
  <c r="I712" i="3"/>
  <c r="H712" i="3"/>
  <c r="G712" i="3"/>
  <c r="F712" i="3"/>
  <c r="E712" i="3"/>
  <c r="D712" i="3"/>
  <c r="C712" i="3"/>
  <c r="B712" i="3"/>
  <c r="A712" i="3"/>
  <c r="T711" i="3"/>
  <c r="S711" i="3"/>
  <c r="Q711" i="3"/>
  <c r="O711" i="3"/>
  <c r="K711" i="3"/>
  <c r="J711" i="3"/>
  <c r="I711" i="3"/>
  <c r="H711" i="3"/>
  <c r="G711" i="3"/>
  <c r="F711" i="3"/>
  <c r="E711" i="3"/>
  <c r="D711" i="3"/>
  <c r="C711" i="3"/>
  <c r="B711" i="3"/>
  <c r="A711" i="3"/>
  <c r="T710" i="3"/>
  <c r="S710" i="3"/>
  <c r="Q710" i="3"/>
  <c r="O710" i="3"/>
  <c r="M710" i="3"/>
  <c r="K710" i="3"/>
  <c r="J710" i="3"/>
  <c r="I710" i="3"/>
  <c r="H710" i="3"/>
  <c r="G710" i="3"/>
  <c r="F710" i="3"/>
  <c r="E710" i="3"/>
  <c r="D710" i="3"/>
  <c r="C710" i="3"/>
  <c r="B710" i="3"/>
  <c r="A710" i="3"/>
  <c r="T709" i="3"/>
  <c r="S709" i="3"/>
  <c r="Q709" i="3"/>
  <c r="O709" i="3"/>
  <c r="M709" i="3"/>
  <c r="K709" i="3"/>
  <c r="J709" i="3"/>
  <c r="I709" i="3"/>
  <c r="H709" i="3"/>
  <c r="G709" i="3"/>
  <c r="F709" i="3"/>
  <c r="E709" i="3"/>
  <c r="D709" i="3"/>
  <c r="C709" i="3"/>
  <c r="B709" i="3"/>
  <c r="A709" i="3"/>
  <c r="T708" i="3"/>
  <c r="S708" i="3"/>
  <c r="Q708" i="3"/>
  <c r="O708" i="3"/>
  <c r="M708" i="3"/>
  <c r="K708" i="3"/>
  <c r="J708" i="3"/>
  <c r="I708" i="3"/>
  <c r="H708" i="3"/>
  <c r="G708" i="3"/>
  <c r="F708" i="3"/>
  <c r="E708" i="3"/>
  <c r="D708" i="3"/>
  <c r="C708" i="3"/>
  <c r="B708" i="3"/>
  <c r="A708" i="3"/>
  <c r="T707" i="3"/>
  <c r="S707" i="3"/>
  <c r="Q707" i="3"/>
  <c r="O707" i="3"/>
  <c r="M707" i="3"/>
  <c r="K707" i="3"/>
  <c r="J707" i="3"/>
  <c r="I707" i="3"/>
  <c r="H707" i="3"/>
  <c r="G707" i="3"/>
  <c r="F707" i="3"/>
  <c r="E707" i="3"/>
  <c r="D707" i="3"/>
  <c r="C707" i="3"/>
  <c r="B707" i="3"/>
  <c r="A707" i="3"/>
  <c r="T706" i="3"/>
  <c r="S706" i="3"/>
  <c r="Q706" i="3"/>
  <c r="K706" i="3"/>
  <c r="J706" i="3"/>
  <c r="I706" i="3"/>
  <c r="H706" i="3"/>
  <c r="G706" i="3"/>
  <c r="F706" i="3"/>
  <c r="E706" i="3"/>
  <c r="D706" i="3"/>
  <c r="C706" i="3"/>
  <c r="B706" i="3"/>
  <c r="A706" i="3"/>
  <c r="T705" i="3"/>
  <c r="S705" i="3"/>
  <c r="Q705" i="3"/>
  <c r="O705" i="3"/>
  <c r="M705" i="3"/>
  <c r="K705" i="3"/>
  <c r="J705" i="3"/>
  <c r="I705" i="3"/>
  <c r="H705" i="3"/>
  <c r="G705" i="3"/>
  <c r="F705" i="3"/>
  <c r="E705" i="3"/>
  <c r="D705" i="3"/>
  <c r="C705" i="3"/>
  <c r="B705" i="3"/>
  <c r="A705" i="3"/>
  <c r="T704" i="3"/>
  <c r="S704" i="3"/>
  <c r="Q704" i="3"/>
  <c r="O704" i="3"/>
  <c r="M704" i="3"/>
  <c r="K704" i="3"/>
  <c r="J704" i="3"/>
  <c r="I704" i="3"/>
  <c r="H704" i="3"/>
  <c r="G704" i="3"/>
  <c r="F704" i="3"/>
  <c r="E704" i="3"/>
  <c r="D704" i="3"/>
  <c r="C704" i="3"/>
  <c r="B704" i="3"/>
  <c r="A704" i="3"/>
  <c r="T703" i="3"/>
  <c r="S703" i="3"/>
  <c r="Q703" i="3"/>
  <c r="O703" i="3"/>
  <c r="M703" i="3"/>
  <c r="K703" i="3"/>
  <c r="J703" i="3"/>
  <c r="I703" i="3"/>
  <c r="H703" i="3"/>
  <c r="G703" i="3"/>
  <c r="F703" i="3"/>
  <c r="E703" i="3"/>
  <c r="D703" i="3"/>
  <c r="C703" i="3"/>
  <c r="B703" i="3"/>
  <c r="A703" i="3"/>
  <c r="T702" i="3"/>
  <c r="S702" i="3"/>
  <c r="Q702" i="3"/>
  <c r="J702" i="3"/>
  <c r="I702" i="3"/>
  <c r="H702" i="3"/>
  <c r="G702" i="3"/>
  <c r="F702" i="3"/>
  <c r="E702" i="3"/>
  <c r="D702" i="3"/>
  <c r="C702" i="3"/>
  <c r="B702" i="3"/>
  <c r="A702" i="3"/>
  <c r="T701" i="3"/>
  <c r="S701" i="3"/>
  <c r="Q701" i="3"/>
  <c r="J701" i="3"/>
  <c r="I701" i="3"/>
  <c r="H701" i="3"/>
  <c r="G701" i="3"/>
  <c r="F701" i="3"/>
  <c r="E701" i="3"/>
  <c r="D701" i="3"/>
  <c r="C701" i="3"/>
  <c r="B701" i="3"/>
  <c r="A701" i="3"/>
  <c r="T700" i="3"/>
  <c r="S700" i="3"/>
  <c r="Q700" i="3"/>
  <c r="O700" i="3"/>
  <c r="K700" i="3"/>
  <c r="J700" i="3"/>
  <c r="I700" i="3"/>
  <c r="H700" i="3"/>
  <c r="G700" i="3"/>
  <c r="F700" i="3"/>
  <c r="E700" i="3"/>
  <c r="D700" i="3"/>
  <c r="C700" i="3"/>
  <c r="B700" i="3"/>
  <c r="A700" i="3"/>
  <c r="T699" i="3"/>
  <c r="S699" i="3"/>
  <c r="Q699" i="3"/>
  <c r="O699" i="3"/>
  <c r="M699" i="3"/>
  <c r="K699" i="3"/>
  <c r="J699" i="3"/>
  <c r="I699" i="3"/>
  <c r="H699" i="3"/>
  <c r="G699" i="3"/>
  <c r="F699" i="3"/>
  <c r="E699" i="3"/>
  <c r="D699" i="3"/>
  <c r="C699" i="3"/>
  <c r="B699" i="3"/>
  <c r="A699" i="3"/>
  <c r="T698" i="3"/>
  <c r="S698" i="3"/>
  <c r="Q698" i="3"/>
  <c r="O698" i="3"/>
  <c r="M698" i="3"/>
  <c r="K698" i="3"/>
  <c r="J698" i="3"/>
  <c r="I698" i="3"/>
  <c r="H698" i="3"/>
  <c r="G698" i="3"/>
  <c r="F698" i="3"/>
  <c r="E698" i="3"/>
  <c r="D698" i="3"/>
  <c r="C698" i="3"/>
  <c r="B698" i="3"/>
  <c r="A698" i="3"/>
  <c r="T697" i="3"/>
  <c r="S697" i="3"/>
  <c r="Q697" i="3"/>
  <c r="J697" i="3"/>
  <c r="I697" i="3"/>
  <c r="H697" i="3"/>
  <c r="G697" i="3"/>
  <c r="F697" i="3"/>
  <c r="E697" i="3"/>
  <c r="D697" i="3"/>
  <c r="C697" i="3"/>
  <c r="B697" i="3"/>
  <c r="A697" i="3"/>
  <c r="T696" i="3"/>
  <c r="S696" i="3"/>
  <c r="Q696" i="3"/>
  <c r="J696" i="3"/>
  <c r="I696" i="3"/>
  <c r="H696" i="3"/>
  <c r="G696" i="3"/>
  <c r="F696" i="3"/>
  <c r="E696" i="3"/>
  <c r="D696" i="3"/>
  <c r="C696" i="3"/>
  <c r="B696" i="3"/>
  <c r="A696" i="3"/>
  <c r="T695" i="3"/>
  <c r="S695" i="3"/>
  <c r="Q695" i="3"/>
  <c r="O695" i="3"/>
  <c r="M695" i="3"/>
  <c r="K695" i="3"/>
  <c r="J695" i="3"/>
  <c r="I695" i="3"/>
  <c r="H695" i="3"/>
  <c r="G695" i="3"/>
  <c r="F695" i="3"/>
  <c r="E695" i="3"/>
  <c r="D695" i="3"/>
  <c r="C695" i="3"/>
  <c r="B695" i="3"/>
  <c r="A695" i="3"/>
  <c r="T694" i="3"/>
  <c r="S694" i="3"/>
  <c r="Q694" i="3"/>
  <c r="O694" i="3"/>
  <c r="M694" i="3"/>
  <c r="K694" i="3"/>
  <c r="J694" i="3"/>
  <c r="I694" i="3"/>
  <c r="H694" i="3"/>
  <c r="G694" i="3"/>
  <c r="F694" i="3"/>
  <c r="E694" i="3"/>
  <c r="D694" i="3"/>
  <c r="C694" i="3"/>
  <c r="B694" i="3"/>
  <c r="A694" i="3"/>
  <c r="T693" i="3"/>
  <c r="S693" i="3"/>
  <c r="Q693" i="3"/>
  <c r="M693" i="3"/>
  <c r="K693" i="3"/>
  <c r="J693" i="3"/>
  <c r="I693" i="3"/>
  <c r="H693" i="3"/>
  <c r="G693" i="3"/>
  <c r="F693" i="3"/>
  <c r="E693" i="3"/>
  <c r="D693" i="3"/>
  <c r="C693" i="3"/>
  <c r="B693" i="3"/>
  <c r="A693" i="3"/>
  <c r="T692" i="3"/>
  <c r="S692" i="3"/>
  <c r="Q692" i="3"/>
  <c r="M692" i="3"/>
  <c r="K692" i="3"/>
  <c r="J692" i="3"/>
  <c r="I692" i="3"/>
  <c r="H692" i="3"/>
  <c r="G692" i="3"/>
  <c r="F692" i="3"/>
  <c r="E692" i="3"/>
  <c r="D692" i="3"/>
  <c r="C692" i="3"/>
  <c r="B692" i="3"/>
  <c r="A692" i="3"/>
  <c r="T691" i="3"/>
  <c r="S691" i="3"/>
  <c r="Q691" i="3"/>
  <c r="O691" i="3"/>
  <c r="K691" i="3"/>
  <c r="J691" i="3"/>
  <c r="I691" i="3"/>
  <c r="H691" i="3"/>
  <c r="G691" i="3"/>
  <c r="F691" i="3"/>
  <c r="E691" i="3"/>
  <c r="D691" i="3"/>
  <c r="C691" i="3"/>
  <c r="B691" i="3"/>
  <c r="A691" i="3"/>
  <c r="T690" i="3"/>
  <c r="S690" i="3"/>
  <c r="Q690" i="3"/>
  <c r="K690" i="3"/>
  <c r="J690" i="3"/>
  <c r="I690" i="3"/>
  <c r="H690" i="3"/>
  <c r="G690" i="3"/>
  <c r="F690" i="3"/>
  <c r="E690" i="3"/>
  <c r="D690" i="3"/>
  <c r="C690" i="3"/>
  <c r="B690" i="3"/>
  <c r="A690" i="3"/>
  <c r="T689" i="3"/>
  <c r="S689" i="3"/>
  <c r="Q689" i="3"/>
  <c r="J689" i="3"/>
  <c r="I689" i="3"/>
  <c r="H689" i="3"/>
  <c r="G689" i="3"/>
  <c r="F689" i="3"/>
  <c r="E689" i="3"/>
  <c r="D689" i="3"/>
  <c r="C689" i="3"/>
  <c r="B689" i="3"/>
  <c r="A689" i="3"/>
  <c r="T688" i="3"/>
  <c r="S688" i="3"/>
  <c r="Q688" i="3"/>
  <c r="J688" i="3"/>
  <c r="I688" i="3"/>
  <c r="H688" i="3"/>
  <c r="G688" i="3"/>
  <c r="F688" i="3"/>
  <c r="E688" i="3"/>
  <c r="D688" i="3"/>
  <c r="C688" i="3"/>
  <c r="B688" i="3"/>
  <c r="A688" i="3"/>
  <c r="T687" i="3"/>
  <c r="S687" i="3"/>
  <c r="Q687" i="3"/>
  <c r="J687" i="3"/>
  <c r="I687" i="3"/>
  <c r="H687" i="3"/>
  <c r="G687" i="3"/>
  <c r="F687" i="3"/>
  <c r="E687" i="3"/>
  <c r="D687" i="3"/>
  <c r="C687" i="3"/>
  <c r="B687" i="3"/>
  <c r="A687" i="3"/>
  <c r="T686" i="3"/>
  <c r="S686" i="3"/>
  <c r="Q686" i="3"/>
  <c r="O686" i="3"/>
  <c r="M686" i="3"/>
  <c r="K686" i="3"/>
  <c r="J686" i="3"/>
  <c r="I686" i="3"/>
  <c r="H686" i="3"/>
  <c r="G686" i="3"/>
  <c r="F686" i="3"/>
  <c r="E686" i="3"/>
  <c r="D686" i="3"/>
  <c r="C686" i="3"/>
  <c r="B686" i="3"/>
  <c r="A686" i="3"/>
  <c r="T685" i="3"/>
  <c r="S685" i="3"/>
  <c r="Q685" i="3"/>
  <c r="J685" i="3"/>
  <c r="I685" i="3"/>
  <c r="H685" i="3"/>
  <c r="G685" i="3"/>
  <c r="F685" i="3"/>
  <c r="E685" i="3"/>
  <c r="D685" i="3"/>
  <c r="C685" i="3"/>
  <c r="B685" i="3"/>
  <c r="A685" i="3"/>
  <c r="T684" i="3"/>
  <c r="S684" i="3"/>
  <c r="Q684" i="3"/>
  <c r="M684" i="3"/>
  <c r="K684" i="3"/>
  <c r="J684" i="3"/>
  <c r="I684" i="3"/>
  <c r="H684" i="3"/>
  <c r="G684" i="3"/>
  <c r="F684" i="3"/>
  <c r="E684" i="3"/>
  <c r="D684" i="3"/>
  <c r="C684" i="3"/>
  <c r="B684" i="3"/>
  <c r="A684" i="3"/>
  <c r="T683" i="3"/>
  <c r="S683" i="3"/>
  <c r="Q683" i="3"/>
  <c r="O683" i="3"/>
  <c r="K683" i="3"/>
  <c r="J683" i="3"/>
  <c r="I683" i="3"/>
  <c r="H683" i="3"/>
  <c r="G683" i="3"/>
  <c r="F683" i="3"/>
  <c r="E683" i="3"/>
  <c r="D683" i="3"/>
  <c r="C683" i="3"/>
  <c r="B683" i="3"/>
  <c r="A683" i="3"/>
  <c r="T682" i="3"/>
  <c r="S682" i="3"/>
  <c r="Q682" i="3"/>
  <c r="J682" i="3"/>
  <c r="I682" i="3"/>
  <c r="H682" i="3"/>
  <c r="G682" i="3"/>
  <c r="F682" i="3"/>
  <c r="E682" i="3"/>
  <c r="D682" i="3"/>
  <c r="C682" i="3"/>
  <c r="B682" i="3"/>
  <c r="A682" i="3"/>
  <c r="T681" i="3"/>
  <c r="S681" i="3"/>
  <c r="Q681" i="3"/>
  <c r="O681" i="3"/>
  <c r="M681" i="3"/>
  <c r="K681" i="3"/>
  <c r="J681" i="3"/>
  <c r="I681" i="3"/>
  <c r="H681" i="3"/>
  <c r="G681" i="3"/>
  <c r="F681" i="3"/>
  <c r="E681" i="3"/>
  <c r="D681" i="3"/>
  <c r="C681" i="3"/>
  <c r="B681" i="3"/>
  <c r="A681" i="3"/>
  <c r="T680" i="3"/>
  <c r="S680" i="3"/>
  <c r="Q680" i="3"/>
  <c r="O680" i="3"/>
  <c r="M680" i="3"/>
  <c r="K680" i="3"/>
  <c r="J680" i="3"/>
  <c r="I680" i="3"/>
  <c r="H680" i="3"/>
  <c r="G680" i="3"/>
  <c r="F680" i="3"/>
  <c r="E680" i="3"/>
  <c r="D680" i="3"/>
  <c r="C680" i="3"/>
  <c r="B680" i="3"/>
  <c r="A680" i="3"/>
  <c r="T679" i="3"/>
  <c r="S679" i="3"/>
  <c r="R679" i="3"/>
  <c r="Q679" i="3"/>
  <c r="J679" i="3"/>
  <c r="I679" i="3"/>
  <c r="H679" i="3"/>
  <c r="G679" i="3"/>
  <c r="F679" i="3"/>
  <c r="E679" i="3"/>
  <c r="D679" i="3"/>
  <c r="C679" i="3"/>
  <c r="B679" i="3"/>
  <c r="A679" i="3"/>
  <c r="T678" i="3"/>
  <c r="S678" i="3"/>
  <c r="R678" i="3"/>
  <c r="Q678" i="3"/>
  <c r="O678" i="3"/>
  <c r="M678" i="3"/>
  <c r="K678" i="3"/>
  <c r="J678" i="3"/>
  <c r="I678" i="3"/>
  <c r="H678" i="3"/>
  <c r="G678" i="3"/>
  <c r="F678" i="3"/>
  <c r="E678" i="3"/>
  <c r="D678" i="3"/>
  <c r="C678" i="3"/>
  <c r="B678" i="3"/>
  <c r="A678" i="3"/>
  <c r="T677" i="3"/>
  <c r="S677" i="3"/>
  <c r="R677" i="3"/>
  <c r="Q677" i="3"/>
  <c r="J677" i="3"/>
  <c r="I677" i="3"/>
  <c r="H677" i="3"/>
  <c r="G677" i="3"/>
  <c r="F677" i="3"/>
  <c r="E677" i="3"/>
  <c r="D677" i="3"/>
  <c r="C677" i="3"/>
  <c r="B677" i="3"/>
  <c r="A677" i="3"/>
  <c r="T676" i="3"/>
  <c r="S676" i="3"/>
  <c r="R676" i="3"/>
  <c r="Q676" i="3"/>
  <c r="J676" i="3"/>
  <c r="I676" i="3"/>
  <c r="H676" i="3"/>
  <c r="G676" i="3"/>
  <c r="F676" i="3"/>
  <c r="E676" i="3"/>
  <c r="D676" i="3"/>
  <c r="C676" i="3"/>
  <c r="B676" i="3"/>
  <c r="A676" i="3"/>
  <c r="T675" i="3"/>
  <c r="S675" i="3"/>
  <c r="R675" i="3"/>
  <c r="Q675" i="3"/>
  <c r="J675" i="3"/>
  <c r="I675" i="3"/>
  <c r="H675" i="3"/>
  <c r="G675" i="3"/>
  <c r="F675" i="3"/>
  <c r="E675" i="3"/>
  <c r="D675" i="3"/>
  <c r="C675" i="3"/>
  <c r="B675" i="3"/>
  <c r="A675" i="3"/>
  <c r="T674" i="3"/>
  <c r="S674" i="3"/>
  <c r="R674" i="3"/>
  <c r="Q674" i="3"/>
  <c r="K674" i="3"/>
  <c r="J674" i="3"/>
  <c r="I674" i="3"/>
  <c r="H674" i="3"/>
  <c r="G674" i="3"/>
  <c r="F674" i="3"/>
  <c r="E674" i="3"/>
  <c r="D674" i="3"/>
  <c r="C674" i="3"/>
  <c r="B674" i="3"/>
  <c r="A674" i="3"/>
  <c r="T673" i="3"/>
  <c r="S673" i="3"/>
  <c r="R673" i="3"/>
  <c r="Q673" i="3"/>
  <c r="O673" i="3"/>
  <c r="M673" i="3"/>
  <c r="K673" i="3"/>
  <c r="J673" i="3"/>
  <c r="I673" i="3"/>
  <c r="H673" i="3"/>
  <c r="G673" i="3"/>
  <c r="F673" i="3"/>
  <c r="E673" i="3"/>
  <c r="D673" i="3"/>
  <c r="C673" i="3"/>
  <c r="B673" i="3"/>
  <c r="A673" i="3"/>
  <c r="T672" i="3"/>
  <c r="S672" i="3"/>
  <c r="R672" i="3"/>
  <c r="Q672" i="3"/>
  <c r="M672" i="3"/>
  <c r="K672" i="3"/>
  <c r="J672" i="3"/>
  <c r="I672" i="3"/>
  <c r="H672" i="3"/>
  <c r="G672" i="3"/>
  <c r="F672" i="3"/>
  <c r="E672" i="3"/>
  <c r="D672" i="3"/>
  <c r="C672" i="3"/>
  <c r="B672" i="3"/>
  <c r="A672" i="3"/>
  <c r="T671" i="3"/>
  <c r="S671" i="3"/>
  <c r="R671" i="3"/>
  <c r="Q671" i="3"/>
  <c r="O671" i="3"/>
  <c r="K671" i="3"/>
  <c r="J671" i="3"/>
  <c r="I671" i="3"/>
  <c r="H671" i="3"/>
  <c r="G671" i="3"/>
  <c r="F671" i="3"/>
  <c r="E671" i="3"/>
  <c r="D671" i="3"/>
  <c r="C671" i="3"/>
  <c r="B671" i="3"/>
  <c r="A671" i="3"/>
  <c r="T670" i="3"/>
  <c r="S670" i="3"/>
  <c r="R670" i="3"/>
  <c r="Q670" i="3"/>
  <c r="O670" i="3"/>
  <c r="M670" i="3"/>
  <c r="K670" i="3"/>
  <c r="J670" i="3"/>
  <c r="I670" i="3"/>
  <c r="H670" i="3"/>
  <c r="G670" i="3"/>
  <c r="F670" i="3"/>
  <c r="E670" i="3"/>
  <c r="D670" i="3"/>
  <c r="C670" i="3"/>
  <c r="B670" i="3"/>
  <c r="A670" i="3"/>
  <c r="T669" i="3"/>
  <c r="S669" i="3"/>
  <c r="R669" i="3"/>
  <c r="Q669" i="3"/>
  <c r="O669" i="3"/>
  <c r="K669" i="3"/>
  <c r="J669" i="3"/>
  <c r="I669" i="3"/>
  <c r="H669" i="3"/>
  <c r="G669" i="3"/>
  <c r="F669" i="3"/>
  <c r="E669" i="3"/>
  <c r="D669" i="3"/>
  <c r="C669" i="3"/>
  <c r="B669" i="3"/>
  <c r="A669" i="3"/>
  <c r="T668" i="3"/>
  <c r="S668" i="3"/>
  <c r="R668" i="3"/>
  <c r="Q668" i="3"/>
  <c r="K668" i="3"/>
  <c r="J668" i="3"/>
  <c r="I668" i="3"/>
  <c r="H668" i="3"/>
  <c r="G668" i="3"/>
  <c r="F668" i="3"/>
  <c r="E668" i="3"/>
  <c r="D668" i="3"/>
  <c r="C668" i="3"/>
  <c r="B668" i="3"/>
  <c r="A668" i="3"/>
  <c r="T667" i="3"/>
  <c r="S667" i="3"/>
  <c r="R667" i="3"/>
  <c r="Q667" i="3"/>
  <c r="O667" i="3"/>
  <c r="M667" i="3"/>
  <c r="K667" i="3"/>
  <c r="J667" i="3"/>
  <c r="I667" i="3"/>
  <c r="H667" i="3"/>
  <c r="G667" i="3"/>
  <c r="F667" i="3"/>
  <c r="E667" i="3"/>
  <c r="D667" i="3"/>
  <c r="C667" i="3"/>
  <c r="B667" i="3"/>
  <c r="A667" i="3"/>
  <c r="T666" i="3"/>
  <c r="S666" i="3"/>
  <c r="R666" i="3"/>
  <c r="Q666" i="3"/>
  <c r="K666" i="3"/>
  <c r="J666" i="3"/>
  <c r="I666" i="3"/>
  <c r="H666" i="3"/>
  <c r="G666" i="3"/>
  <c r="F666" i="3"/>
  <c r="E666" i="3"/>
  <c r="D666" i="3"/>
  <c r="C666" i="3"/>
  <c r="B666" i="3"/>
  <c r="A666" i="3"/>
  <c r="T665" i="3"/>
  <c r="S665" i="3"/>
  <c r="R665" i="3"/>
  <c r="Q665" i="3"/>
  <c r="O665" i="3"/>
  <c r="M665" i="3"/>
  <c r="K665" i="3"/>
  <c r="J665" i="3"/>
  <c r="I665" i="3"/>
  <c r="H665" i="3"/>
  <c r="G665" i="3"/>
  <c r="F665" i="3"/>
  <c r="E665" i="3"/>
  <c r="D665" i="3"/>
  <c r="C665" i="3"/>
  <c r="B665" i="3"/>
  <c r="A665" i="3"/>
  <c r="T664" i="3"/>
  <c r="S664" i="3"/>
  <c r="R664" i="3"/>
  <c r="Q664" i="3"/>
  <c r="O664" i="3"/>
  <c r="K664" i="3"/>
  <c r="J664" i="3"/>
  <c r="I664" i="3"/>
  <c r="H664" i="3"/>
  <c r="G664" i="3"/>
  <c r="F664" i="3"/>
  <c r="E664" i="3"/>
  <c r="D664" i="3"/>
  <c r="C664" i="3"/>
  <c r="B664" i="3"/>
  <c r="A664" i="3"/>
  <c r="T663" i="3"/>
  <c r="S663" i="3"/>
  <c r="R663" i="3"/>
  <c r="Q663" i="3"/>
  <c r="M663" i="3"/>
  <c r="K663" i="3"/>
  <c r="J663" i="3"/>
  <c r="I663" i="3"/>
  <c r="H663" i="3"/>
  <c r="G663" i="3"/>
  <c r="F663" i="3"/>
  <c r="E663" i="3"/>
  <c r="D663" i="3"/>
  <c r="C663" i="3"/>
  <c r="B663" i="3"/>
  <c r="A663" i="3"/>
  <c r="T662" i="3"/>
  <c r="S662" i="3"/>
  <c r="R662" i="3"/>
  <c r="Q662" i="3"/>
  <c r="M662" i="3"/>
  <c r="K662" i="3"/>
  <c r="J662" i="3"/>
  <c r="I662" i="3"/>
  <c r="H662" i="3"/>
  <c r="G662" i="3"/>
  <c r="F662" i="3"/>
  <c r="E662" i="3"/>
  <c r="D662" i="3"/>
  <c r="C662" i="3"/>
  <c r="B662" i="3"/>
  <c r="A662" i="3"/>
  <c r="T661" i="3"/>
  <c r="S661" i="3"/>
  <c r="R661" i="3"/>
  <c r="Q661" i="3"/>
  <c r="O661" i="3"/>
  <c r="M661" i="3"/>
  <c r="K661" i="3"/>
  <c r="J661" i="3"/>
  <c r="I661" i="3"/>
  <c r="H661" i="3"/>
  <c r="G661" i="3"/>
  <c r="F661" i="3"/>
  <c r="E661" i="3"/>
  <c r="D661" i="3"/>
  <c r="C661" i="3"/>
  <c r="B661" i="3"/>
  <c r="A661" i="3"/>
  <c r="T660" i="3"/>
  <c r="S660" i="3"/>
  <c r="R660" i="3"/>
  <c r="Q660" i="3"/>
  <c r="O660" i="3"/>
  <c r="M660" i="3"/>
  <c r="K660" i="3"/>
  <c r="J660" i="3"/>
  <c r="I660" i="3"/>
  <c r="H660" i="3"/>
  <c r="G660" i="3"/>
  <c r="F660" i="3"/>
  <c r="E660" i="3"/>
  <c r="D660" i="3"/>
  <c r="C660" i="3"/>
  <c r="B660" i="3"/>
  <c r="A660" i="3"/>
  <c r="T659" i="3"/>
  <c r="S659" i="3"/>
  <c r="R659" i="3"/>
  <c r="Q659" i="3"/>
  <c r="M659" i="3"/>
  <c r="K659" i="3"/>
  <c r="J659" i="3"/>
  <c r="I659" i="3"/>
  <c r="H659" i="3"/>
  <c r="G659" i="3"/>
  <c r="F659" i="3"/>
  <c r="E659" i="3"/>
  <c r="D659" i="3"/>
  <c r="C659" i="3"/>
  <c r="B659" i="3"/>
  <c r="A659" i="3"/>
  <c r="T658" i="3"/>
  <c r="S658" i="3"/>
  <c r="R658" i="3"/>
  <c r="Q658" i="3"/>
  <c r="O658" i="3"/>
  <c r="K658" i="3"/>
  <c r="J658" i="3"/>
  <c r="I658" i="3"/>
  <c r="H658" i="3"/>
  <c r="G658" i="3"/>
  <c r="F658" i="3"/>
  <c r="E658" i="3"/>
  <c r="D658" i="3"/>
  <c r="C658" i="3"/>
  <c r="B658" i="3"/>
  <c r="A658" i="3"/>
  <c r="T657" i="3"/>
  <c r="S657" i="3"/>
  <c r="R657" i="3"/>
  <c r="Q657" i="3"/>
  <c r="O657" i="3"/>
  <c r="K657" i="3"/>
  <c r="J657" i="3"/>
  <c r="I657" i="3"/>
  <c r="H657" i="3"/>
  <c r="G657" i="3"/>
  <c r="F657" i="3"/>
  <c r="E657" i="3"/>
  <c r="D657" i="3"/>
  <c r="C657" i="3"/>
  <c r="B657" i="3"/>
  <c r="A657" i="3"/>
  <c r="T656" i="3"/>
  <c r="S656" i="3"/>
  <c r="R656" i="3"/>
  <c r="Q656" i="3"/>
  <c r="O656" i="3"/>
  <c r="M656" i="3"/>
  <c r="K656" i="3"/>
  <c r="J656" i="3"/>
  <c r="I656" i="3"/>
  <c r="H656" i="3"/>
  <c r="G656" i="3"/>
  <c r="F656" i="3"/>
  <c r="E656" i="3"/>
  <c r="D656" i="3"/>
  <c r="C656" i="3"/>
  <c r="B656" i="3"/>
  <c r="A656" i="3"/>
  <c r="T655" i="3"/>
  <c r="S655" i="3"/>
  <c r="R655" i="3"/>
  <c r="Q655" i="3"/>
  <c r="J655" i="3"/>
  <c r="I655" i="3"/>
  <c r="H655" i="3"/>
  <c r="G655" i="3"/>
  <c r="F655" i="3"/>
  <c r="E655" i="3"/>
  <c r="D655" i="3"/>
  <c r="C655" i="3"/>
  <c r="B655" i="3"/>
  <c r="A655" i="3"/>
  <c r="T654" i="3"/>
  <c r="S654" i="3"/>
  <c r="R654" i="3"/>
  <c r="Q654" i="3"/>
  <c r="O654" i="3"/>
  <c r="M654" i="3"/>
  <c r="K654" i="3"/>
  <c r="J654" i="3"/>
  <c r="I654" i="3"/>
  <c r="H654" i="3"/>
  <c r="G654" i="3"/>
  <c r="F654" i="3"/>
  <c r="E654" i="3"/>
  <c r="D654" i="3"/>
  <c r="C654" i="3"/>
  <c r="B654" i="3"/>
  <c r="A654" i="3"/>
  <c r="T653" i="3"/>
  <c r="S653" i="3"/>
  <c r="R653" i="3"/>
  <c r="Q653" i="3"/>
  <c r="M653" i="3"/>
  <c r="K653" i="3"/>
  <c r="J653" i="3"/>
  <c r="I653" i="3"/>
  <c r="H653" i="3"/>
  <c r="G653" i="3"/>
  <c r="F653" i="3"/>
  <c r="E653" i="3"/>
  <c r="D653" i="3"/>
  <c r="C653" i="3"/>
  <c r="B653" i="3"/>
  <c r="A653" i="3"/>
  <c r="T652" i="3"/>
  <c r="S652" i="3"/>
  <c r="R652" i="3"/>
  <c r="Q652" i="3"/>
  <c r="J652" i="3"/>
  <c r="I652" i="3"/>
  <c r="H652" i="3"/>
  <c r="G652" i="3"/>
  <c r="F652" i="3"/>
  <c r="E652" i="3"/>
  <c r="D652" i="3"/>
  <c r="C652" i="3"/>
  <c r="B652" i="3"/>
  <c r="A652" i="3"/>
  <c r="T651" i="3"/>
  <c r="S651" i="3"/>
  <c r="R651" i="3"/>
  <c r="Q651" i="3"/>
  <c r="K651" i="3"/>
  <c r="J651" i="3"/>
  <c r="I651" i="3"/>
  <c r="H651" i="3"/>
  <c r="G651" i="3"/>
  <c r="F651" i="3"/>
  <c r="E651" i="3"/>
  <c r="D651" i="3"/>
  <c r="C651" i="3"/>
  <c r="B651" i="3"/>
  <c r="A651" i="3"/>
  <c r="T650" i="3"/>
  <c r="S650" i="3"/>
  <c r="R650" i="3"/>
  <c r="Q650" i="3"/>
  <c r="O650" i="3"/>
  <c r="M650" i="3"/>
  <c r="K650" i="3"/>
  <c r="J650" i="3"/>
  <c r="I650" i="3"/>
  <c r="H650" i="3"/>
  <c r="G650" i="3"/>
  <c r="F650" i="3"/>
  <c r="E650" i="3"/>
  <c r="D650" i="3"/>
  <c r="C650" i="3"/>
  <c r="B650" i="3"/>
  <c r="A650" i="3"/>
  <c r="T649" i="3"/>
  <c r="S649" i="3"/>
  <c r="R649" i="3"/>
  <c r="Q649" i="3"/>
  <c r="O649" i="3"/>
  <c r="K649" i="3"/>
  <c r="J649" i="3"/>
  <c r="I649" i="3"/>
  <c r="H649" i="3"/>
  <c r="G649" i="3"/>
  <c r="F649" i="3"/>
  <c r="E649" i="3"/>
  <c r="D649" i="3"/>
  <c r="C649" i="3"/>
  <c r="B649" i="3"/>
  <c r="A649" i="3"/>
  <c r="T648" i="3"/>
  <c r="S648" i="3"/>
  <c r="R648" i="3"/>
  <c r="Q648" i="3"/>
  <c r="O648" i="3"/>
  <c r="M648" i="3"/>
  <c r="K648" i="3"/>
  <c r="J648" i="3"/>
  <c r="I648" i="3"/>
  <c r="H648" i="3"/>
  <c r="G648" i="3"/>
  <c r="F648" i="3"/>
  <c r="E648" i="3"/>
  <c r="D648" i="3"/>
  <c r="C648" i="3"/>
  <c r="B648" i="3"/>
  <c r="A648" i="3"/>
  <c r="T647" i="3"/>
  <c r="S647" i="3"/>
  <c r="R647" i="3"/>
  <c r="Q647" i="3"/>
  <c r="M647" i="3"/>
  <c r="K647" i="3"/>
  <c r="J647" i="3"/>
  <c r="I647" i="3"/>
  <c r="H647" i="3"/>
  <c r="G647" i="3"/>
  <c r="F647" i="3"/>
  <c r="E647" i="3"/>
  <c r="D647" i="3"/>
  <c r="C647" i="3"/>
  <c r="B647" i="3"/>
  <c r="A647" i="3"/>
  <c r="T646" i="3"/>
  <c r="S646" i="3"/>
  <c r="R646" i="3"/>
  <c r="Q646" i="3"/>
  <c r="M646" i="3"/>
  <c r="K646" i="3"/>
  <c r="J646" i="3"/>
  <c r="I646" i="3"/>
  <c r="H646" i="3"/>
  <c r="G646" i="3"/>
  <c r="F646" i="3"/>
  <c r="E646" i="3"/>
  <c r="D646" i="3"/>
  <c r="C646" i="3"/>
  <c r="B646" i="3"/>
  <c r="A646" i="3"/>
  <c r="T645" i="3"/>
  <c r="S645" i="3"/>
  <c r="R645" i="3"/>
  <c r="Q645" i="3"/>
  <c r="O645" i="3"/>
  <c r="M645" i="3"/>
  <c r="K645" i="3"/>
  <c r="J645" i="3"/>
  <c r="I645" i="3"/>
  <c r="H645" i="3"/>
  <c r="G645" i="3"/>
  <c r="F645" i="3"/>
  <c r="E645" i="3"/>
  <c r="D645" i="3"/>
  <c r="C645" i="3"/>
  <c r="B645" i="3"/>
  <c r="A645" i="3"/>
  <c r="T644" i="3"/>
  <c r="S644" i="3"/>
  <c r="R644" i="3"/>
  <c r="Q644" i="3"/>
  <c r="J644" i="3"/>
  <c r="I644" i="3"/>
  <c r="H644" i="3"/>
  <c r="G644" i="3"/>
  <c r="F644" i="3"/>
  <c r="E644" i="3"/>
  <c r="D644" i="3"/>
  <c r="C644" i="3"/>
  <c r="B644" i="3"/>
  <c r="A644" i="3"/>
  <c r="T643" i="3"/>
  <c r="S643" i="3"/>
  <c r="R643" i="3"/>
  <c r="Q643" i="3"/>
  <c r="J643" i="3"/>
  <c r="I643" i="3"/>
  <c r="H643" i="3"/>
  <c r="G643" i="3"/>
  <c r="F643" i="3"/>
  <c r="E643" i="3"/>
  <c r="D643" i="3"/>
  <c r="C643" i="3"/>
  <c r="B643" i="3"/>
  <c r="A643" i="3"/>
  <c r="T642" i="3"/>
  <c r="S642" i="3"/>
  <c r="R642" i="3"/>
  <c r="Q642" i="3"/>
  <c r="J642" i="3"/>
  <c r="I642" i="3"/>
  <c r="H642" i="3"/>
  <c r="G642" i="3"/>
  <c r="F642" i="3"/>
  <c r="E642" i="3"/>
  <c r="D642" i="3"/>
  <c r="C642" i="3"/>
  <c r="B642" i="3"/>
  <c r="A642" i="3"/>
  <c r="T641" i="3"/>
  <c r="S641" i="3"/>
  <c r="R641" i="3"/>
  <c r="Q641" i="3"/>
  <c r="O641" i="3"/>
  <c r="K641" i="3"/>
  <c r="J641" i="3"/>
  <c r="I641" i="3"/>
  <c r="H641" i="3"/>
  <c r="G641" i="3"/>
  <c r="F641" i="3"/>
  <c r="E641" i="3"/>
  <c r="D641" i="3"/>
  <c r="C641" i="3"/>
  <c r="B641" i="3"/>
  <c r="A641" i="3"/>
  <c r="T640" i="3"/>
  <c r="S640" i="3"/>
  <c r="R640" i="3"/>
  <c r="Q640" i="3"/>
  <c r="O640" i="3"/>
  <c r="M640" i="3"/>
  <c r="K640" i="3"/>
  <c r="J640" i="3"/>
  <c r="I640" i="3"/>
  <c r="H640" i="3"/>
  <c r="G640" i="3"/>
  <c r="F640" i="3"/>
  <c r="E640" i="3"/>
  <c r="D640" i="3"/>
  <c r="C640" i="3"/>
  <c r="B640" i="3"/>
  <c r="A640" i="3"/>
  <c r="T639" i="3"/>
  <c r="S639" i="3"/>
  <c r="R639" i="3"/>
  <c r="Q639" i="3"/>
  <c r="K639" i="3"/>
  <c r="J639" i="3"/>
  <c r="I639" i="3"/>
  <c r="H639" i="3"/>
  <c r="G639" i="3"/>
  <c r="F639" i="3"/>
  <c r="E639" i="3"/>
  <c r="D639" i="3"/>
  <c r="C639" i="3"/>
  <c r="B639" i="3"/>
  <c r="A639" i="3"/>
  <c r="T638" i="3"/>
  <c r="S638" i="3"/>
  <c r="R638" i="3"/>
  <c r="Q638" i="3"/>
  <c r="O638" i="3"/>
  <c r="K638" i="3"/>
  <c r="J638" i="3"/>
  <c r="I638" i="3"/>
  <c r="H638" i="3"/>
  <c r="G638" i="3"/>
  <c r="F638" i="3"/>
  <c r="E638" i="3"/>
  <c r="D638" i="3"/>
  <c r="C638" i="3"/>
  <c r="B638" i="3"/>
  <c r="A638" i="3"/>
  <c r="T637" i="3"/>
  <c r="S637" i="3"/>
  <c r="R637" i="3"/>
  <c r="Q637" i="3"/>
  <c r="O637" i="3"/>
  <c r="M637" i="3"/>
  <c r="K637" i="3"/>
  <c r="J637" i="3"/>
  <c r="I637" i="3"/>
  <c r="H637" i="3"/>
  <c r="G637" i="3"/>
  <c r="F637" i="3"/>
  <c r="E637" i="3"/>
  <c r="D637" i="3"/>
  <c r="C637" i="3"/>
  <c r="B637" i="3"/>
  <c r="A637" i="3"/>
  <c r="T636" i="3"/>
  <c r="S636" i="3"/>
  <c r="R636" i="3"/>
  <c r="Q636" i="3"/>
  <c r="J636" i="3"/>
  <c r="I636" i="3"/>
  <c r="H636" i="3"/>
  <c r="G636" i="3"/>
  <c r="F636" i="3"/>
  <c r="E636" i="3"/>
  <c r="D636" i="3"/>
  <c r="C636" i="3"/>
  <c r="B636" i="3"/>
  <c r="A636" i="3"/>
  <c r="T635" i="3"/>
  <c r="S635" i="3"/>
  <c r="R635" i="3"/>
  <c r="Q635" i="3"/>
  <c r="M635" i="3"/>
  <c r="K635" i="3"/>
  <c r="J635" i="3"/>
  <c r="I635" i="3"/>
  <c r="H635" i="3"/>
  <c r="G635" i="3"/>
  <c r="F635" i="3"/>
  <c r="E635" i="3"/>
  <c r="D635" i="3"/>
  <c r="C635" i="3"/>
  <c r="B635" i="3"/>
  <c r="A635" i="3"/>
  <c r="T634" i="3"/>
  <c r="S634" i="3"/>
  <c r="R634" i="3"/>
  <c r="Q634" i="3"/>
  <c r="M634" i="3"/>
  <c r="K634" i="3"/>
  <c r="J634" i="3"/>
  <c r="I634" i="3"/>
  <c r="H634" i="3"/>
  <c r="G634" i="3"/>
  <c r="F634" i="3"/>
  <c r="E634" i="3"/>
  <c r="D634" i="3"/>
  <c r="C634" i="3"/>
  <c r="B634" i="3"/>
  <c r="A634" i="3"/>
  <c r="T633" i="3"/>
  <c r="S633" i="3"/>
  <c r="R633" i="3"/>
  <c r="Q633" i="3"/>
  <c r="O633" i="3"/>
  <c r="M633" i="3"/>
  <c r="K633" i="3"/>
  <c r="J633" i="3"/>
  <c r="I633" i="3"/>
  <c r="H633" i="3"/>
  <c r="G633" i="3"/>
  <c r="F633" i="3"/>
  <c r="E633" i="3"/>
  <c r="D633" i="3"/>
  <c r="C633" i="3"/>
  <c r="B633" i="3"/>
  <c r="A633" i="3"/>
  <c r="T632" i="3"/>
  <c r="S632" i="3"/>
  <c r="R632" i="3"/>
  <c r="Q632" i="3"/>
  <c r="O632" i="3"/>
  <c r="K632" i="3"/>
  <c r="J632" i="3"/>
  <c r="I632" i="3"/>
  <c r="H632" i="3"/>
  <c r="G632" i="3"/>
  <c r="F632" i="3"/>
  <c r="E632" i="3"/>
  <c r="D632" i="3"/>
  <c r="C632" i="3"/>
  <c r="B632" i="3"/>
  <c r="A632" i="3"/>
  <c r="T631" i="3"/>
  <c r="S631" i="3"/>
  <c r="R631" i="3"/>
  <c r="Q631" i="3"/>
  <c r="O631" i="3"/>
  <c r="K631" i="3"/>
  <c r="J631" i="3"/>
  <c r="I631" i="3"/>
  <c r="H631" i="3"/>
  <c r="G631" i="3"/>
  <c r="F631" i="3"/>
  <c r="E631" i="3"/>
  <c r="D631" i="3"/>
  <c r="C631" i="3"/>
  <c r="B631" i="3"/>
  <c r="A631" i="3"/>
  <c r="T630" i="3"/>
  <c r="S630" i="3"/>
  <c r="R630" i="3"/>
  <c r="Q630" i="3"/>
  <c r="O630" i="3"/>
  <c r="K630" i="3"/>
  <c r="J630" i="3"/>
  <c r="I630" i="3"/>
  <c r="H630" i="3"/>
  <c r="G630" i="3"/>
  <c r="F630" i="3"/>
  <c r="E630" i="3"/>
  <c r="D630" i="3"/>
  <c r="C630" i="3"/>
  <c r="B630" i="3"/>
  <c r="A630" i="3"/>
  <c r="T629" i="3"/>
  <c r="S629" i="3"/>
  <c r="R629" i="3"/>
  <c r="Q629" i="3"/>
  <c r="M629" i="3"/>
  <c r="K629" i="3"/>
  <c r="J629" i="3"/>
  <c r="I629" i="3"/>
  <c r="H629" i="3"/>
  <c r="G629" i="3"/>
  <c r="F629" i="3"/>
  <c r="E629" i="3"/>
  <c r="D629" i="3"/>
  <c r="C629" i="3"/>
  <c r="B629" i="3"/>
  <c r="A629" i="3"/>
  <c r="T628" i="3"/>
  <c r="S628" i="3"/>
  <c r="R628" i="3"/>
  <c r="Q628" i="3"/>
  <c r="M628" i="3"/>
  <c r="K628" i="3"/>
  <c r="J628" i="3"/>
  <c r="I628" i="3"/>
  <c r="H628" i="3"/>
  <c r="G628" i="3"/>
  <c r="F628" i="3"/>
  <c r="E628" i="3"/>
  <c r="D628" i="3"/>
  <c r="C628" i="3"/>
  <c r="B628" i="3"/>
  <c r="A628" i="3"/>
  <c r="T627" i="3"/>
  <c r="S627" i="3"/>
  <c r="R627" i="3"/>
  <c r="Q627" i="3"/>
  <c r="K627" i="3"/>
  <c r="J627" i="3"/>
  <c r="I627" i="3"/>
  <c r="H627" i="3"/>
  <c r="G627" i="3"/>
  <c r="F627" i="3"/>
  <c r="E627" i="3"/>
  <c r="D627" i="3"/>
  <c r="C627" i="3"/>
  <c r="B627" i="3"/>
  <c r="A627" i="3"/>
  <c r="T626" i="3"/>
  <c r="S626" i="3"/>
  <c r="R626" i="3"/>
  <c r="Q626" i="3"/>
  <c r="M626" i="3"/>
  <c r="K626" i="3"/>
  <c r="J626" i="3"/>
  <c r="I626" i="3"/>
  <c r="H626" i="3"/>
  <c r="G626" i="3"/>
  <c r="F626" i="3"/>
  <c r="E626" i="3"/>
  <c r="D626" i="3"/>
  <c r="C626" i="3"/>
  <c r="B626" i="3"/>
  <c r="A626" i="3"/>
  <c r="T625" i="3"/>
  <c r="S625" i="3"/>
  <c r="R625" i="3"/>
  <c r="Q625" i="3"/>
  <c r="M625" i="3"/>
  <c r="K625" i="3"/>
  <c r="J625" i="3"/>
  <c r="I625" i="3"/>
  <c r="H625" i="3"/>
  <c r="G625" i="3"/>
  <c r="F625" i="3"/>
  <c r="E625" i="3"/>
  <c r="D625" i="3"/>
  <c r="C625" i="3"/>
  <c r="B625" i="3"/>
  <c r="A625" i="3"/>
  <c r="T624" i="3"/>
  <c r="S624" i="3"/>
  <c r="R624" i="3"/>
  <c r="Q624" i="3"/>
  <c r="J624" i="3"/>
  <c r="I624" i="3"/>
  <c r="H624" i="3"/>
  <c r="G624" i="3"/>
  <c r="F624" i="3"/>
  <c r="E624" i="3"/>
  <c r="D624" i="3"/>
  <c r="C624" i="3"/>
  <c r="B624" i="3"/>
  <c r="A624" i="3"/>
  <c r="T623" i="3"/>
  <c r="S623" i="3"/>
  <c r="R623" i="3"/>
  <c r="Q623" i="3"/>
  <c r="J623" i="3"/>
  <c r="I623" i="3"/>
  <c r="H623" i="3"/>
  <c r="G623" i="3"/>
  <c r="F623" i="3"/>
  <c r="E623" i="3"/>
  <c r="D623" i="3"/>
  <c r="C623" i="3"/>
  <c r="B623" i="3"/>
  <c r="A623" i="3"/>
  <c r="T622" i="3"/>
  <c r="S622" i="3"/>
  <c r="R622" i="3"/>
  <c r="Q622" i="3"/>
  <c r="K622" i="3"/>
  <c r="J622" i="3"/>
  <c r="I622" i="3"/>
  <c r="H622" i="3"/>
  <c r="G622" i="3"/>
  <c r="F622" i="3"/>
  <c r="E622" i="3"/>
  <c r="D622" i="3"/>
  <c r="C622" i="3"/>
  <c r="B622" i="3"/>
  <c r="A622" i="3"/>
  <c r="T621" i="3"/>
  <c r="S621" i="3"/>
  <c r="R621" i="3"/>
  <c r="Q621" i="3"/>
  <c r="J621" i="3"/>
  <c r="I621" i="3"/>
  <c r="H621" i="3"/>
  <c r="G621" i="3"/>
  <c r="F621" i="3"/>
  <c r="E621" i="3"/>
  <c r="D621" i="3"/>
  <c r="C621" i="3"/>
  <c r="B621" i="3"/>
  <c r="A621" i="3"/>
  <c r="T620" i="3"/>
  <c r="S620" i="3"/>
  <c r="R620" i="3"/>
  <c r="Q620" i="3"/>
  <c r="J620" i="3"/>
  <c r="I620" i="3"/>
  <c r="H620" i="3"/>
  <c r="G620" i="3"/>
  <c r="F620" i="3"/>
  <c r="E620" i="3"/>
  <c r="D620" i="3"/>
  <c r="C620" i="3"/>
  <c r="B620" i="3"/>
  <c r="A620" i="3"/>
  <c r="T619" i="3"/>
  <c r="S619" i="3"/>
  <c r="R619" i="3"/>
  <c r="Q619" i="3"/>
  <c r="J619" i="3"/>
  <c r="I619" i="3"/>
  <c r="H619" i="3"/>
  <c r="G619" i="3"/>
  <c r="F619" i="3"/>
  <c r="E619" i="3"/>
  <c r="D619" i="3"/>
  <c r="C619" i="3"/>
  <c r="B619" i="3"/>
  <c r="A619" i="3"/>
  <c r="T618" i="3"/>
  <c r="S618" i="3"/>
  <c r="R618" i="3"/>
  <c r="Q618" i="3"/>
  <c r="O618" i="3"/>
  <c r="M618" i="3"/>
  <c r="K618" i="3"/>
  <c r="J618" i="3"/>
  <c r="I618" i="3"/>
  <c r="H618" i="3"/>
  <c r="G618" i="3"/>
  <c r="F618" i="3"/>
  <c r="E618" i="3"/>
  <c r="D618" i="3"/>
  <c r="C618" i="3"/>
  <c r="B618" i="3"/>
  <c r="A618" i="3"/>
  <c r="T617" i="3"/>
  <c r="S617" i="3"/>
  <c r="R617" i="3"/>
  <c r="Q617" i="3"/>
  <c r="J617" i="3"/>
  <c r="I617" i="3"/>
  <c r="H617" i="3"/>
  <c r="G617" i="3"/>
  <c r="F617" i="3"/>
  <c r="E617" i="3"/>
  <c r="D617" i="3"/>
  <c r="C617" i="3"/>
  <c r="B617" i="3"/>
  <c r="A617" i="3"/>
  <c r="T616" i="3"/>
  <c r="S616" i="3"/>
  <c r="R616" i="3"/>
  <c r="Q616" i="3"/>
  <c r="O616" i="3"/>
  <c r="K616" i="3"/>
  <c r="J616" i="3"/>
  <c r="I616" i="3"/>
  <c r="H616" i="3"/>
  <c r="G616" i="3"/>
  <c r="F616" i="3"/>
  <c r="E616" i="3"/>
  <c r="D616" i="3"/>
  <c r="C616" i="3"/>
  <c r="B616" i="3"/>
  <c r="A616" i="3"/>
  <c r="T615" i="3"/>
  <c r="S615" i="3"/>
  <c r="R615" i="3"/>
  <c r="Q615" i="3"/>
  <c r="O615" i="3"/>
  <c r="M615" i="3"/>
  <c r="K615" i="3"/>
  <c r="J615" i="3"/>
  <c r="I615" i="3"/>
  <c r="H615" i="3"/>
  <c r="G615" i="3"/>
  <c r="F615" i="3"/>
  <c r="E615" i="3"/>
  <c r="D615" i="3"/>
  <c r="C615" i="3"/>
  <c r="B615" i="3"/>
  <c r="A615" i="3"/>
  <c r="T614" i="3"/>
  <c r="S614" i="3"/>
  <c r="R614" i="3"/>
  <c r="Q614" i="3"/>
  <c r="O614" i="3"/>
  <c r="M614" i="3"/>
  <c r="K614" i="3"/>
  <c r="J614" i="3"/>
  <c r="I614" i="3"/>
  <c r="H614" i="3"/>
  <c r="G614" i="3"/>
  <c r="F614" i="3"/>
  <c r="E614" i="3"/>
  <c r="D614" i="3"/>
  <c r="C614" i="3"/>
  <c r="B614" i="3"/>
  <c r="A614" i="3"/>
  <c r="T613" i="3"/>
  <c r="S613" i="3"/>
  <c r="R613" i="3"/>
  <c r="Q613" i="3"/>
  <c r="M613" i="3"/>
  <c r="K613" i="3"/>
  <c r="J613" i="3"/>
  <c r="I613" i="3"/>
  <c r="H613" i="3"/>
  <c r="G613" i="3"/>
  <c r="F613" i="3"/>
  <c r="E613" i="3"/>
  <c r="D613" i="3"/>
  <c r="C613" i="3"/>
  <c r="B613" i="3"/>
  <c r="A613" i="3"/>
  <c r="T612" i="3"/>
  <c r="S612" i="3"/>
  <c r="R612" i="3"/>
  <c r="Q612" i="3"/>
  <c r="M612" i="3"/>
  <c r="K612" i="3"/>
  <c r="J612" i="3"/>
  <c r="I612" i="3"/>
  <c r="H612" i="3"/>
  <c r="G612" i="3"/>
  <c r="F612" i="3"/>
  <c r="E612" i="3"/>
  <c r="D612" i="3"/>
  <c r="C612" i="3"/>
  <c r="B612" i="3"/>
  <c r="A612" i="3"/>
  <c r="T611" i="3"/>
  <c r="S611" i="3"/>
  <c r="R611" i="3"/>
  <c r="Q611" i="3"/>
  <c r="J611" i="3"/>
  <c r="I611" i="3"/>
  <c r="H611" i="3"/>
  <c r="G611" i="3"/>
  <c r="F611" i="3"/>
  <c r="E611" i="3"/>
  <c r="D611" i="3"/>
  <c r="C611" i="3"/>
  <c r="B611" i="3"/>
  <c r="A611" i="3"/>
  <c r="T610" i="3"/>
  <c r="S610" i="3"/>
  <c r="R610" i="3"/>
  <c r="Q610" i="3"/>
  <c r="J610" i="3"/>
  <c r="I610" i="3"/>
  <c r="H610" i="3"/>
  <c r="G610" i="3"/>
  <c r="F610" i="3"/>
  <c r="E610" i="3"/>
  <c r="D610" i="3"/>
  <c r="C610" i="3"/>
  <c r="B610" i="3"/>
  <c r="A610" i="3"/>
  <c r="T609" i="3"/>
  <c r="S609" i="3"/>
  <c r="R609" i="3"/>
  <c r="Q609" i="3"/>
  <c r="O609" i="3"/>
  <c r="M609" i="3"/>
  <c r="K609" i="3"/>
  <c r="J609" i="3"/>
  <c r="I609" i="3"/>
  <c r="H609" i="3"/>
  <c r="G609" i="3"/>
  <c r="F609" i="3"/>
  <c r="E609" i="3"/>
  <c r="D609" i="3"/>
  <c r="C609" i="3"/>
  <c r="B609" i="3"/>
  <c r="A609" i="3"/>
  <c r="T608" i="3"/>
  <c r="S608" i="3"/>
  <c r="R608" i="3"/>
  <c r="Q608" i="3"/>
  <c r="J608" i="3"/>
  <c r="I608" i="3"/>
  <c r="H608" i="3"/>
  <c r="G608" i="3"/>
  <c r="F608" i="3"/>
  <c r="E608" i="3"/>
  <c r="D608" i="3"/>
  <c r="C608" i="3"/>
  <c r="B608" i="3"/>
  <c r="A608" i="3"/>
  <c r="T607" i="3"/>
  <c r="S607" i="3"/>
  <c r="R607" i="3"/>
  <c r="Q607" i="3"/>
  <c r="O607" i="3"/>
  <c r="K607" i="3"/>
  <c r="J607" i="3"/>
  <c r="I607" i="3"/>
  <c r="H607" i="3"/>
  <c r="G607" i="3"/>
  <c r="F607" i="3"/>
  <c r="E607" i="3"/>
  <c r="D607" i="3"/>
  <c r="C607" i="3"/>
  <c r="B607" i="3"/>
  <c r="A607" i="3"/>
  <c r="T606" i="3"/>
  <c r="S606" i="3"/>
  <c r="R606" i="3"/>
  <c r="Q606" i="3"/>
  <c r="O606" i="3"/>
  <c r="K606" i="3"/>
  <c r="J606" i="3"/>
  <c r="I606" i="3"/>
  <c r="H606" i="3"/>
  <c r="G606" i="3"/>
  <c r="F606" i="3"/>
  <c r="E606" i="3"/>
  <c r="D606" i="3"/>
  <c r="C606" i="3"/>
  <c r="B606" i="3"/>
  <c r="A606" i="3"/>
  <c r="T605" i="3"/>
  <c r="S605" i="3"/>
  <c r="R605" i="3"/>
  <c r="Q605" i="3"/>
  <c r="J605" i="3"/>
  <c r="I605" i="3"/>
  <c r="H605" i="3"/>
  <c r="G605" i="3"/>
  <c r="F605" i="3"/>
  <c r="E605" i="3"/>
  <c r="D605" i="3"/>
  <c r="C605" i="3"/>
  <c r="B605" i="3"/>
  <c r="A605" i="3"/>
  <c r="T604" i="3"/>
  <c r="S604" i="3"/>
  <c r="R604" i="3"/>
  <c r="Q604" i="3"/>
  <c r="O604" i="3"/>
  <c r="M604" i="3"/>
  <c r="K604" i="3"/>
  <c r="J604" i="3"/>
  <c r="I604" i="3"/>
  <c r="H604" i="3"/>
  <c r="G604" i="3"/>
  <c r="F604" i="3"/>
  <c r="E604" i="3"/>
  <c r="D604" i="3"/>
  <c r="C604" i="3"/>
  <c r="B604" i="3"/>
  <c r="A604" i="3"/>
  <c r="T603" i="3"/>
  <c r="S603" i="3"/>
  <c r="R603" i="3"/>
  <c r="Q603" i="3"/>
  <c r="O603" i="3"/>
  <c r="M603" i="3"/>
  <c r="K603" i="3"/>
  <c r="J603" i="3"/>
  <c r="I603" i="3"/>
  <c r="H603" i="3"/>
  <c r="G603" i="3"/>
  <c r="F603" i="3"/>
  <c r="E603" i="3"/>
  <c r="D603" i="3"/>
  <c r="C603" i="3"/>
  <c r="B603" i="3"/>
  <c r="A603" i="3"/>
  <c r="T602" i="3"/>
  <c r="S602" i="3"/>
  <c r="R602" i="3"/>
  <c r="Q602" i="3"/>
  <c r="J602" i="3"/>
  <c r="I602" i="3"/>
  <c r="H602" i="3"/>
  <c r="G602" i="3"/>
  <c r="F602" i="3"/>
  <c r="E602" i="3"/>
  <c r="D602" i="3"/>
  <c r="C602" i="3"/>
  <c r="B602" i="3"/>
  <c r="A602" i="3"/>
  <c r="T601" i="3"/>
  <c r="S601" i="3"/>
  <c r="R601" i="3"/>
  <c r="Q601" i="3"/>
  <c r="O601" i="3"/>
  <c r="M601" i="3"/>
  <c r="K601" i="3"/>
  <c r="J601" i="3"/>
  <c r="I601" i="3"/>
  <c r="H601" i="3"/>
  <c r="G601" i="3"/>
  <c r="F601" i="3"/>
  <c r="E601" i="3"/>
  <c r="D601" i="3"/>
  <c r="C601" i="3"/>
  <c r="B601" i="3"/>
  <c r="A601" i="3"/>
  <c r="T600" i="3"/>
  <c r="S600" i="3"/>
  <c r="R600" i="3"/>
  <c r="Q600" i="3"/>
  <c r="J600" i="3"/>
  <c r="I600" i="3"/>
  <c r="H600" i="3"/>
  <c r="G600" i="3"/>
  <c r="F600" i="3"/>
  <c r="E600" i="3"/>
  <c r="D600" i="3"/>
  <c r="C600" i="3"/>
  <c r="B600" i="3"/>
  <c r="A600" i="3"/>
  <c r="T599" i="3"/>
  <c r="S599" i="3"/>
  <c r="R599" i="3"/>
  <c r="Q599" i="3"/>
  <c r="O599" i="3"/>
  <c r="M599" i="3"/>
  <c r="K599" i="3"/>
  <c r="J599" i="3"/>
  <c r="I599" i="3"/>
  <c r="H599" i="3"/>
  <c r="G599" i="3"/>
  <c r="F599" i="3"/>
  <c r="E599" i="3"/>
  <c r="D599" i="3"/>
  <c r="C599" i="3"/>
  <c r="B599" i="3"/>
  <c r="A599" i="3"/>
  <c r="T598" i="3"/>
  <c r="S598" i="3"/>
  <c r="R598" i="3"/>
  <c r="Q598" i="3"/>
  <c r="O598" i="3"/>
  <c r="M598" i="3"/>
  <c r="K598" i="3"/>
  <c r="J598" i="3"/>
  <c r="I598" i="3"/>
  <c r="H598" i="3"/>
  <c r="G598" i="3"/>
  <c r="F598" i="3"/>
  <c r="E598" i="3"/>
  <c r="D598" i="3"/>
  <c r="C598" i="3"/>
  <c r="B598" i="3"/>
  <c r="A598" i="3"/>
  <c r="T597" i="3"/>
  <c r="S597" i="3"/>
  <c r="R597" i="3"/>
  <c r="Q597" i="3"/>
  <c r="J597" i="3"/>
  <c r="I597" i="3"/>
  <c r="H597" i="3"/>
  <c r="G597" i="3"/>
  <c r="F597" i="3"/>
  <c r="E597" i="3"/>
  <c r="D597" i="3"/>
  <c r="C597" i="3"/>
  <c r="B597" i="3"/>
  <c r="A597" i="3"/>
  <c r="T596" i="3"/>
  <c r="S596" i="3"/>
  <c r="R596" i="3"/>
  <c r="Q596" i="3"/>
  <c r="O596" i="3"/>
  <c r="M596" i="3"/>
  <c r="K596" i="3"/>
  <c r="J596" i="3"/>
  <c r="I596" i="3"/>
  <c r="H596" i="3"/>
  <c r="G596" i="3"/>
  <c r="F596" i="3"/>
  <c r="E596" i="3"/>
  <c r="D596" i="3"/>
  <c r="C596" i="3"/>
  <c r="B596" i="3"/>
  <c r="A596" i="3"/>
  <c r="T595" i="3"/>
  <c r="S595" i="3"/>
  <c r="R595" i="3"/>
  <c r="Q595" i="3"/>
  <c r="J595" i="3"/>
  <c r="I595" i="3"/>
  <c r="H595" i="3"/>
  <c r="G595" i="3"/>
  <c r="F595" i="3"/>
  <c r="E595" i="3"/>
  <c r="D595" i="3"/>
  <c r="C595" i="3"/>
  <c r="B595" i="3"/>
  <c r="A595" i="3"/>
  <c r="T594" i="3"/>
  <c r="S594" i="3"/>
  <c r="R594" i="3"/>
  <c r="Q594" i="3"/>
  <c r="O594" i="3"/>
  <c r="M594" i="3"/>
  <c r="K594" i="3"/>
  <c r="J594" i="3"/>
  <c r="I594" i="3"/>
  <c r="H594" i="3"/>
  <c r="G594" i="3"/>
  <c r="F594" i="3"/>
  <c r="E594" i="3"/>
  <c r="D594" i="3"/>
  <c r="C594" i="3"/>
  <c r="B594" i="3"/>
  <c r="A594" i="3"/>
  <c r="T593" i="3"/>
  <c r="S593" i="3"/>
  <c r="R593" i="3"/>
  <c r="Q593" i="3"/>
  <c r="O593" i="3"/>
  <c r="M593" i="3"/>
  <c r="K593" i="3"/>
  <c r="J593" i="3"/>
  <c r="I593" i="3"/>
  <c r="H593" i="3"/>
  <c r="G593" i="3"/>
  <c r="F593" i="3"/>
  <c r="E593" i="3"/>
  <c r="D593" i="3"/>
  <c r="C593" i="3"/>
  <c r="B593" i="3"/>
  <c r="A593" i="3"/>
  <c r="T592" i="3"/>
  <c r="S592" i="3"/>
  <c r="R592" i="3"/>
  <c r="Q592" i="3"/>
  <c r="O592" i="3"/>
  <c r="M592" i="3"/>
  <c r="K592" i="3"/>
  <c r="J592" i="3"/>
  <c r="I592" i="3"/>
  <c r="H592" i="3"/>
  <c r="G592" i="3"/>
  <c r="F592" i="3"/>
  <c r="E592" i="3"/>
  <c r="D592" i="3"/>
  <c r="C592" i="3"/>
  <c r="B592" i="3"/>
  <c r="A592" i="3"/>
  <c r="T591" i="3"/>
  <c r="S591" i="3"/>
  <c r="R591" i="3"/>
  <c r="Q591" i="3"/>
  <c r="O591" i="3"/>
  <c r="M591" i="3"/>
  <c r="K591" i="3"/>
  <c r="J591" i="3"/>
  <c r="I591" i="3"/>
  <c r="H591" i="3"/>
  <c r="G591" i="3"/>
  <c r="F591" i="3"/>
  <c r="E591" i="3"/>
  <c r="D591" i="3"/>
  <c r="C591" i="3"/>
  <c r="B591" i="3"/>
  <c r="A591" i="3"/>
  <c r="T590" i="3"/>
  <c r="S590" i="3"/>
  <c r="R590" i="3"/>
  <c r="Q590" i="3"/>
  <c r="O590" i="3"/>
  <c r="K590" i="3"/>
  <c r="J590" i="3"/>
  <c r="I590" i="3"/>
  <c r="H590" i="3"/>
  <c r="G590" i="3"/>
  <c r="F590" i="3"/>
  <c r="E590" i="3"/>
  <c r="D590" i="3"/>
  <c r="C590" i="3"/>
  <c r="B590" i="3"/>
  <c r="A590" i="3"/>
  <c r="T589" i="3"/>
  <c r="S589" i="3"/>
  <c r="R589" i="3"/>
  <c r="Q589" i="3"/>
  <c r="O589" i="3"/>
  <c r="M589" i="3"/>
  <c r="K589" i="3"/>
  <c r="J589" i="3"/>
  <c r="I589" i="3"/>
  <c r="H589" i="3"/>
  <c r="G589" i="3"/>
  <c r="F589" i="3"/>
  <c r="E589" i="3"/>
  <c r="D589" i="3"/>
  <c r="C589" i="3"/>
  <c r="B589" i="3"/>
  <c r="A589" i="3"/>
  <c r="T588" i="3"/>
  <c r="S588" i="3"/>
  <c r="R588" i="3"/>
  <c r="Q588" i="3"/>
  <c r="O588" i="3"/>
  <c r="K588" i="3"/>
  <c r="J588" i="3"/>
  <c r="I588" i="3"/>
  <c r="H588" i="3"/>
  <c r="G588" i="3"/>
  <c r="F588" i="3"/>
  <c r="E588" i="3"/>
  <c r="D588" i="3"/>
  <c r="C588" i="3"/>
  <c r="B588" i="3"/>
  <c r="A588" i="3"/>
  <c r="T587" i="3"/>
  <c r="S587" i="3"/>
  <c r="R587" i="3"/>
  <c r="Q587" i="3"/>
  <c r="O587" i="3"/>
  <c r="M587" i="3"/>
  <c r="K587" i="3"/>
  <c r="J587" i="3"/>
  <c r="I587" i="3"/>
  <c r="H587" i="3"/>
  <c r="G587" i="3"/>
  <c r="F587" i="3"/>
  <c r="E587" i="3"/>
  <c r="D587" i="3"/>
  <c r="C587" i="3"/>
  <c r="B587" i="3"/>
  <c r="A587" i="3"/>
  <c r="T586" i="3"/>
  <c r="S586" i="3"/>
  <c r="R586" i="3"/>
  <c r="Q586" i="3"/>
  <c r="O586" i="3"/>
  <c r="M586" i="3"/>
  <c r="K586" i="3"/>
  <c r="J586" i="3"/>
  <c r="I586" i="3"/>
  <c r="H586" i="3"/>
  <c r="G586" i="3"/>
  <c r="F586" i="3"/>
  <c r="E586" i="3"/>
  <c r="D586" i="3"/>
  <c r="C586" i="3"/>
  <c r="B586" i="3"/>
  <c r="A586" i="3"/>
  <c r="T585" i="3"/>
  <c r="S585" i="3"/>
  <c r="R585" i="3"/>
  <c r="Q585" i="3"/>
  <c r="J585" i="3"/>
  <c r="I585" i="3"/>
  <c r="H585" i="3"/>
  <c r="G585" i="3"/>
  <c r="F585" i="3"/>
  <c r="E585" i="3"/>
  <c r="D585" i="3"/>
  <c r="C585" i="3"/>
  <c r="B585" i="3"/>
  <c r="A585" i="3"/>
  <c r="T584" i="3"/>
  <c r="S584" i="3"/>
  <c r="R584" i="3"/>
  <c r="Q584" i="3"/>
  <c r="J584" i="3"/>
  <c r="I584" i="3"/>
  <c r="H584" i="3"/>
  <c r="G584" i="3"/>
  <c r="F584" i="3"/>
  <c r="E584" i="3"/>
  <c r="D584" i="3"/>
  <c r="C584" i="3"/>
  <c r="B584" i="3"/>
  <c r="A584" i="3"/>
  <c r="T583" i="3"/>
  <c r="S583" i="3"/>
  <c r="R583" i="3"/>
  <c r="Q583" i="3"/>
  <c r="O583" i="3"/>
  <c r="M583" i="3"/>
  <c r="K583" i="3"/>
  <c r="J583" i="3"/>
  <c r="I583" i="3"/>
  <c r="H583" i="3"/>
  <c r="G583" i="3"/>
  <c r="F583" i="3"/>
  <c r="E583" i="3"/>
  <c r="D583" i="3"/>
  <c r="C583" i="3"/>
  <c r="B583" i="3"/>
  <c r="A583" i="3"/>
  <c r="T582" i="3"/>
  <c r="S582" i="3"/>
  <c r="R582" i="3"/>
  <c r="Q582" i="3"/>
  <c r="J582" i="3"/>
  <c r="I582" i="3"/>
  <c r="H582" i="3"/>
  <c r="G582" i="3"/>
  <c r="F582" i="3"/>
  <c r="E582" i="3"/>
  <c r="D582" i="3"/>
  <c r="C582" i="3"/>
  <c r="B582" i="3"/>
  <c r="A582" i="3"/>
  <c r="T581" i="3"/>
  <c r="S581" i="3"/>
  <c r="R581" i="3"/>
  <c r="Q581" i="3"/>
  <c r="O581" i="3"/>
  <c r="M581" i="3"/>
  <c r="K581" i="3"/>
  <c r="J581" i="3"/>
  <c r="I581" i="3"/>
  <c r="H581" i="3"/>
  <c r="G581" i="3"/>
  <c r="F581" i="3"/>
  <c r="E581" i="3"/>
  <c r="D581" i="3"/>
  <c r="C581" i="3"/>
  <c r="B581" i="3"/>
  <c r="A581" i="3"/>
  <c r="T580" i="3"/>
  <c r="S580" i="3"/>
  <c r="R580" i="3"/>
  <c r="Q580" i="3"/>
  <c r="O580" i="3"/>
  <c r="K580" i="3"/>
  <c r="J580" i="3"/>
  <c r="I580" i="3"/>
  <c r="H580" i="3"/>
  <c r="G580" i="3"/>
  <c r="F580" i="3"/>
  <c r="E580" i="3"/>
  <c r="D580" i="3"/>
  <c r="C580" i="3"/>
  <c r="B580" i="3"/>
  <c r="A580" i="3"/>
  <c r="T579" i="3"/>
  <c r="S579" i="3"/>
  <c r="R579" i="3"/>
  <c r="Q579" i="3"/>
  <c r="O579" i="3"/>
  <c r="M579" i="3"/>
  <c r="K579" i="3"/>
  <c r="J579" i="3"/>
  <c r="I579" i="3"/>
  <c r="H579" i="3"/>
  <c r="G579" i="3"/>
  <c r="F579" i="3"/>
  <c r="E579" i="3"/>
  <c r="D579" i="3"/>
  <c r="C579" i="3"/>
  <c r="B579" i="3"/>
  <c r="A579" i="3"/>
  <c r="T578" i="3"/>
  <c r="S578" i="3"/>
  <c r="R578" i="3"/>
  <c r="Q578" i="3"/>
  <c r="O578" i="3"/>
  <c r="M578" i="3"/>
  <c r="K578" i="3"/>
  <c r="J578" i="3"/>
  <c r="I578" i="3"/>
  <c r="H578" i="3"/>
  <c r="G578" i="3"/>
  <c r="F578" i="3"/>
  <c r="E578" i="3"/>
  <c r="D578" i="3"/>
  <c r="C578" i="3"/>
  <c r="B578" i="3"/>
  <c r="A578" i="3"/>
  <c r="T577" i="3"/>
  <c r="S577" i="3"/>
  <c r="R577" i="3"/>
  <c r="Q577" i="3"/>
  <c r="M577" i="3"/>
  <c r="K577" i="3"/>
  <c r="J577" i="3"/>
  <c r="I577" i="3"/>
  <c r="H577" i="3"/>
  <c r="G577" i="3"/>
  <c r="F577" i="3"/>
  <c r="E577" i="3"/>
  <c r="D577" i="3"/>
  <c r="C577" i="3"/>
  <c r="B577" i="3"/>
  <c r="A577" i="3"/>
  <c r="T576" i="3"/>
  <c r="S576" i="3"/>
  <c r="R576" i="3"/>
  <c r="Q576" i="3"/>
  <c r="O576" i="3"/>
  <c r="M576" i="3"/>
  <c r="K576" i="3"/>
  <c r="J576" i="3"/>
  <c r="I576" i="3"/>
  <c r="H576" i="3"/>
  <c r="G576" i="3"/>
  <c r="F576" i="3"/>
  <c r="E576" i="3"/>
  <c r="D576" i="3"/>
  <c r="C576" i="3"/>
  <c r="B576" i="3"/>
  <c r="A576" i="3"/>
  <c r="T575" i="3"/>
  <c r="S575" i="3"/>
  <c r="R575" i="3"/>
  <c r="Q575" i="3"/>
  <c r="O575" i="3"/>
  <c r="M575" i="3"/>
  <c r="K575" i="3"/>
  <c r="J575" i="3"/>
  <c r="I575" i="3"/>
  <c r="H575" i="3"/>
  <c r="G575" i="3"/>
  <c r="F575" i="3"/>
  <c r="E575" i="3"/>
  <c r="D575" i="3"/>
  <c r="C575" i="3"/>
  <c r="B575" i="3"/>
  <c r="A575" i="3"/>
  <c r="T574" i="3"/>
  <c r="S574" i="3"/>
  <c r="R574" i="3"/>
  <c r="Q574" i="3"/>
  <c r="O574" i="3"/>
  <c r="M574" i="3"/>
  <c r="K574" i="3"/>
  <c r="J574" i="3"/>
  <c r="I574" i="3"/>
  <c r="H574" i="3"/>
  <c r="G574" i="3"/>
  <c r="F574" i="3"/>
  <c r="E574" i="3"/>
  <c r="D574" i="3"/>
  <c r="C574" i="3"/>
  <c r="B574" i="3"/>
  <c r="A574" i="3"/>
  <c r="T573" i="3"/>
  <c r="S573" i="3"/>
  <c r="R573" i="3"/>
  <c r="Q573" i="3"/>
  <c r="K573" i="3"/>
  <c r="J573" i="3"/>
  <c r="I573" i="3"/>
  <c r="H573" i="3"/>
  <c r="G573" i="3"/>
  <c r="F573" i="3"/>
  <c r="E573" i="3"/>
  <c r="D573" i="3"/>
  <c r="C573" i="3"/>
  <c r="B573" i="3"/>
  <c r="A573" i="3"/>
  <c r="T572" i="3"/>
  <c r="S572" i="3"/>
  <c r="R572" i="3"/>
  <c r="Q572" i="3"/>
  <c r="J572" i="3"/>
  <c r="I572" i="3"/>
  <c r="H572" i="3"/>
  <c r="G572" i="3"/>
  <c r="F572" i="3"/>
  <c r="E572" i="3"/>
  <c r="D572" i="3"/>
  <c r="C572" i="3"/>
  <c r="B572" i="3"/>
  <c r="A572" i="3"/>
  <c r="T571" i="3"/>
  <c r="S571" i="3"/>
  <c r="R571" i="3"/>
  <c r="Q571" i="3"/>
  <c r="J571" i="3"/>
  <c r="I571" i="3"/>
  <c r="H571" i="3"/>
  <c r="G571" i="3"/>
  <c r="F571" i="3"/>
  <c r="E571" i="3"/>
  <c r="D571" i="3"/>
  <c r="C571" i="3"/>
  <c r="B571" i="3"/>
  <c r="A571" i="3"/>
  <c r="T570" i="3"/>
  <c r="S570" i="3"/>
  <c r="R570" i="3"/>
  <c r="Q570" i="3"/>
  <c r="O570" i="3"/>
  <c r="K570" i="3"/>
  <c r="J570" i="3"/>
  <c r="I570" i="3"/>
  <c r="H570" i="3"/>
  <c r="G570" i="3"/>
  <c r="F570" i="3"/>
  <c r="E570" i="3"/>
  <c r="D570" i="3"/>
  <c r="C570" i="3"/>
  <c r="B570" i="3"/>
  <c r="A570" i="3"/>
  <c r="T569" i="3"/>
  <c r="S569" i="3"/>
  <c r="R569" i="3"/>
  <c r="Q569" i="3"/>
  <c r="K569" i="3"/>
  <c r="J569" i="3"/>
  <c r="I569" i="3"/>
  <c r="H569" i="3"/>
  <c r="G569" i="3"/>
  <c r="F569" i="3"/>
  <c r="E569" i="3"/>
  <c r="D569" i="3"/>
  <c r="C569" i="3"/>
  <c r="B569" i="3"/>
  <c r="A569" i="3"/>
  <c r="T568" i="3"/>
  <c r="S568" i="3"/>
  <c r="R568" i="3"/>
  <c r="Q568" i="3"/>
  <c r="J568" i="3"/>
  <c r="I568" i="3"/>
  <c r="H568" i="3"/>
  <c r="G568" i="3"/>
  <c r="F568" i="3"/>
  <c r="E568" i="3"/>
  <c r="D568" i="3"/>
  <c r="C568" i="3"/>
  <c r="B568" i="3"/>
  <c r="A568" i="3"/>
  <c r="T567" i="3"/>
  <c r="S567" i="3"/>
  <c r="R567" i="3"/>
  <c r="Q567" i="3"/>
  <c r="O567" i="3"/>
  <c r="M567" i="3"/>
  <c r="K567" i="3"/>
  <c r="J567" i="3"/>
  <c r="I567" i="3"/>
  <c r="H567" i="3"/>
  <c r="G567" i="3"/>
  <c r="F567" i="3"/>
  <c r="E567" i="3"/>
  <c r="D567" i="3"/>
  <c r="C567" i="3"/>
  <c r="B567" i="3"/>
  <c r="A567" i="3"/>
  <c r="T566" i="3"/>
  <c r="S566" i="3"/>
  <c r="R566" i="3"/>
  <c r="Q566" i="3"/>
  <c r="J566" i="3"/>
  <c r="I566" i="3"/>
  <c r="H566" i="3"/>
  <c r="G566" i="3"/>
  <c r="F566" i="3"/>
  <c r="E566" i="3"/>
  <c r="D566" i="3"/>
  <c r="C566" i="3"/>
  <c r="B566" i="3"/>
  <c r="A566" i="3"/>
  <c r="T565" i="3"/>
  <c r="S565" i="3"/>
  <c r="R565" i="3"/>
  <c r="Q565" i="3"/>
  <c r="J565" i="3"/>
  <c r="I565" i="3"/>
  <c r="H565" i="3"/>
  <c r="G565" i="3"/>
  <c r="F565" i="3"/>
  <c r="E565" i="3"/>
  <c r="D565" i="3"/>
  <c r="C565" i="3"/>
  <c r="B565" i="3"/>
  <c r="A565" i="3"/>
  <c r="T564" i="3"/>
  <c r="S564" i="3"/>
  <c r="R564" i="3"/>
  <c r="Q564" i="3"/>
  <c r="O564" i="3"/>
  <c r="K564" i="3"/>
  <c r="J564" i="3"/>
  <c r="I564" i="3"/>
  <c r="H564" i="3"/>
  <c r="G564" i="3"/>
  <c r="F564" i="3"/>
  <c r="E564" i="3"/>
  <c r="D564" i="3"/>
  <c r="C564" i="3"/>
  <c r="B564" i="3"/>
  <c r="A564" i="3"/>
  <c r="T563" i="3"/>
  <c r="S563" i="3"/>
  <c r="R563" i="3"/>
  <c r="Q563" i="3"/>
  <c r="J563" i="3"/>
  <c r="I563" i="3"/>
  <c r="H563" i="3"/>
  <c r="G563" i="3"/>
  <c r="F563" i="3"/>
  <c r="E563" i="3"/>
  <c r="D563" i="3"/>
  <c r="C563" i="3"/>
  <c r="B563" i="3"/>
  <c r="A563" i="3"/>
  <c r="T562" i="3"/>
  <c r="S562" i="3"/>
  <c r="R562" i="3"/>
  <c r="Q562" i="3"/>
  <c r="O562" i="3"/>
  <c r="M562" i="3"/>
  <c r="K562" i="3"/>
  <c r="J562" i="3"/>
  <c r="I562" i="3"/>
  <c r="H562" i="3"/>
  <c r="G562" i="3"/>
  <c r="F562" i="3"/>
  <c r="E562" i="3"/>
  <c r="D562" i="3"/>
  <c r="C562" i="3"/>
  <c r="B562" i="3"/>
  <c r="A562" i="3"/>
  <c r="T561" i="3"/>
  <c r="S561" i="3"/>
  <c r="R561" i="3"/>
  <c r="Q561" i="3"/>
  <c r="O561" i="3"/>
  <c r="M561" i="3"/>
  <c r="K561" i="3"/>
  <c r="J561" i="3"/>
  <c r="I561" i="3"/>
  <c r="H561" i="3"/>
  <c r="G561" i="3"/>
  <c r="F561" i="3"/>
  <c r="E561" i="3"/>
  <c r="D561" i="3"/>
  <c r="C561" i="3"/>
  <c r="B561" i="3"/>
  <c r="A561" i="3"/>
  <c r="T560" i="3"/>
  <c r="S560" i="3"/>
  <c r="R560" i="3"/>
  <c r="Q560" i="3"/>
  <c r="J560" i="3"/>
  <c r="I560" i="3"/>
  <c r="H560" i="3"/>
  <c r="G560" i="3"/>
  <c r="F560" i="3"/>
  <c r="E560" i="3"/>
  <c r="D560" i="3"/>
  <c r="C560" i="3"/>
  <c r="B560" i="3"/>
  <c r="A560" i="3"/>
  <c r="T559" i="3"/>
  <c r="S559" i="3"/>
  <c r="R559" i="3"/>
  <c r="Q559" i="3"/>
  <c r="O559" i="3"/>
  <c r="M559" i="3"/>
  <c r="K559" i="3"/>
  <c r="J559" i="3"/>
  <c r="I559" i="3"/>
  <c r="H559" i="3"/>
  <c r="G559" i="3"/>
  <c r="F559" i="3"/>
  <c r="E559" i="3"/>
  <c r="D559" i="3"/>
  <c r="C559" i="3"/>
  <c r="B559" i="3"/>
  <c r="A559" i="3"/>
  <c r="T558" i="3"/>
  <c r="S558" i="3"/>
  <c r="R558" i="3"/>
  <c r="Q558" i="3"/>
  <c r="O558" i="3"/>
  <c r="M558" i="3"/>
  <c r="K558" i="3"/>
  <c r="J558" i="3"/>
  <c r="I558" i="3"/>
  <c r="H558" i="3"/>
  <c r="G558" i="3"/>
  <c r="F558" i="3"/>
  <c r="E558" i="3"/>
  <c r="D558" i="3"/>
  <c r="C558" i="3"/>
  <c r="B558" i="3"/>
  <c r="A558" i="3"/>
  <c r="T557" i="3"/>
  <c r="S557" i="3"/>
  <c r="R557" i="3"/>
  <c r="Q557" i="3"/>
  <c r="J557" i="3"/>
  <c r="I557" i="3"/>
  <c r="H557" i="3"/>
  <c r="G557" i="3"/>
  <c r="F557" i="3"/>
  <c r="E557" i="3"/>
  <c r="D557" i="3"/>
  <c r="C557" i="3"/>
  <c r="B557" i="3"/>
  <c r="A557" i="3"/>
  <c r="T556" i="3"/>
  <c r="S556" i="3"/>
  <c r="R556" i="3"/>
  <c r="Q556" i="3"/>
  <c r="O556" i="3"/>
  <c r="M556" i="3"/>
  <c r="K556" i="3"/>
  <c r="J556" i="3"/>
  <c r="I556" i="3"/>
  <c r="H556" i="3"/>
  <c r="G556" i="3"/>
  <c r="F556" i="3"/>
  <c r="E556" i="3"/>
  <c r="D556" i="3"/>
  <c r="C556" i="3"/>
  <c r="B556" i="3"/>
  <c r="A556" i="3"/>
  <c r="T555" i="3"/>
  <c r="S555" i="3"/>
  <c r="R555" i="3"/>
  <c r="Q555" i="3"/>
  <c r="J555" i="3"/>
  <c r="I555" i="3"/>
  <c r="H555" i="3"/>
  <c r="G555" i="3"/>
  <c r="F555" i="3"/>
  <c r="E555" i="3"/>
  <c r="D555" i="3"/>
  <c r="C555" i="3"/>
  <c r="B555" i="3"/>
  <c r="A555" i="3"/>
  <c r="T554" i="3"/>
  <c r="S554" i="3"/>
  <c r="R554" i="3"/>
  <c r="Q554" i="3"/>
  <c r="J554" i="3"/>
  <c r="I554" i="3"/>
  <c r="H554" i="3"/>
  <c r="G554" i="3"/>
  <c r="F554" i="3"/>
  <c r="E554" i="3"/>
  <c r="D554" i="3"/>
  <c r="C554" i="3"/>
  <c r="B554" i="3"/>
  <c r="A554" i="3"/>
  <c r="T553" i="3"/>
  <c r="S553" i="3"/>
  <c r="R553" i="3"/>
  <c r="Q553" i="3"/>
  <c r="O553" i="3"/>
  <c r="M553" i="3"/>
  <c r="K553" i="3"/>
  <c r="J553" i="3"/>
  <c r="I553" i="3"/>
  <c r="H553" i="3"/>
  <c r="G553" i="3"/>
  <c r="F553" i="3"/>
  <c r="E553" i="3"/>
  <c r="D553" i="3"/>
  <c r="C553" i="3"/>
  <c r="B553" i="3"/>
  <c r="A553" i="3"/>
  <c r="T552" i="3"/>
  <c r="S552" i="3"/>
  <c r="R552" i="3"/>
  <c r="Q552" i="3"/>
  <c r="J552" i="3"/>
  <c r="I552" i="3"/>
  <c r="H552" i="3"/>
  <c r="G552" i="3"/>
  <c r="F552" i="3"/>
  <c r="E552" i="3"/>
  <c r="D552" i="3"/>
  <c r="C552" i="3"/>
  <c r="B552" i="3"/>
  <c r="A552" i="3"/>
  <c r="T551" i="3"/>
  <c r="S551" i="3"/>
  <c r="R551" i="3"/>
  <c r="Q551" i="3"/>
  <c r="J551" i="3"/>
  <c r="I551" i="3"/>
  <c r="H551" i="3"/>
  <c r="G551" i="3"/>
  <c r="F551" i="3"/>
  <c r="E551" i="3"/>
  <c r="D551" i="3"/>
  <c r="C551" i="3"/>
  <c r="B551" i="3"/>
  <c r="A551" i="3"/>
  <c r="T550" i="3"/>
  <c r="S550" i="3"/>
  <c r="R550" i="3"/>
  <c r="Q550" i="3"/>
  <c r="O550" i="3"/>
  <c r="K550" i="3"/>
  <c r="J550" i="3"/>
  <c r="I550" i="3"/>
  <c r="H550" i="3"/>
  <c r="G550" i="3"/>
  <c r="F550" i="3"/>
  <c r="E550" i="3"/>
  <c r="D550" i="3"/>
  <c r="C550" i="3"/>
  <c r="B550" i="3"/>
  <c r="A550" i="3"/>
  <c r="T549" i="3"/>
  <c r="S549" i="3"/>
  <c r="R549" i="3"/>
  <c r="Q549" i="3"/>
  <c r="J549" i="3"/>
  <c r="I549" i="3"/>
  <c r="H549" i="3"/>
  <c r="G549" i="3"/>
  <c r="F549" i="3"/>
  <c r="E549" i="3"/>
  <c r="D549" i="3"/>
  <c r="C549" i="3"/>
  <c r="B549" i="3"/>
  <c r="A549" i="3"/>
  <c r="T548" i="3"/>
  <c r="S548" i="3"/>
  <c r="R548" i="3"/>
  <c r="Q548" i="3"/>
  <c r="J548" i="3"/>
  <c r="I548" i="3"/>
  <c r="H548" i="3"/>
  <c r="G548" i="3"/>
  <c r="F548" i="3"/>
  <c r="E548" i="3"/>
  <c r="D548" i="3"/>
  <c r="C548" i="3"/>
  <c r="B548" i="3"/>
  <c r="A548" i="3"/>
  <c r="T547" i="3"/>
  <c r="S547" i="3"/>
  <c r="R547" i="3"/>
  <c r="Q547" i="3"/>
  <c r="O547" i="3"/>
  <c r="M547" i="3"/>
  <c r="K547" i="3"/>
  <c r="J547" i="3"/>
  <c r="I547" i="3"/>
  <c r="H547" i="3"/>
  <c r="G547" i="3"/>
  <c r="F547" i="3"/>
  <c r="E547" i="3"/>
  <c r="D547" i="3"/>
  <c r="C547" i="3"/>
  <c r="B547" i="3"/>
  <c r="A547" i="3"/>
  <c r="T546" i="3"/>
  <c r="S546" i="3"/>
  <c r="R546" i="3"/>
  <c r="Q546" i="3"/>
  <c r="J546" i="3"/>
  <c r="I546" i="3"/>
  <c r="H546" i="3"/>
  <c r="G546" i="3"/>
  <c r="F546" i="3"/>
  <c r="E546" i="3"/>
  <c r="D546" i="3"/>
  <c r="C546" i="3"/>
  <c r="B546" i="3"/>
  <c r="A546" i="3"/>
  <c r="T545" i="3"/>
  <c r="S545" i="3"/>
  <c r="R545" i="3"/>
  <c r="Q545" i="3"/>
  <c r="O545" i="3"/>
  <c r="M545" i="3"/>
  <c r="K545" i="3"/>
  <c r="J545" i="3"/>
  <c r="I545" i="3"/>
  <c r="H545" i="3"/>
  <c r="G545" i="3"/>
  <c r="F545" i="3"/>
  <c r="E545" i="3"/>
  <c r="D545" i="3"/>
  <c r="C545" i="3"/>
  <c r="B545" i="3"/>
  <c r="A545" i="3"/>
  <c r="T544" i="3"/>
  <c r="S544" i="3"/>
  <c r="R544" i="3"/>
  <c r="Q544" i="3"/>
  <c r="J544" i="3"/>
  <c r="I544" i="3"/>
  <c r="H544" i="3"/>
  <c r="G544" i="3"/>
  <c r="F544" i="3"/>
  <c r="E544" i="3"/>
  <c r="D544" i="3"/>
  <c r="C544" i="3"/>
  <c r="B544" i="3"/>
  <c r="A544" i="3"/>
  <c r="T543" i="3"/>
  <c r="S543" i="3"/>
  <c r="R543" i="3"/>
  <c r="Q543" i="3"/>
  <c r="O543" i="3"/>
  <c r="M543" i="3"/>
  <c r="K543" i="3"/>
  <c r="J543" i="3"/>
  <c r="I543" i="3"/>
  <c r="H543" i="3"/>
  <c r="G543" i="3"/>
  <c r="F543" i="3"/>
  <c r="E543" i="3"/>
  <c r="D543" i="3"/>
  <c r="C543" i="3"/>
  <c r="B543" i="3"/>
  <c r="A543" i="3"/>
  <c r="T542" i="3"/>
  <c r="S542" i="3"/>
  <c r="R542" i="3"/>
  <c r="Q542" i="3"/>
  <c r="J542" i="3"/>
  <c r="I542" i="3"/>
  <c r="H542" i="3"/>
  <c r="G542" i="3"/>
  <c r="F542" i="3"/>
  <c r="E542" i="3"/>
  <c r="D542" i="3"/>
  <c r="C542" i="3"/>
  <c r="B542" i="3"/>
  <c r="A542" i="3"/>
  <c r="T541" i="3"/>
  <c r="S541" i="3"/>
  <c r="R541" i="3"/>
  <c r="Q541" i="3"/>
  <c r="O541" i="3"/>
  <c r="K541" i="3"/>
  <c r="J541" i="3"/>
  <c r="I541" i="3"/>
  <c r="H541" i="3"/>
  <c r="G541" i="3"/>
  <c r="F541" i="3"/>
  <c r="E541" i="3"/>
  <c r="D541" i="3"/>
  <c r="C541" i="3"/>
  <c r="B541" i="3"/>
  <c r="A541" i="3"/>
  <c r="T540" i="3"/>
  <c r="S540" i="3"/>
  <c r="R540" i="3"/>
  <c r="Q540" i="3"/>
  <c r="J540" i="3"/>
  <c r="I540" i="3"/>
  <c r="H540" i="3"/>
  <c r="G540" i="3"/>
  <c r="F540" i="3"/>
  <c r="E540" i="3"/>
  <c r="D540" i="3"/>
  <c r="C540" i="3"/>
  <c r="B540" i="3"/>
  <c r="A540" i="3"/>
  <c r="T539" i="3"/>
  <c r="S539" i="3"/>
  <c r="R539" i="3"/>
  <c r="Q539" i="3"/>
  <c r="J539" i="3"/>
  <c r="I539" i="3"/>
  <c r="H539" i="3"/>
  <c r="G539" i="3"/>
  <c r="F539" i="3"/>
  <c r="E539" i="3"/>
  <c r="D539" i="3"/>
  <c r="C539" i="3"/>
  <c r="B539" i="3"/>
  <c r="A539" i="3"/>
  <c r="T538" i="3"/>
  <c r="S538" i="3"/>
  <c r="R538" i="3"/>
  <c r="Q538" i="3"/>
  <c r="J538" i="3"/>
  <c r="I538" i="3"/>
  <c r="H538" i="3"/>
  <c r="G538" i="3"/>
  <c r="F538" i="3"/>
  <c r="E538" i="3"/>
  <c r="D538" i="3"/>
  <c r="C538" i="3"/>
  <c r="B538" i="3"/>
  <c r="A538" i="3"/>
  <c r="T537" i="3"/>
  <c r="S537" i="3"/>
  <c r="R537" i="3"/>
  <c r="Q537" i="3"/>
  <c r="J537" i="3"/>
  <c r="I537" i="3"/>
  <c r="H537" i="3"/>
  <c r="G537" i="3"/>
  <c r="F537" i="3"/>
  <c r="E537" i="3"/>
  <c r="D537" i="3"/>
  <c r="C537" i="3"/>
  <c r="B537" i="3"/>
  <c r="A537" i="3"/>
  <c r="T536" i="3"/>
  <c r="S536" i="3"/>
  <c r="R536" i="3"/>
  <c r="Q536" i="3"/>
  <c r="O536" i="3"/>
  <c r="M536" i="3"/>
  <c r="K536" i="3"/>
  <c r="J536" i="3"/>
  <c r="I536" i="3"/>
  <c r="H536" i="3"/>
  <c r="G536" i="3"/>
  <c r="F536" i="3"/>
  <c r="E536" i="3"/>
  <c r="D536" i="3"/>
  <c r="C536" i="3"/>
  <c r="B536" i="3"/>
  <c r="A536" i="3"/>
  <c r="T535" i="3"/>
  <c r="S535" i="3"/>
  <c r="R535" i="3"/>
  <c r="Q535" i="3"/>
  <c r="O535" i="3"/>
  <c r="K535" i="3"/>
  <c r="J535" i="3"/>
  <c r="I535" i="3"/>
  <c r="H535" i="3"/>
  <c r="G535" i="3"/>
  <c r="F535" i="3"/>
  <c r="E535" i="3"/>
  <c r="D535" i="3"/>
  <c r="C535" i="3"/>
  <c r="B535" i="3"/>
  <c r="A535" i="3"/>
  <c r="T534" i="3"/>
  <c r="S534" i="3"/>
  <c r="R534" i="3"/>
  <c r="Q534" i="3"/>
  <c r="K534" i="3"/>
  <c r="J534" i="3"/>
  <c r="I534" i="3"/>
  <c r="H534" i="3"/>
  <c r="G534" i="3"/>
  <c r="F534" i="3"/>
  <c r="E534" i="3"/>
  <c r="D534" i="3"/>
  <c r="C534" i="3"/>
  <c r="B534" i="3"/>
  <c r="A534" i="3"/>
  <c r="T533" i="3"/>
  <c r="S533" i="3"/>
  <c r="R533" i="3"/>
  <c r="Q533" i="3"/>
  <c r="J533" i="3"/>
  <c r="I533" i="3"/>
  <c r="H533" i="3"/>
  <c r="G533" i="3"/>
  <c r="F533" i="3"/>
  <c r="E533" i="3"/>
  <c r="D533" i="3"/>
  <c r="C533" i="3"/>
  <c r="B533" i="3"/>
  <c r="A533" i="3"/>
  <c r="T532" i="3"/>
  <c r="S532" i="3"/>
  <c r="R532" i="3"/>
  <c r="Q532" i="3"/>
  <c r="J532" i="3"/>
  <c r="I532" i="3"/>
  <c r="H532" i="3"/>
  <c r="G532" i="3"/>
  <c r="F532" i="3"/>
  <c r="E532" i="3"/>
  <c r="D532" i="3"/>
  <c r="C532" i="3"/>
  <c r="B532" i="3"/>
  <c r="A532" i="3"/>
  <c r="T531" i="3"/>
  <c r="S531" i="3"/>
  <c r="R531" i="3"/>
  <c r="Q531" i="3"/>
  <c r="O531" i="3"/>
  <c r="K531" i="3"/>
  <c r="J531" i="3"/>
  <c r="I531" i="3"/>
  <c r="H531" i="3"/>
  <c r="G531" i="3"/>
  <c r="F531" i="3"/>
  <c r="E531" i="3"/>
  <c r="D531" i="3"/>
  <c r="C531" i="3"/>
  <c r="B531" i="3"/>
  <c r="A531" i="3"/>
  <c r="T530" i="3"/>
  <c r="S530" i="3"/>
  <c r="R530" i="3"/>
  <c r="Q530" i="3"/>
  <c r="J530" i="3"/>
  <c r="I530" i="3"/>
  <c r="H530" i="3"/>
  <c r="G530" i="3"/>
  <c r="F530" i="3"/>
  <c r="E530" i="3"/>
  <c r="D530" i="3"/>
  <c r="C530" i="3"/>
  <c r="B530" i="3"/>
  <c r="A530" i="3"/>
  <c r="T529" i="3"/>
  <c r="S529" i="3"/>
  <c r="R529" i="3"/>
  <c r="Q529" i="3"/>
  <c r="J529" i="3"/>
  <c r="I529" i="3"/>
  <c r="H529" i="3"/>
  <c r="G529" i="3"/>
  <c r="F529" i="3"/>
  <c r="E529" i="3"/>
  <c r="D529" i="3"/>
  <c r="C529" i="3"/>
  <c r="B529" i="3"/>
  <c r="A529" i="3"/>
  <c r="T528" i="3"/>
  <c r="S528" i="3"/>
  <c r="R528" i="3"/>
  <c r="Q528" i="3"/>
  <c r="O528" i="3"/>
  <c r="M528" i="3"/>
  <c r="K528" i="3"/>
  <c r="J528" i="3"/>
  <c r="I528" i="3"/>
  <c r="H528" i="3"/>
  <c r="G528" i="3"/>
  <c r="F528" i="3"/>
  <c r="E528" i="3"/>
  <c r="D528" i="3"/>
  <c r="C528" i="3"/>
  <c r="B528" i="3"/>
  <c r="A528" i="3"/>
  <c r="T527" i="3"/>
  <c r="S527" i="3"/>
  <c r="R527" i="3"/>
  <c r="Q527" i="3"/>
  <c r="J527" i="3"/>
  <c r="I527" i="3"/>
  <c r="H527" i="3"/>
  <c r="G527" i="3"/>
  <c r="F527" i="3"/>
  <c r="E527" i="3"/>
  <c r="D527" i="3"/>
  <c r="C527" i="3"/>
  <c r="B527" i="3"/>
  <c r="A527" i="3"/>
  <c r="T526" i="3"/>
  <c r="S526" i="3"/>
  <c r="R526" i="3"/>
  <c r="Q526" i="3"/>
  <c r="O526" i="3"/>
  <c r="K526" i="3"/>
  <c r="J526" i="3"/>
  <c r="I526" i="3"/>
  <c r="H526" i="3"/>
  <c r="G526" i="3"/>
  <c r="F526" i="3"/>
  <c r="E526" i="3"/>
  <c r="D526" i="3"/>
  <c r="C526" i="3"/>
  <c r="B526" i="3"/>
  <c r="A526" i="3"/>
  <c r="T525" i="3"/>
  <c r="S525" i="3"/>
  <c r="R525" i="3"/>
  <c r="Q525" i="3"/>
  <c r="O525" i="3"/>
  <c r="M525" i="3"/>
  <c r="K525" i="3"/>
  <c r="J525" i="3"/>
  <c r="I525" i="3"/>
  <c r="H525" i="3"/>
  <c r="G525" i="3"/>
  <c r="F525" i="3"/>
  <c r="E525" i="3"/>
  <c r="D525" i="3"/>
  <c r="C525" i="3"/>
  <c r="B525" i="3"/>
  <c r="A525" i="3"/>
  <c r="T524" i="3"/>
  <c r="S524" i="3"/>
  <c r="R524" i="3"/>
  <c r="Q524" i="3"/>
  <c r="J524" i="3"/>
  <c r="I524" i="3"/>
  <c r="H524" i="3"/>
  <c r="G524" i="3"/>
  <c r="F524" i="3"/>
  <c r="E524" i="3"/>
  <c r="D524" i="3"/>
  <c r="C524" i="3"/>
  <c r="B524" i="3"/>
  <c r="A524" i="3"/>
  <c r="T523" i="3"/>
  <c r="S523" i="3"/>
  <c r="R523" i="3"/>
  <c r="Q523" i="3"/>
  <c r="J523" i="3"/>
  <c r="I523" i="3"/>
  <c r="H523" i="3"/>
  <c r="G523" i="3"/>
  <c r="F523" i="3"/>
  <c r="E523" i="3"/>
  <c r="D523" i="3"/>
  <c r="C523" i="3"/>
  <c r="B523" i="3"/>
  <c r="A523" i="3"/>
  <c r="T522" i="3"/>
  <c r="S522" i="3"/>
  <c r="R522" i="3"/>
  <c r="Q522" i="3"/>
  <c r="O522" i="3"/>
  <c r="M522" i="3"/>
  <c r="K522" i="3"/>
  <c r="J522" i="3"/>
  <c r="I522" i="3"/>
  <c r="H522" i="3"/>
  <c r="G522" i="3"/>
  <c r="F522" i="3"/>
  <c r="E522" i="3"/>
  <c r="D522" i="3"/>
  <c r="C522" i="3"/>
  <c r="B522" i="3"/>
  <c r="A522" i="3"/>
  <c r="T521" i="3"/>
  <c r="S521" i="3"/>
  <c r="R521" i="3"/>
  <c r="Q521" i="3"/>
  <c r="J521" i="3"/>
  <c r="I521" i="3"/>
  <c r="H521" i="3"/>
  <c r="G521" i="3"/>
  <c r="F521" i="3"/>
  <c r="E521" i="3"/>
  <c r="D521" i="3"/>
  <c r="C521" i="3"/>
  <c r="B521" i="3"/>
  <c r="A521" i="3"/>
  <c r="T520" i="3"/>
  <c r="S520" i="3"/>
  <c r="R520" i="3"/>
  <c r="Q520" i="3"/>
  <c r="K520" i="3"/>
  <c r="J520" i="3"/>
  <c r="I520" i="3"/>
  <c r="H520" i="3"/>
  <c r="G520" i="3"/>
  <c r="F520" i="3"/>
  <c r="E520" i="3"/>
  <c r="D520" i="3"/>
  <c r="C520" i="3"/>
  <c r="B520" i="3"/>
  <c r="A520" i="3"/>
  <c r="T519" i="3"/>
  <c r="S519" i="3"/>
  <c r="R519" i="3"/>
  <c r="Q519" i="3"/>
  <c r="J519" i="3"/>
  <c r="I519" i="3"/>
  <c r="H519" i="3"/>
  <c r="G519" i="3"/>
  <c r="F519" i="3"/>
  <c r="E519" i="3"/>
  <c r="D519" i="3"/>
  <c r="C519" i="3"/>
  <c r="B519" i="3"/>
  <c r="A519" i="3"/>
  <c r="T518" i="3"/>
  <c r="S518" i="3"/>
  <c r="R518" i="3"/>
  <c r="Q518" i="3"/>
  <c r="J518" i="3"/>
  <c r="I518" i="3"/>
  <c r="H518" i="3"/>
  <c r="G518" i="3"/>
  <c r="F518" i="3"/>
  <c r="E518" i="3"/>
  <c r="D518" i="3"/>
  <c r="C518" i="3"/>
  <c r="B518" i="3"/>
  <c r="A518" i="3"/>
  <c r="T517" i="3"/>
  <c r="S517" i="3"/>
  <c r="R517" i="3"/>
  <c r="Q517" i="3"/>
  <c r="J517" i="3"/>
  <c r="I517" i="3"/>
  <c r="H517" i="3"/>
  <c r="G517" i="3"/>
  <c r="F517" i="3"/>
  <c r="E517" i="3"/>
  <c r="D517" i="3"/>
  <c r="C517" i="3"/>
  <c r="B517" i="3"/>
  <c r="A517" i="3"/>
  <c r="T516" i="3"/>
  <c r="S516" i="3"/>
  <c r="R516" i="3"/>
  <c r="Q516" i="3"/>
  <c r="K516" i="3"/>
  <c r="J516" i="3"/>
  <c r="I516" i="3"/>
  <c r="H516" i="3"/>
  <c r="G516" i="3"/>
  <c r="F516" i="3"/>
  <c r="E516" i="3"/>
  <c r="D516" i="3"/>
  <c r="C516" i="3"/>
  <c r="B516" i="3"/>
  <c r="A516" i="3"/>
  <c r="T515" i="3"/>
  <c r="S515" i="3"/>
  <c r="R515" i="3"/>
  <c r="Q515" i="3"/>
  <c r="J515" i="3"/>
  <c r="I515" i="3"/>
  <c r="H515" i="3"/>
  <c r="G515" i="3"/>
  <c r="F515" i="3"/>
  <c r="E515" i="3"/>
  <c r="D515" i="3"/>
  <c r="C515" i="3"/>
  <c r="B515" i="3"/>
  <c r="A515" i="3"/>
  <c r="T514" i="3"/>
  <c r="S514" i="3"/>
  <c r="R514" i="3"/>
  <c r="Q514" i="3"/>
  <c r="O514" i="3"/>
  <c r="M514" i="3"/>
  <c r="K514" i="3"/>
  <c r="J514" i="3"/>
  <c r="I514" i="3"/>
  <c r="H514" i="3"/>
  <c r="G514" i="3"/>
  <c r="F514" i="3"/>
  <c r="E514" i="3"/>
  <c r="D514" i="3"/>
  <c r="C514" i="3"/>
  <c r="B514" i="3"/>
  <c r="A514" i="3"/>
  <c r="T513" i="3"/>
  <c r="S513" i="3"/>
  <c r="R513" i="3"/>
  <c r="Q513" i="3"/>
  <c r="O513" i="3"/>
  <c r="M513" i="3"/>
  <c r="K513" i="3"/>
  <c r="J513" i="3"/>
  <c r="I513" i="3"/>
  <c r="H513" i="3"/>
  <c r="G513" i="3"/>
  <c r="F513" i="3"/>
  <c r="E513" i="3"/>
  <c r="D513" i="3"/>
  <c r="C513" i="3"/>
  <c r="B513" i="3"/>
  <c r="A513" i="3"/>
  <c r="T512" i="3"/>
  <c r="S512" i="3"/>
  <c r="R512" i="3"/>
  <c r="Q512" i="3"/>
  <c r="J512" i="3"/>
  <c r="I512" i="3"/>
  <c r="H512" i="3"/>
  <c r="G512" i="3"/>
  <c r="F512" i="3"/>
  <c r="E512" i="3"/>
  <c r="D512" i="3"/>
  <c r="C512" i="3"/>
  <c r="B512" i="3"/>
  <c r="A512" i="3"/>
  <c r="T511" i="3"/>
  <c r="S511" i="3"/>
  <c r="R511" i="3"/>
  <c r="Q511" i="3"/>
  <c r="J511" i="3"/>
  <c r="I511" i="3"/>
  <c r="H511" i="3"/>
  <c r="G511" i="3"/>
  <c r="F511" i="3"/>
  <c r="E511" i="3"/>
  <c r="D511" i="3"/>
  <c r="C511" i="3"/>
  <c r="B511" i="3"/>
  <c r="A511" i="3"/>
  <c r="T510" i="3"/>
  <c r="S510" i="3"/>
  <c r="R510" i="3"/>
  <c r="Q510" i="3"/>
  <c r="O510" i="3"/>
  <c r="M510" i="3"/>
  <c r="K510" i="3"/>
  <c r="J510" i="3"/>
  <c r="I510" i="3"/>
  <c r="H510" i="3"/>
  <c r="G510" i="3"/>
  <c r="F510" i="3"/>
  <c r="E510" i="3"/>
  <c r="D510" i="3"/>
  <c r="C510" i="3"/>
  <c r="B510" i="3"/>
  <c r="A510" i="3"/>
  <c r="T509" i="3"/>
  <c r="S509" i="3"/>
  <c r="R509" i="3"/>
  <c r="Q509" i="3"/>
  <c r="O509" i="3"/>
  <c r="M509" i="3"/>
  <c r="K509" i="3"/>
  <c r="J509" i="3"/>
  <c r="I509" i="3"/>
  <c r="H509" i="3"/>
  <c r="G509" i="3"/>
  <c r="F509" i="3"/>
  <c r="E509" i="3"/>
  <c r="D509" i="3"/>
  <c r="C509" i="3"/>
  <c r="B509" i="3"/>
  <c r="A509" i="3"/>
  <c r="T508" i="3"/>
  <c r="S508" i="3"/>
  <c r="R508" i="3"/>
  <c r="Q508" i="3"/>
  <c r="O508" i="3"/>
  <c r="K508" i="3"/>
  <c r="J508" i="3"/>
  <c r="I508" i="3"/>
  <c r="H508" i="3"/>
  <c r="G508" i="3"/>
  <c r="F508" i="3"/>
  <c r="E508" i="3"/>
  <c r="D508" i="3"/>
  <c r="C508" i="3"/>
  <c r="B508" i="3"/>
  <c r="A508" i="3"/>
  <c r="T507" i="3"/>
  <c r="S507" i="3"/>
  <c r="R507" i="3"/>
  <c r="Q507" i="3"/>
  <c r="J507" i="3"/>
  <c r="I507" i="3"/>
  <c r="H507" i="3"/>
  <c r="G507" i="3"/>
  <c r="F507" i="3"/>
  <c r="E507" i="3"/>
  <c r="D507" i="3"/>
  <c r="C507" i="3"/>
  <c r="B507" i="3"/>
  <c r="A507" i="3"/>
  <c r="T506" i="3"/>
  <c r="S506" i="3"/>
  <c r="R506" i="3"/>
  <c r="Q506" i="3"/>
  <c r="O506" i="3"/>
  <c r="M506" i="3"/>
  <c r="K506" i="3"/>
  <c r="J506" i="3"/>
  <c r="I506" i="3"/>
  <c r="H506" i="3"/>
  <c r="G506" i="3"/>
  <c r="F506" i="3"/>
  <c r="E506" i="3"/>
  <c r="D506" i="3"/>
  <c r="C506" i="3"/>
  <c r="B506" i="3"/>
  <c r="A506" i="3"/>
  <c r="T505" i="3"/>
  <c r="S505" i="3"/>
  <c r="R505" i="3"/>
  <c r="Q505" i="3"/>
  <c r="J505" i="3"/>
  <c r="I505" i="3"/>
  <c r="H505" i="3"/>
  <c r="G505" i="3"/>
  <c r="F505" i="3"/>
  <c r="E505" i="3"/>
  <c r="D505" i="3"/>
  <c r="C505" i="3"/>
  <c r="B505" i="3"/>
  <c r="A505" i="3"/>
  <c r="T504" i="3"/>
  <c r="S504" i="3"/>
  <c r="R504" i="3"/>
  <c r="Q504" i="3"/>
  <c r="O504" i="3"/>
  <c r="K504" i="3"/>
  <c r="J504" i="3"/>
  <c r="I504" i="3"/>
  <c r="H504" i="3"/>
  <c r="G504" i="3"/>
  <c r="F504" i="3"/>
  <c r="E504" i="3"/>
  <c r="D504" i="3"/>
  <c r="C504" i="3"/>
  <c r="B504" i="3"/>
  <c r="A504" i="3"/>
  <c r="T503" i="3"/>
  <c r="S503" i="3"/>
  <c r="R503" i="3"/>
  <c r="Q503" i="3"/>
  <c r="J503" i="3"/>
  <c r="I503" i="3"/>
  <c r="H503" i="3"/>
  <c r="G503" i="3"/>
  <c r="F503" i="3"/>
  <c r="E503" i="3"/>
  <c r="D503" i="3"/>
  <c r="C503" i="3"/>
  <c r="B503" i="3"/>
  <c r="A503" i="3"/>
  <c r="T502" i="3"/>
  <c r="S502" i="3"/>
  <c r="R502" i="3"/>
  <c r="Q502" i="3"/>
  <c r="O502" i="3"/>
  <c r="M502" i="3"/>
  <c r="K502" i="3"/>
  <c r="J502" i="3"/>
  <c r="I502" i="3"/>
  <c r="H502" i="3"/>
  <c r="G502" i="3"/>
  <c r="F502" i="3"/>
  <c r="E502" i="3"/>
  <c r="D502" i="3"/>
  <c r="C502" i="3"/>
  <c r="B502" i="3"/>
  <c r="A502" i="3"/>
  <c r="T501" i="3"/>
  <c r="S501" i="3"/>
  <c r="R501" i="3"/>
  <c r="Q501" i="3"/>
  <c r="O501" i="3"/>
  <c r="M501" i="3"/>
  <c r="K501" i="3"/>
  <c r="J501" i="3"/>
  <c r="I501" i="3"/>
  <c r="H501" i="3"/>
  <c r="G501" i="3"/>
  <c r="F501" i="3"/>
  <c r="E501" i="3"/>
  <c r="D501" i="3"/>
  <c r="C501" i="3"/>
  <c r="B501" i="3"/>
  <c r="A501" i="3"/>
  <c r="T500" i="3"/>
  <c r="S500" i="3"/>
  <c r="R500" i="3"/>
  <c r="Q500" i="3"/>
  <c r="J500" i="3"/>
  <c r="I500" i="3"/>
  <c r="H500" i="3"/>
  <c r="G500" i="3"/>
  <c r="F500" i="3"/>
  <c r="E500" i="3"/>
  <c r="D500" i="3"/>
  <c r="C500" i="3"/>
  <c r="B500" i="3"/>
  <c r="A500" i="3"/>
  <c r="T499" i="3"/>
  <c r="S499" i="3"/>
  <c r="R499" i="3"/>
  <c r="Q499" i="3"/>
  <c r="M499" i="3"/>
  <c r="K499" i="3"/>
  <c r="J499" i="3"/>
  <c r="I499" i="3"/>
  <c r="H499" i="3"/>
  <c r="G499" i="3"/>
  <c r="F499" i="3"/>
  <c r="E499" i="3"/>
  <c r="D499" i="3"/>
  <c r="C499" i="3"/>
  <c r="B499" i="3"/>
  <c r="A499" i="3"/>
  <c r="T498" i="3"/>
  <c r="S498" i="3"/>
  <c r="R498" i="3"/>
  <c r="Q498" i="3"/>
  <c r="M498" i="3"/>
  <c r="K498" i="3"/>
  <c r="J498" i="3"/>
  <c r="I498" i="3"/>
  <c r="H498" i="3"/>
  <c r="G498" i="3"/>
  <c r="F498" i="3"/>
  <c r="E498" i="3"/>
  <c r="D498" i="3"/>
  <c r="C498" i="3"/>
  <c r="B498" i="3"/>
  <c r="A498" i="3"/>
  <c r="T497" i="3"/>
  <c r="S497" i="3"/>
  <c r="R497" i="3"/>
  <c r="Q497" i="3"/>
  <c r="M497" i="3"/>
  <c r="K497" i="3"/>
  <c r="J497" i="3"/>
  <c r="I497" i="3"/>
  <c r="H497" i="3"/>
  <c r="G497" i="3"/>
  <c r="F497" i="3"/>
  <c r="E497" i="3"/>
  <c r="D497" i="3"/>
  <c r="C497" i="3"/>
  <c r="B497" i="3"/>
  <c r="A497" i="3"/>
  <c r="T496" i="3"/>
  <c r="S496" i="3"/>
  <c r="R496" i="3"/>
  <c r="Q496" i="3"/>
  <c r="O496" i="3"/>
  <c r="M496" i="3"/>
  <c r="K496" i="3"/>
  <c r="J496" i="3"/>
  <c r="I496" i="3"/>
  <c r="H496" i="3"/>
  <c r="G496" i="3"/>
  <c r="F496" i="3"/>
  <c r="E496" i="3"/>
  <c r="D496" i="3"/>
  <c r="C496" i="3"/>
  <c r="B496" i="3"/>
  <c r="A496" i="3"/>
  <c r="T495" i="3"/>
  <c r="S495" i="3"/>
  <c r="R495" i="3"/>
  <c r="Q495" i="3"/>
  <c r="O495" i="3"/>
  <c r="K495" i="3"/>
  <c r="J495" i="3"/>
  <c r="I495" i="3"/>
  <c r="H495" i="3"/>
  <c r="G495" i="3"/>
  <c r="F495" i="3"/>
  <c r="E495" i="3"/>
  <c r="D495" i="3"/>
  <c r="C495" i="3"/>
  <c r="B495" i="3"/>
  <c r="A495" i="3"/>
  <c r="T494" i="3"/>
  <c r="S494" i="3"/>
  <c r="R494" i="3"/>
  <c r="Q494" i="3"/>
  <c r="O494" i="3"/>
  <c r="M494" i="3"/>
  <c r="K494" i="3"/>
  <c r="J494" i="3"/>
  <c r="I494" i="3"/>
  <c r="H494" i="3"/>
  <c r="G494" i="3"/>
  <c r="F494" i="3"/>
  <c r="E494" i="3"/>
  <c r="D494" i="3"/>
  <c r="C494" i="3"/>
  <c r="B494" i="3"/>
  <c r="A494" i="3"/>
  <c r="T493" i="3"/>
  <c r="S493" i="3"/>
  <c r="R493" i="3"/>
  <c r="Q493" i="3"/>
  <c r="K493" i="3"/>
  <c r="J493" i="3"/>
  <c r="I493" i="3"/>
  <c r="H493" i="3"/>
  <c r="G493" i="3"/>
  <c r="F493" i="3"/>
  <c r="E493" i="3"/>
  <c r="D493" i="3"/>
  <c r="C493" i="3"/>
  <c r="B493" i="3"/>
  <c r="A493" i="3"/>
  <c r="T492" i="3"/>
  <c r="S492" i="3"/>
  <c r="R492" i="3"/>
  <c r="Q492" i="3"/>
  <c r="J492" i="3"/>
  <c r="I492" i="3"/>
  <c r="H492" i="3"/>
  <c r="G492" i="3"/>
  <c r="F492" i="3"/>
  <c r="E492" i="3"/>
  <c r="D492" i="3"/>
  <c r="C492" i="3"/>
  <c r="B492" i="3"/>
  <c r="A492" i="3"/>
  <c r="T491" i="3"/>
  <c r="S491" i="3"/>
  <c r="R491" i="3"/>
  <c r="Q491" i="3"/>
  <c r="J491" i="3"/>
  <c r="I491" i="3"/>
  <c r="H491" i="3"/>
  <c r="G491" i="3"/>
  <c r="F491" i="3"/>
  <c r="E491" i="3"/>
  <c r="D491" i="3"/>
  <c r="C491" i="3"/>
  <c r="B491" i="3"/>
  <c r="A491" i="3"/>
  <c r="T490" i="3"/>
  <c r="S490" i="3"/>
  <c r="R490" i="3"/>
  <c r="Q490" i="3"/>
  <c r="J490" i="3"/>
  <c r="I490" i="3"/>
  <c r="H490" i="3"/>
  <c r="G490" i="3"/>
  <c r="F490" i="3"/>
  <c r="E490" i="3"/>
  <c r="D490" i="3"/>
  <c r="C490" i="3"/>
  <c r="B490" i="3"/>
  <c r="A490" i="3"/>
  <c r="T489" i="3"/>
  <c r="S489" i="3"/>
  <c r="R489" i="3"/>
  <c r="Q489" i="3"/>
  <c r="O489" i="3"/>
  <c r="M489" i="3"/>
  <c r="K489" i="3"/>
  <c r="J489" i="3"/>
  <c r="I489" i="3"/>
  <c r="H489" i="3"/>
  <c r="G489" i="3"/>
  <c r="F489" i="3"/>
  <c r="E489" i="3"/>
  <c r="D489" i="3"/>
  <c r="C489" i="3"/>
  <c r="B489" i="3"/>
  <c r="A489" i="3"/>
  <c r="T488" i="3"/>
  <c r="S488" i="3"/>
  <c r="R488" i="3"/>
  <c r="Q488" i="3"/>
  <c r="O488" i="3"/>
  <c r="M488" i="3"/>
  <c r="K488" i="3"/>
  <c r="J488" i="3"/>
  <c r="I488" i="3"/>
  <c r="H488" i="3"/>
  <c r="G488" i="3"/>
  <c r="F488" i="3"/>
  <c r="E488" i="3"/>
  <c r="D488" i="3"/>
  <c r="C488" i="3"/>
  <c r="B488" i="3"/>
  <c r="A488" i="3"/>
  <c r="T487" i="3"/>
  <c r="S487" i="3"/>
  <c r="R487" i="3"/>
  <c r="Q487" i="3"/>
  <c r="O487" i="3"/>
  <c r="M487" i="3"/>
  <c r="K487" i="3"/>
  <c r="J487" i="3"/>
  <c r="I487" i="3"/>
  <c r="H487" i="3"/>
  <c r="G487" i="3"/>
  <c r="F487" i="3"/>
  <c r="E487" i="3"/>
  <c r="D487" i="3"/>
  <c r="C487" i="3"/>
  <c r="B487" i="3"/>
  <c r="A487" i="3"/>
  <c r="T486" i="3"/>
  <c r="S486" i="3"/>
  <c r="R486" i="3"/>
  <c r="Q486" i="3"/>
  <c r="O486" i="3"/>
  <c r="K486" i="3"/>
  <c r="J486" i="3"/>
  <c r="I486" i="3"/>
  <c r="H486" i="3"/>
  <c r="G486" i="3"/>
  <c r="F486" i="3"/>
  <c r="E486" i="3"/>
  <c r="D486" i="3"/>
  <c r="C486" i="3"/>
  <c r="B486" i="3"/>
  <c r="A486" i="3"/>
  <c r="T485" i="3"/>
  <c r="S485" i="3"/>
  <c r="R485" i="3"/>
  <c r="Q485" i="3"/>
  <c r="J485" i="3"/>
  <c r="I485" i="3"/>
  <c r="H485" i="3"/>
  <c r="G485" i="3"/>
  <c r="F485" i="3"/>
  <c r="E485" i="3"/>
  <c r="D485" i="3"/>
  <c r="C485" i="3"/>
  <c r="B485" i="3"/>
  <c r="A485" i="3"/>
  <c r="T484" i="3"/>
  <c r="S484" i="3"/>
  <c r="R484" i="3"/>
  <c r="Q484" i="3"/>
  <c r="J484" i="3"/>
  <c r="I484" i="3"/>
  <c r="H484" i="3"/>
  <c r="G484" i="3"/>
  <c r="F484" i="3"/>
  <c r="E484" i="3"/>
  <c r="D484" i="3"/>
  <c r="C484" i="3"/>
  <c r="B484" i="3"/>
  <c r="A484" i="3"/>
  <c r="T483" i="3"/>
  <c r="S483" i="3"/>
  <c r="R483" i="3"/>
  <c r="Q483" i="3"/>
  <c r="O483" i="3"/>
  <c r="M483" i="3"/>
  <c r="K483" i="3"/>
  <c r="J483" i="3"/>
  <c r="I483" i="3"/>
  <c r="H483" i="3"/>
  <c r="G483" i="3"/>
  <c r="F483" i="3"/>
  <c r="E483" i="3"/>
  <c r="D483" i="3"/>
  <c r="C483" i="3"/>
  <c r="B483" i="3"/>
  <c r="A483" i="3"/>
  <c r="T482" i="3"/>
  <c r="S482" i="3"/>
  <c r="R482" i="3"/>
  <c r="Q482" i="3"/>
  <c r="J482" i="3"/>
  <c r="I482" i="3"/>
  <c r="H482" i="3"/>
  <c r="G482" i="3"/>
  <c r="F482" i="3"/>
  <c r="E482" i="3"/>
  <c r="D482" i="3"/>
  <c r="C482" i="3"/>
  <c r="B482" i="3"/>
  <c r="A482" i="3"/>
  <c r="T481" i="3"/>
  <c r="S481" i="3"/>
  <c r="R481" i="3"/>
  <c r="Q481" i="3"/>
  <c r="J481" i="3"/>
  <c r="I481" i="3"/>
  <c r="H481" i="3"/>
  <c r="G481" i="3"/>
  <c r="F481" i="3"/>
  <c r="E481" i="3"/>
  <c r="D481" i="3"/>
  <c r="C481" i="3"/>
  <c r="B481" i="3"/>
  <c r="A481" i="3"/>
  <c r="T480" i="3"/>
  <c r="S480" i="3"/>
  <c r="R480" i="3"/>
  <c r="Q480" i="3"/>
  <c r="J480" i="3"/>
  <c r="I480" i="3"/>
  <c r="H480" i="3"/>
  <c r="G480" i="3"/>
  <c r="F480" i="3"/>
  <c r="E480" i="3"/>
  <c r="D480" i="3"/>
  <c r="C480" i="3"/>
  <c r="B480" i="3"/>
  <c r="A480" i="3"/>
  <c r="T479" i="3"/>
  <c r="S479" i="3"/>
  <c r="R479" i="3"/>
  <c r="Q479" i="3"/>
  <c r="J479" i="3"/>
  <c r="I479" i="3"/>
  <c r="H479" i="3"/>
  <c r="G479" i="3"/>
  <c r="F479" i="3"/>
  <c r="E479" i="3"/>
  <c r="D479" i="3"/>
  <c r="C479" i="3"/>
  <c r="B479" i="3"/>
  <c r="A479" i="3"/>
  <c r="T478" i="3"/>
  <c r="S478" i="3"/>
  <c r="R478" i="3"/>
  <c r="Q478" i="3"/>
  <c r="J478" i="3"/>
  <c r="I478" i="3"/>
  <c r="H478" i="3"/>
  <c r="G478" i="3"/>
  <c r="F478" i="3"/>
  <c r="E478" i="3"/>
  <c r="D478" i="3"/>
  <c r="C478" i="3"/>
  <c r="B478" i="3"/>
  <c r="A478" i="3"/>
  <c r="T477" i="3"/>
  <c r="S477" i="3"/>
  <c r="R477" i="3"/>
  <c r="Q477" i="3"/>
  <c r="J477" i="3"/>
  <c r="I477" i="3"/>
  <c r="H477" i="3"/>
  <c r="G477" i="3"/>
  <c r="F477" i="3"/>
  <c r="E477" i="3"/>
  <c r="D477" i="3"/>
  <c r="C477" i="3"/>
  <c r="B477" i="3"/>
  <c r="A477" i="3"/>
  <c r="T476" i="3"/>
  <c r="S476" i="3"/>
  <c r="R476" i="3"/>
  <c r="Q476" i="3"/>
  <c r="J476" i="3"/>
  <c r="I476" i="3"/>
  <c r="H476" i="3"/>
  <c r="G476" i="3"/>
  <c r="F476" i="3"/>
  <c r="E476" i="3"/>
  <c r="D476" i="3"/>
  <c r="C476" i="3"/>
  <c r="B476" i="3"/>
  <c r="A476" i="3"/>
  <c r="T475" i="3"/>
  <c r="S475" i="3"/>
  <c r="R475" i="3"/>
  <c r="Q475" i="3"/>
  <c r="J475" i="3"/>
  <c r="I475" i="3"/>
  <c r="H475" i="3"/>
  <c r="G475" i="3"/>
  <c r="F475" i="3"/>
  <c r="E475" i="3"/>
  <c r="D475" i="3"/>
  <c r="C475" i="3"/>
  <c r="B475" i="3"/>
  <c r="A475" i="3"/>
  <c r="T474" i="3"/>
  <c r="S474" i="3"/>
  <c r="R474" i="3"/>
  <c r="Q474" i="3"/>
  <c r="K474" i="3"/>
  <c r="J474" i="3"/>
  <c r="I474" i="3"/>
  <c r="H474" i="3"/>
  <c r="G474" i="3"/>
  <c r="F474" i="3"/>
  <c r="E474" i="3"/>
  <c r="D474" i="3"/>
  <c r="C474" i="3"/>
  <c r="B474" i="3"/>
  <c r="A474" i="3"/>
  <c r="T473" i="3"/>
  <c r="S473" i="3"/>
  <c r="R473" i="3"/>
  <c r="Q473" i="3"/>
  <c r="O473" i="3"/>
  <c r="M473" i="3"/>
  <c r="K473" i="3"/>
  <c r="J473" i="3"/>
  <c r="I473" i="3"/>
  <c r="H473" i="3"/>
  <c r="G473" i="3"/>
  <c r="F473" i="3"/>
  <c r="E473" i="3"/>
  <c r="D473" i="3"/>
  <c r="C473" i="3"/>
  <c r="B473" i="3"/>
  <c r="A473" i="3"/>
  <c r="T472" i="3"/>
  <c r="S472" i="3"/>
  <c r="R472" i="3"/>
  <c r="Q472" i="3"/>
  <c r="J472" i="3"/>
  <c r="I472" i="3"/>
  <c r="H472" i="3"/>
  <c r="G472" i="3"/>
  <c r="F472" i="3"/>
  <c r="E472" i="3"/>
  <c r="D472" i="3"/>
  <c r="C472" i="3"/>
  <c r="B472" i="3"/>
  <c r="A472" i="3"/>
  <c r="T471" i="3"/>
  <c r="S471" i="3"/>
  <c r="R471" i="3"/>
  <c r="Q471" i="3"/>
  <c r="O471" i="3"/>
  <c r="M471" i="3"/>
  <c r="K471" i="3"/>
  <c r="J471" i="3"/>
  <c r="I471" i="3"/>
  <c r="H471" i="3"/>
  <c r="G471" i="3"/>
  <c r="F471" i="3"/>
  <c r="E471" i="3"/>
  <c r="D471" i="3"/>
  <c r="C471" i="3"/>
  <c r="B471" i="3"/>
  <c r="A471" i="3"/>
  <c r="T470" i="3"/>
  <c r="S470" i="3"/>
  <c r="R470" i="3"/>
  <c r="Q470" i="3"/>
  <c r="J470" i="3"/>
  <c r="I470" i="3"/>
  <c r="H470" i="3"/>
  <c r="G470" i="3"/>
  <c r="F470" i="3"/>
  <c r="E470" i="3"/>
  <c r="D470" i="3"/>
  <c r="C470" i="3"/>
  <c r="B470" i="3"/>
  <c r="A470" i="3"/>
  <c r="T469" i="3"/>
  <c r="S469" i="3"/>
  <c r="R469" i="3"/>
  <c r="Q469" i="3"/>
  <c r="J469" i="3"/>
  <c r="I469" i="3"/>
  <c r="H469" i="3"/>
  <c r="G469" i="3"/>
  <c r="F469" i="3"/>
  <c r="E469" i="3"/>
  <c r="D469" i="3"/>
  <c r="C469" i="3"/>
  <c r="B469" i="3"/>
  <c r="A469" i="3"/>
  <c r="T468" i="3"/>
  <c r="S468" i="3"/>
  <c r="R468" i="3"/>
  <c r="Q468" i="3"/>
  <c r="O468" i="3"/>
  <c r="M468" i="3"/>
  <c r="K468" i="3"/>
  <c r="J468" i="3"/>
  <c r="I468" i="3"/>
  <c r="H468" i="3"/>
  <c r="G468" i="3"/>
  <c r="F468" i="3"/>
  <c r="E468" i="3"/>
  <c r="D468" i="3"/>
  <c r="C468" i="3"/>
  <c r="B468" i="3"/>
  <c r="A468" i="3"/>
  <c r="T467" i="3"/>
  <c r="S467" i="3"/>
  <c r="R467" i="3"/>
  <c r="Q467" i="3"/>
  <c r="O467" i="3"/>
  <c r="M467" i="3"/>
  <c r="K467" i="3"/>
  <c r="J467" i="3"/>
  <c r="I467" i="3"/>
  <c r="H467" i="3"/>
  <c r="G467" i="3"/>
  <c r="F467" i="3"/>
  <c r="E467" i="3"/>
  <c r="D467" i="3"/>
  <c r="C467" i="3"/>
  <c r="B467" i="3"/>
  <c r="A467" i="3"/>
  <c r="T466" i="3"/>
  <c r="S466" i="3"/>
  <c r="R466" i="3"/>
  <c r="Q466" i="3"/>
  <c r="J466" i="3"/>
  <c r="I466" i="3"/>
  <c r="H466" i="3"/>
  <c r="G466" i="3"/>
  <c r="F466" i="3"/>
  <c r="E466" i="3"/>
  <c r="D466" i="3"/>
  <c r="C466" i="3"/>
  <c r="B466" i="3"/>
  <c r="A466" i="3"/>
  <c r="T465" i="3"/>
  <c r="S465" i="3"/>
  <c r="R465" i="3"/>
  <c r="Q465" i="3"/>
  <c r="O465" i="3"/>
  <c r="M465" i="3"/>
  <c r="K465" i="3"/>
  <c r="J465" i="3"/>
  <c r="I465" i="3"/>
  <c r="H465" i="3"/>
  <c r="G465" i="3"/>
  <c r="F465" i="3"/>
  <c r="E465" i="3"/>
  <c r="D465" i="3"/>
  <c r="C465" i="3"/>
  <c r="B465" i="3"/>
  <c r="A465" i="3"/>
  <c r="T464" i="3"/>
  <c r="S464" i="3"/>
  <c r="R464" i="3"/>
  <c r="Q464" i="3"/>
  <c r="O464" i="3"/>
  <c r="M464" i="3"/>
  <c r="K464" i="3"/>
  <c r="J464" i="3"/>
  <c r="I464" i="3"/>
  <c r="H464" i="3"/>
  <c r="G464" i="3"/>
  <c r="F464" i="3"/>
  <c r="E464" i="3"/>
  <c r="D464" i="3"/>
  <c r="C464" i="3"/>
  <c r="B464" i="3"/>
  <c r="A464" i="3"/>
  <c r="T463" i="3"/>
  <c r="S463" i="3"/>
  <c r="R463" i="3"/>
  <c r="Q463" i="3"/>
  <c r="K463" i="3"/>
  <c r="J463" i="3"/>
  <c r="I463" i="3"/>
  <c r="H463" i="3"/>
  <c r="G463" i="3"/>
  <c r="F463" i="3"/>
  <c r="E463" i="3"/>
  <c r="D463" i="3"/>
  <c r="C463" i="3"/>
  <c r="B463" i="3"/>
  <c r="A463" i="3"/>
  <c r="T462" i="3"/>
  <c r="S462" i="3"/>
  <c r="R462" i="3"/>
  <c r="Q462" i="3"/>
  <c r="J462" i="3"/>
  <c r="I462" i="3"/>
  <c r="H462" i="3"/>
  <c r="G462" i="3"/>
  <c r="F462" i="3"/>
  <c r="E462" i="3"/>
  <c r="D462" i="3"/>
  <c r="C462" i="3"/>
  <c r="B462" i="3"/>
  <c r="A462" i="3"/>
  <c r="T461" i="3"/>
  <c r="S461" i="3"/>
  <c r="R461" i="3"/>
  <c r="Q461" i="3"/>
  <c r="J461" i="3"/>
  <c r="I461" i="3"/>
  <c r="H461" i="3"/>
  <c r="G461" i="3"/>
  <c r="F461" i="3"/>
  <c r="E461" i="3"/>
  <c r="D461" i="3"/>
  <c r="C461" i="3"/>
  <c r="B461" i="3"/>
  <c r="A461" i="3"/>
  <c r="T460" i="3"/>
  <c r="S460" i="3"/>
  <c r="R460" i="3"/>
  <c r="Q460" i="3"/>
  <c r="J460" i="3"/>
  <c r="I460" i="3"/>
  <c r="H460" i="3"/>
  <c r="G460" i="3"/>
  <c r="F460" i="3"/>
  <c r="E460" i="3"/>
  <c r="D460" i="3"/>
  <c r="C460" i="3"/>
  <c r="B460" i="3"/>
  <c r="A460" i="3"/>
  <c r="T459" i="3"/>
  <c r="S459" i="3"/>
  <c r="R459" i="3"/>
  <c r="Q459" i="3"/>
  <c r="J459" i="3"/>
  <c r="I459" i="3"/>
  <c r="H459" i="3"/>
  <c r="G459" i="3"/>
  <c r="F459" i="3"/>
  <c r="E459" i="3"/>
  <c r="D459" i="3"/>
  <c r="C459" i="3"/>
  <c r="B459" i="3"/>
  <c r="A459" i="3"/>
  <c r="T458" i="3"/>
  <c r="S458" i="3"/>
  <c r="R458" i="3"/>
  <c r="Q458" i="3"/>
  <c r="J458" i="3"/>
  <c r="I458" i="3"/>
  <c r="H458" i="3"/>
  <c r="G458" i="3"/>
  <c r="F458" i="3"/>
  <c r="E458" i="3"/>
  <c r="D458" i="3"/>
  <c r="C458" i="3"/>
  <c r="B458" i="3"/>
  <c r="A458" i="3"/>
  <c r="T457" i="3"/>
  <c r="S457" i="3"/>
  <c r="R457" i="3"/>
  <c r="Q457" i="3"/>
  <c r="J457" i="3"/>
  <c r="I457" i="3"/>
  <c r="H457" i="3"/>
  <c r="G457" i="3"/>
  <c r="F457" i="3"/>
  <c r="E457" i="3"/>
  <c r="D457" i="3"/>
  <c r="C457" i="3"/>
  <c r="B457" i="3"/>
  <c r="A457" i="3"/>
  <c r="T456" i="3"/>
  <c r="S456" i="3"/>
  <c r="R456" i="3"/>
  <c r="Q456" i="3"/>
  <c r="O456" i="3"/>
  <c r="K456" i="3"/>
  <c r="J456" i="3"/>
  <c r="I456" i="3"/>
  <c r="H456" i="3"/>
  <c r="G456" i="3"/>
  <c r="F456" i="3"/>
  <c r="E456" i="3"/>
  <c r="D456" i="3"/>
  <c r="C456" i="3"/>
  <c r="B456" i="3"/>
  <c r="A456" i="3"/>
  <c r="T455" i="3"/>
  <c r="S455" i="3"/>
  <c r="R455" i="3"/>
  <c r="Q455" i="3"/>
  <c r="O455" i="3"/>
  <c r="M455" i="3"/>
  <c r="K455" i="3"/>
  <c r="J455" i="3"/>
  <c r="I455" i="3"/>
  <c r="H455" i="3"/>
  <c r="G455" i="3"/>
  <c r="F455" i="3"/>
  <c r="E455" i="3"/>
  <c r="D455" i="3"/>
  <c r="C455" i="3"/>
  <c r="B455" i="3"/>
  <c r="A455" i="3"/>
  <c r="T454" i="3"/>
  <c r="S454" i="3"/>
  <c r="R454" i="3"/>
  <c r="Q454" i="3"/>
  <c r="O454" i="3"/>
  <c r="M454" i="3"/>
  <c r="K454" i="3"/>
  <c r="J454" i="3"/>
  <c r="I454" i="3"/>
  <c r="H454" i="3"/>
  <c r="G454" i="3"/>
  <c r="F454" i="3"/>
  <c r="E454" i="3"/>
  <c r="D454" i="3"/>
  <c r="C454" i="3"/>
  <c r="B454" i="3"/>
  <c r="A454" i="3"/>
  <c r="T453" i="3"/>
  <c r="S453" i="3"/>
  <c r="R453" i="3"/>
  <c r="Q453" i="3"/>
  <c r="J453" i="3"/>
  <c r="I453" i="3"/>
  <c r="H453" i="3"/>
  <c r="G453" i="3"/>
  <c r="F453" i="3"/>
  <c r="E453" i="3"/>
  <c r="D453" i="3"/>
  <c r="C453" i="3"/>
  <c r="B453" i="3"/>
  <c r="A453" i="3"/>
  <c r="T452" i="3"/>
  <c r="S452" i="3"/>
  <c r="R452" i="3"/>
  <c r="Q452" i="3"/>
  <c r="J452" i="3"/>
  <c r="I452" i="3"/>
  <c r="H452" i="3"/>
  <c r="G452" i="3"/>
  <c r="F452" i="3"/>
  <c r="E452" i="3"/>
  <c r="D452" i="3"/>
  <c r="C452" i="3"/>
  <c r="B452" i="3"/>
  <c r="A452" i="3"/>
  <c r="T451" i="3"/>
  <c r="S451" i="3"/>
  <c r="R451" i="3"/>
  <c r="Q451" i="3"/>
  <c r="J451" i="3"/>
  <c r="I451" i="3"/>
  <c r="H451" i="3"/>
  <c r="G451" i="3"/>
  <c r="F451" i="3"/>
  <c r="E451" i="3"/>
  <c r="D451" i="3"/>
  <c r="C451" i="3"/>
  <c r="B451" i="3"/>
  <c r="A451" i="3"/>
  <c r="T450" i="3"/>
  <c r="S450" i="3"/>
  <c r="R450" i="3"/>
  <c r="Q450" i="3"/>
  <c r="J450" i="3"/>
  <c r="I450" i="3"/>
  <c r="H450" i="3"/>
  <c r="G450" i="3"/>
  <c r="F450" i="3"/>
  <c r="E450" i="3"/>
  <c r="D450" i="3"/>
  <c r="C450" i="3"/>
  <c r="B450" i="3"/>
  <c r="A450" i="3"/>
  <c r="T449" i="3"/>
  <c r="S449" i="3"/>
  <c r="R449" i="3"/>
  <c r="Q449" i="3"/>
  <c r="M449" i="3"/>
  <c r="K449" i="3"/>
  <c r="J449" i="3"/>
  <c r="I449" i="3"/>
  <c r="H449" i="3"/>
  <c r="G449" i="3"/>
  <c r="F449" i="3"/>
  <c r="E449" i="3"/>
  <c r="D449" i="3"/>
  <c r="C449" i="3"/>
  <c r="B449" i="3"/>
  <c r="A449" i="3"/>
  <c r="T448" i="3"/>
  <c r="S448" i="3"/>
  <c r="R448" i="3"/>
  <c r="Q448" i="3"/>
  <c r="J448" i="3"/>
  <c r="I448" i="3"/>
  <c r="H448" i="3"/>
  <c r="G448" i="3"/>
  <c r="F448" i="3"/>
  <c r="E448" i="3"/>
  <c r="D448" i="3"/>
  <c r="C448" i="3"/>
  <c r="B448" i="3"/>
  <c r="A448" i="3"/>
  <c r="T447" i="3"/>
  <c r="S447" i="3"/>
  <c r="R447" i="3"/>
  <c r="Q447" i="3"/>
  <c r="J447" i="3"/>
  <c r="I447" i="3"/>
  <c r="H447" i="3"/>
  <c r="G447" i="3"/>
  <c r="F447" i="3"/>
  <c r="E447" i="3"/>
  <c r="D447" i="3"/>
  <c r="C447" i="3"/>
  <c r="B447" i="3"/>
  <c r="A447" i="3"/>
  <c r="T446" i="3"/>
  <c r="S446" i="3"/>
  <c r="R446" i="3"/>
  <c r="Q446" i="3"/>
  <c r="J446" i="3"/>
  <c r="I446" i="3"/>
  <c r="H446" i="3"/>
  <c r="G446" i="3"/>
  <c r="F446" i="3"/>
  <c r="E446" i="3"/>
  <c r="D446" i="3"/>
  <c r="C446" i="3"/>
  <c r="B446" i="3"/>
  <c r="A446" i="3"/>
  <c r="T445" i="3"/>
  <c r="S445" i="3"/>
  <c r="R445" i="3"/>
  <c r="Q445" i="3"/>
  <c r="J445" i="3"/>
  <c r="I445" i="3"/>
  <c r="H445" i="3"/>
  <c r="G445" i="3"/>
  <c r="F445" i="3"/>
  <c r="E445" i="3"/>
  <c r="D445" i="3"/>
  <c r="C445" i="3"/>
  <c r="B445" i="3"/>
  <c r="A445" i="3"/>
  <c r="T444" i="3"/>
  <c r="S444" i="3"/>
  <c r="R444" i="3"/>
  <c r="Q444" i="3"/>
  <c r="J444" i="3"/>
  <c r="I444" i="3"/>
  <c r="H444" i="3"/>
  <c r="G444" i="3"/>
  <c r="F444" i="3"/>
  <c r="E444" i="3"/>
  <c r="D444" i="3"/>
  <c r="C444" i="3"/>
  <c r="B444" i="3"/>
  <c r="A444" i="3"/>
  <c r="T443" i="3"/>
  <c r="S443" i="3"/>
  <c r="R443" i="3"/>
  <c r="Q443" i="3"/>
  <c r="J443" i="3"/>
  <c r="I443" i="3"/>
  <c r="H443" i="3"/>
  <c r="G443" i="3"/>
  <c r="F443" i="3"/>
  <c r="E443" i="3"/>
  <c r="D443" i="3"/>
  <c r="C443" i="3"/>
  <c r="B443" i="3"/>
  <c r="A443" i="3"/>
  <c r="T442" i="3"/>
  <c r="S442" i="3"/>
  <c r="R442" i="3"/>
  <c r="Q442" i="3"/>
  <c r="J442" i="3"/>
  <c r="I442" i="3"/>
  <c r="H442" i="3"/>
  <c r="G442" i="3"/>
  <c r="F442" i="3"/>
  <c r="E442" i="3"/>
  <c r="D442" i="3"/>
  <c r="C442" i="3"/>
  <c r="B442" i="3"/>
  <c r="A442" i="3"/>
  <c r="T441" i="3"/>
  <c r="S441" i="3"/>
  <c r="R441" i="3"/>
  <c r="Q441" i="3"/>
  <c r="J441" i="3"/>
  <c r="I441" i="3"/>
  <c r="H441" i="3"/>
  <c r="G441" i="3"/>
  <c r="F441" i="3"/>
  <c r="E441" i="3"/>
  <c r="D441" i="3"/>
  <c r="C441" i="3"/>
  <c r="B441" i="3"/>
  <c r="A441" i="3"/>
  <c r="T440" i="3"/>
  <c r="S440" i="3"/>
  <c r="R440" i="3"/>
  <c r="Q440" i="3"/>
  <c r="J440" i="3"/>
  <c r="I440" i="3"/>
  <c r="H440" i="3"/>
  <c r="G440" i="3"/>
  <c r="F440" i="3"/>
  <c r="E440" i="3"/>
  <c r="D440" i="3"/>
  <c r="C440" i="3"/>
  <c r="B440" i="3"/>
  <c r="A440" i="3"/>
  <c r="T439" i="3"/>
  <c r="S439" i="3"/>
  <c r="R439" i="3"/>
  <c r="Q439" i="3"/>
  <c r="J439" i="3"/>
  <c r="I439" i="3"/>
  <c r="H439" i="3"/>
  <c r="G439" i="3"/>
  <c r="F439" i="3"/>
  <c r="E439" i="3"/>
  <c r="D439" i="3"/>
  <c r="C439" i="3"/>
  <c r="B439" i="3"/>
  <c r="A439" i="3"/>
  <c r="T438" i="3"/>
  <c r="S438" i="3"/>
  <c r="R438" i="3"/>
  <c r="Q438" i="3"/>
  <c r="J438" i="3"/>
  <c r="I438" i="3"/>
  <c r="H438" i="3"/>
  <c r="G438" i="3"/>
  <c r="F438" i="3"/>
  <c r="E438" i="3"/>
  <c r="D438" i="3"/>
  <c r="C438" i="3"/>
  <c r="B438" i="3"/>
  <c r="A438" i="3"/>
  <c r="T437" i="3"/>
  <c r="S437" i="3"/>
  <c r="R437" i="3"/>
  <c r="Q437" i="3"/>
  <c r="J437" i="3"/>
  <c r="I437" i="3"/>
  <c r="H437" i="3"/>
  <c r="G437" i="3"/>
  <c r="F437" i="3"/>
  <c r="E437" i="3"/>
  <c r="D437" i="3"/>
  <c r="C437" i="3"/>
  <c r="B437" i="3"/>
  <c r="A437" i="3"/>
  <c r="T436" i="3"/>
  <c r="S436" i="3"/>
  <c r="R436" i="3"/>
  <c r="Q436" i="3"/>
  <c r="J436" i="3"/>
  <c r="I436" i="3"/>
  <c r="H436" i="3"/>
  <c r="G436" i="3"/>
  <c r="F436" i="3"/>
  <c r="E436" i="3"/>
  <c r="D436" i="3"/>
  <c r="C436" i="3"/>
  <c r="B436" i="3"/>
  <c r="A436" i="3"/>
  <c r="T435" i="3"/>
  <c r="S435" i="3"/>
  <c r="R435" i="3"/>
  <c r="Q435" i="3"/>
  <c r="J435" i="3"/>
  <c r="I435" i="3"/>
  <c r="H435" i="3"/>
  <c r="G435" i="3"/>
  <c r="F435" i="3"/>
  <c r="E435" i="3"/>
  <c r="D435" i="3"/>
  <c r="C435" i="3"/>
  <c r="B435" i="3"/>
  <c r="A435" i="3"/>
  <c r="T434" i="3"/>
  <c r="S434" i="3"/>
  <c r="R434" i="3"/>
  <c r="Q434" i="3"/>
  <c r="J434" i="3"/>
  <c r="I434" i="3"/>
  <c r="H434" i="3"/>
  <c r="G434" i="3"/>
  <c r="F434" i="3"/>
  <c r="E434" i="3"/>
  <c r="D434" i="3"/>
  <c r="C434" i="3"/>
  <c r="B434" i="3"/>
  <c r="A434" i="3"/>
  <c r="T433" i="3"/>
  <c r="S433" i="3"/>
  <c r="R433" i="3"/>
  <c r="Q433" i="3"/>
  <c r="J433" i="3"/>
  <c r="I433" i="3"/>
  <c r="H433" i="3"/>
  <c r="G433" i="3"/>
  <c r="F433" i="3"/>
  <c r="E433" i="3"/>
  <c r="D433" i="3"/>
  <c r="C433" i="3"/>
  <c r="B433" i="3"/>
  <c r="A433" i="3"/>
  <c r="T432" i="3"/>
  <c r="S432" i="3"/>
  <c r="R432" i="3"/>
  <c r="Q432" i="3"/>
  <c r="O432" i="3"/>
  <c r="M432" i="3"/>
  <c r="K432" i="3"/>
  <c r="J432" i="3"/>
  <c r="I432" i="3"/>
  <c r="H432" i="3"/>
  <c r="G432" i="3"/>
  <c r="F432" i="3"/>
  <c r="E432" i="3"/>
  <c r="D432" i="3"/>
  <c r="C432" i="3"/>
  <c r="B432" i="3"/>
  <c r="A432" i="3"/>
  <c r="T431" i="3"/>
  <c r="S431" i="3"/>
  <c r="R431" i="3"/>
  <c r="Q431" i="3"/>
  <c r="M431" i="3"/>
  <c r="K431" i="3"/>
  <c r="J431" i="3"/>
  <c r="I431" i="3"/>
  <c r="H431" i="3"/>
  <c r="G431" i="3"/>
  <c r="F431" i="3"/>
  <c r="E431" i="3"/>
  <c r="D431" i="3"/>
  <c r="C431" i="3"/>
  <c r="B431" i="3"/>
  <c r="A431" i="3"/>
  <c r="T430" i="3"/>
  <c r="S430" i="3"/>
  <c r="R430" i="3"/>
  <c r="Q430" i="3"/>
  <c r="J430" i="3"/>
  <c r="I430" i="3"/>
  <c r="H430" i="3"/>
  <c r="G430" i="3"/>
  <c r="F430" i="3"/>
  <c r="E430" i="3"/>
  <c r="D430" i="3"/>
  <c r="C430" i="3"/>
  <c r="B430" i="3"/>
  <c r="A430" i="3"/>
  <c r="T429" i="3"/>
  <c r="S429" i="3"/>
  <c r="R429" i="3"/>
  <c r="Q429" i="3"/>
  <c r="J429" i="3"/>
  <c r="I429" i="3"/>
  <c r="H429" i="3"/>
  <c r="G429" i="3"/>
  <c r="F429" i="3"/>
  <c r="E429" i="3"/>
  <c r="D429" i="3"/>
  <c r="C429" i="3"/>
  <c r="B429" i="3"/>
  <c r="A429" i="3"/>
  <c r="T428" i="3"/>
  <c r="S428" i="3"/>
  <c r="R428" i="3"/>
  <c r="Q428" i="3"/>
  <c r="J428" i="3"/>
  <c r="I428" i="3"/>
  <c r="H428" i="3"/>
  <c r="G428" i="3"/>
  <c r="F428" i="3"/>
  <c r="E428" i="3"/>
  <c r="D428" i="3"/>
  <c r="C428" i="3"/>
  <c r="B428" i="3"/>
  <c r="A428" i="3"/>
  <c r="T427" i="3"/>
  <c r="S427" i="3"/>
  <c r="R427" i="3"/>
  <c r="Q427" i="3"/>
  <c r="J427" i="3"/>
  <c r="I427" i="3"/>
  <c r="H427" i="3"/>
  <c r="G427" i="3"/>
  <c r="F427" i="3"/>
  <c r="E427" i="3"/>
  <c r="D427" i="3"/>
  <c r="C427" i="3"/>
  <c r="B427" i="3"/>
  <c r="A427" i="3"/>
  <c r="T426" i="3"/>
  <c r="S426" i="3"/>
  <c r="R426" i="3"/>
  <c r="Q426" i="3"/>
  <c r="J426" i="3"/>
  <c r="I426" i="3"/>
  <c r="H426" i="3"/>
  <c r="G426" i="3"/>
  <c r="F426" i="3"/>
  <c r="E426" i="3"/>
  <c r="D426" i="3"/>
  <c r="C426" i="3"/>
  <c r="B426" i="3"/>
  <c r="A426" i="3"/>
  <c r="T425" i="3"/>
  <c r="S425" i="3"/>
  <c r="R425" i="3"/>
  <c r="Q425" i="3"/>
  <c r="J425" i="3"/>
  <c r="I425" i="3"/>
  <c r="H425" i="3"/>
  <c r="G425" i="3"/>
  <c r="F425" i="3"/>
  <c r="E425" i="3"/>
  <c r="D425" i="3"/>
  <c r="C425" i="3"/>
  <c r="B425" i="3"/>
  <c r="A425" i="3"/>
  <c r="T424" i="3"/>
  <c r="S424" i="3"/>
  <c r="R424" i="3"/>
  <c r="Q424" i="3"/>
  <c r="J424" i="3"/>
  <c r="I424" i="3"/>
  <c r="H424" i="3"/>
  <c r="G424" i="3"/>
  <c r="F424" i="3"/>
  <c r="E424" i="3"/>
  <c r="D424" i="3"/>
  <c r="C424" i="3"/>
  <c r="B424" i="3"/>
  <c r="A424" i="3"/>
  <c r="T423" i="3"/>
  <c r="S423" i="3"/>
  <c r="R423" i="3"/>
  <c r="Q423" i="3"/>
  <c r="O423" i="3"/>
  <c r="M423" i="3"/>
  <c r="K423" i="3"/>
  <c r="J423" i="3"/>
  <c r="I423" i="3"/>
  <c r="H423" i="3"/>
  <c r="G423" i="3"/>
  <c r="F423" i="3"/>
  <c r="E423" i="3"/>
  <c r="D423" i="3"/>
  <c r="C423" i="3"/>
  <c r="B423" i="3"/>
  <c r="A423" i="3"/>
  <c r="T422" i="3"/>
  <c r="S422" i="3"/>
  <c r="R422" i="3"/>
  <c r="Q422" i="3"/>
  <c r="J422" i="3"/>
  <c r="I422" i="3"/>
  <c r="H422" i="3"/>
  <c r="G422" i="3"/>
  <c r="F422" i="3"/>
  <c r="E422" i="3"/>
  <c r="D422" i="3"/>
  <c r="C422" i="3"/>
  <c r="B422" i="3"/>
  <c r="A422" i="3"/>
  <c r="T421" i="3"/>
  <c r="S421" i="3"/>
  <c r="R421" i="3"/>
  <c r="Q421" i="3"/>
  <c r="J421" i="3"/>
  <c r="I421" i="3"/>
  <c r="H421" i="3"/>
  <c r="G421" i="3"/>
  <c r="F421" i="3"/>
  <c r="E421" i="3"/>
  <c r="D421" i="3"/>
  <c r="C421" i="3"/>
  <c r="B421" i="3"/>
  <c r="A421" i="3"/>
  <c r="T420" i="3"/>
  <c r="S420" i="3"/>
  <c r="R420" i="3"/>
  <c r="Q420" i="3"/>
  <c r="O420" i="3"/>
  <c r="M420" i="3"/>
  <c r="K420" i="3"/>
  <c r="J420" i="3"/>
  <c r="I420" i="3"/>
  <c r="H420" i="3"/>
  <c r="G420" i="3"/>
  <c r="F420" i="3"/>
  <c r="E420" i="3"/>
  <c r="D420" i="3"/>
  <c r="C420" i="3"/>
  <c r="B420" i="3"/>
  <c r="A420" i="3"/>
  <c r="T419" i="3"/>
  <c r="S419" i="3"/>
  <c r="R419" i="3"/>
  <c r="Q419" i="3"/>
  <c r="J419" i="3"/>
  <c r="I419" i="3"/>
  <c r="H419" i="3"/>
  <c r="G419" i="3"/>
  <c r="F419" i="3"/>
  <c r="E419" i="3"/>
  <c r="D419" i="3"/>
  <c r="C419" i="3"/>
  <c r="B419" i="3"/>
  <c r="A419" i="3"/>
  <c r="T418" i="3"/>
  <c r="S418" i="3"/>
  <c r="R418" i="3"/>
  <c r="Q418" i="3"/>
  <c r="J418" i="3"/>
  <c r="I418" i="3"/>
  <c r="H418" i="3"/>
  <c r="G418" i="3"/>
  <c r="F418" i="3"/>
  <c r="E418" i="3"/>
  <c r="D418" i="3"/>
  <c r="C418" i="3"/>
  <c r="B418" i="3"/>
  <c r="A418" i="3"/>
  <c r="T417" i="3"/>
  <c r="S417" i="3"/>
  <c r="R417" i="3"/>
  <c r="Q417" i="3"/>
  <c r="O417" i="3"/>
  <c r="M417" i="3"/>
  <c r="K417" i="3"/>
  <c r="J417" i="3"/>
  <c r="I417" i="3"/>
  <c r="H417" i="3"/>
  <c r="G417" i="3"/>
  <c r="F417" i="3"/>
  <c r="E417" i="3"/>
  <c r="D417" i="3"/>
  <c r="C417" i="3"/>
  <c r="B417" i="3"/>
  <c r="A417" i="3"/>
  <c r="T416" i="3"/>
  <c r="S416" i="3"/>
  <c r="R416" i="3"/>
  <c r="Q416" i="3"/>
  <c r="J416" i="3"/>
  <c r="I416" i="3"/>
  <c r="H416" i="3"/>
  <c r="G416" i="3"/>
  <c r="F416" i="3"/>
  <c r="E416" i="3"/>
  <c r="D416" i="3"/>
  <c r="C416" i="3"/>
  <c r="B416" i="3"/>
  <c r="A416" i="3"/>
  <c r="T415" i="3"/>
  <c r="S415" i="3"/>
  <c r="R415" i="3"/>
  <c r="Q415" i="3"/>
  <c r="J415" i="3"/>
  <c r="I415" i="3"/>
  <c r="H415" i="3"/>
  <c r="G415" i="3"/>
  <c r="F415" i="3"/>
  <c r="E415" i="3"/>
  <c r="D415" i="3"/>
  <c r="C415" i="3"/>
  <c r="B415" i="3"/>
  <c r="A415" i="3"/>
  <c r="T414" i="3"/>
  <c r="S414" i="3"/>
  <c r="R414" i="3"/>
  <c r="Q414" i="3"/>
  <c r="J414" i="3"/>
  <c r="I414" i="3"/>
  <c r="H414" i="3"/>
  <c r="G414" i="3"/>
  <c r="F414" i="3"/>
  <c r="E414" i="3"/>
  <c r="D414" i="3"/>
  <c r="C414" i="3"/>
  <c r="B414" i="3"/>
  <c r="A414" i="3"/>
  <c r="T413" i="3"/>
  <c r="S413" i="3"/>
  <c r="R413" i="3"/>
  <c r="Q413" i="3"/>
  <c r="J413" i="3"/>
  <c r="I413" i="3"/>
  <c r="H413" i="3"/>
  <c r="G413" i="3"/>
  <c r="F413" i="3"/>
  <c r="E413" i="3"/>
  <c r="D413" i="3"/>
  <c r="C413" i="3"/>
  <c r="B413" i="3"/>
  <c r="A413" i="3"/>
  <c r="T412" i="3"/>
  <c r="S412" i="3"/>
  <c r="R412" i="3"/>
  <c r="Q412" i="3"/>
  <c r="M412" i="3"/>
  <c r="K412" i="3"/>
  <c r="J412" i="3"/>
  <c r="I412" i="3"/>
  <c r="H412" i="3"/>
  <c r="G412" i="3"/>
  <c r="F412" i="3"/>
  <c r="E412" i="3"/>
  <c r="D412" i="3"/>
  <c r="C412" i="3"/>
  <c r="B412" i="3"/>
  <c r="A412" i="3"/>
  <c r="T411" i="3"/>
  <c r="S411" i="3"/>
  <c r="R411" i="3"/>
  <c r="Q411" i="3"/>
  <c r="J411" i="3"/>
  <c r="I411" i="3"/>
  <c r="H411" i="3"/>
  <c r="G411" i="3"/>
  <c r="F411" i="3"/>
  <c r="E411" i="3"/>
  <c r="D411" i="3"/>
  <c r="C411" i="3"/>
  <c r="B411" i="3"/>
  <c r="A411" i="3"/>
  <c r="T410" i="3"/>
  <c r="S410" i="3"/>
  <c r="R410" i="3"/>
  <c r="Q410" i="3"/>
  <c r="J410" i="3"/>
  <c r="I410" i="3"/>
  <c r="H410" i="3"/>
  <c r="G410" i="3"/>
  <c r="F410" i="3"/>
  <c r="E410" i="3"/>
  <c r="D410" i="3"/>
  <c r="C410" i="3"/>
  <c r="B410" i="3"/>
  <c r="A410" i="3"/>
  <c r="T409" i="3"/>
  <c r="S409" i="3"/>
  <c r="R409" i="3"/>
  <c r="Q409" i="3"/>
  <c r="O409" i="3"/>
  <c r="K409" i="3"/>
  <c r="J409" i="3"/>
  <c r="I409" i="3"/>
  <c r="H409" i="3"/>
  <c r="G409" i="3"/>
  <c r="F409" i="3"/>
  <c r="E409" i="3"/>
  <c r="D409" i="3"/>
  <c r="C409" i="3"/>
  <c r="B409" i="3"/>
  <c r="A409" i="3"/>
  <c r="T408" i="3"/>
  <c r="S408" i="3"/>
  <c r="R408" i="3"/>
  <c r="Q408" i="3"/>
  <c r="J408" i="3"/>
  <c r="I408" i="3"/>
  <c r="H408" i="3"/>
  <c r="G408" i="3"/>
  <c r="F408" i="3"/>
  <c r="E408" i="3"/>
  <c r="D408" i="3"/>
  <c r="C408" i="3"/>
  <c r="B408" i="3"/>
  <c r="A408" i="3"/>
  <c r="T407" i="3"/>
  <c r="S407" i="3"/>
  <c r="R407" i="3"/>
  <c r="Q407" i="3"/>
  <c r="J407" i="3"/>
  <c r="I407" i="3"/>
  <c r="H407" i="3"/>
  <c r="G407" i="3"/>
  <c r="F407" i="3"/>
  <c r="E407" i="3"/>
  <c r="D407" i="3"/>
  <c r="C407" i="3"/>
  <c r="B407" i="3"/>
  <c r="A407" i="3"/>
  <c r="T406" i="3"/>
  <c r="S406" i="3"/>
  <c r="R406" i="3"/>
  <c r="Q406" i="3"/>
  <c r="O406" i="3"/>
  <c r="M406" i="3"/>
  <c r="K406" i="3"/>
  <c r="J406" i="3"/>
  <c r="I406" i="3"/>
  <c r="H406" i="3"/>
  <c r="G406" i="3"/>
  <c r="F406" i="3"/>
  <c r="E406" i="3"/>
  <c r="D406" i="3"/>
  <c r="C406" i="3"/>
  <c r="B406" i="3"/>
  <c r="A406" i="3"/>
  <c r="T405" i="3"/>
  <c r="S405" i="3"/>
  <c r="R405" i="3"/>
  <c r="Q405" i="3"/>
  <c r="J405" i="3"/>
  <c r="I405" i="3"/>
  <c r="H405" i="3"/>
  <c r="G405" i="3"/>
  <c r="F405" i="3"/>
  <c r="E405" i="3"/>
  <c r="D405" i="3"/>
  <c r="C405" i="3"/>
  <c r="B405" i="3"/>
  <c r="A405" i="3"/>
  <c r="T404" i="3"/>
  <c r="S404" i="3"/>
  <c r="R404" i="3"/>
  <c r="Q404" i="3"/>
  <c r="O404" i="3"/>
  <c r="M404" i="3"/>
  <c r="K404" i="3"/>
  <c r="J404" i="3"/>
  <c r="I404" i="3"/>
  <c r="H404" i="3"/>
  <c r="G404" i="3"/>
  <c r="F404" i="3"/>
  <c r="E404" i="3"/>
  <c r="D404" i="3"/>
  <c r="C404" i="3"/>
  <c r="B404" i="3"/>
  <c r="A404" i="3"/>
  <c r="T403" i="3"/>
  <c r="S403" i="3"/>
  <c r="R403" i="3"/>
  <c r="Q403" i="3"/>
  <c r="O403" i="3"/>
  <c r="M403" i="3"/>
  <c r="K403" i="3"/>
  <c r="J403" i="3"/>
  <c r="I403" i="3"/>
  <c r="H403" i="3"/>
  <c r="G403" i="3"/>
  <c r="F403" i="3"/>
  <c r="E403" i="3"/>
  <c r="D403" i="3"/>
  <c r="C403" i="3"/>
  <c r="B403" i="3"/>
  <c r="A403" i="3"/>
  <c r="T402" i="3"/>
  <c r="S402" i="3"/>
  <c r="R402" i="3"/>
  <c r="Q402" i="3"/>
  <c r="O402" i="3"/>
  <c r="K402" i="3"/>
  <c r="J402" i="3"/>
  <c r="I402" i="3"/>
  <c r="H402" i="3"/>
  <c r="G402" i="3"/>
  <c r="F402" i="3"/>
  <c r="E402" i="3"/>
  <c r="D402" i="3"/>
  <c r="C402" i="3"/>
  <c r="B402" i="3"/>
  <c r="A402" i="3"/>
  <c r="T401" i="3"/>
  <c r="S401" i="3"/>
  <c r="R401" i="3"/>
  <c r="Q401" i="3"/>
  <c r="J401" i="3"/>
  <c r="I401" i="3"/>
  <c r="H401" i="3"/>
  <c r="G401" i="3"/>
  <c r="F401" i="3"/>
  <c r="E401" i="3"/>
  <c r="D401" i="3"/>
  <c r="C401" i="3"/>
  <c r="B401" i="3"/>
  <c r="A401" i="3"/>
  <c r="T400" i="3"/>
  <c r="S400" i="3"/>
  <c r="R400" i="3"/>
  <c r="Q400" i="3"/>
  <c r="O400" i="3"/>
  <c r="K400" i="3"/>
  <c r="J400" i="3"/>
  <c r="I400" i="3"/>
  <c r="H400" i="3"/>
  <c r="G400" i="3"/>
  <c r="F400" i="3"/>
  <c r="E400" i="3"/>
  <c r="D400" i="3"/>
  <c r="C400" i="3"/>
  <c r="B400" i="3"/>
  <c r="A400" i="3"/>
  <c r="T399" i="3"/>
  <c r="S399" i="3"/>
  <c r="R399" i="3"/>
  <c r="Q399" i="3"/>
  <c r="M399" i="3"/>
  <c r="K399" i="3"/>
  <c r="J399" i="3"/>
  <c r="I399" i="3"/>
  <c r="H399" i="3"/>
  <c r="G399" i="3"/>
  <c r="F399" i="3"/>
  <c r="E399" i="3"/>
  <c r="D399" i="3"/>
  <c r="C399" i="3"/>
  <c r="B399" i="3"/>
  <c r="A399" i="3"/>
  <c r="T398" i="3"/>
  <c r="S398" i="3"/>
  <c r="R398" i="3"/>
  <c r="Q398" i="3"/>
  <c r="M398" i="3"/>
  <c r="K398" i="3"/>
  <c r="J398" i="3"/>
  <c r="I398" i="3"/>
  <c r="H398" i="3"/>
  <c r="G398" i="3"/>
  <c r="F398" i="3"/>
  <c r="E398" i="3"/>
  <c r="D398" i="3"/>
  <c r="C398" i="3"/>
  <c r="B398" i="3"/>
  <c r="A398" i="3"/>
  <c r="T397" i="3"/>
  <c r="S397" i="3"/>
  <c r="R397" i="3"/>
  <c r="Q397" i="3"/>
  <c r="O397" i="3"/>
  <c r="M397" i="3"/>
  <c r="K397" i="3"/>
  <c r="J397" i="3"/>
  <c r="I397" i="3"/>
  <c r="H397" i="3"/>
  <c r="G397" i="3"/>
  <c r="F397" i="3"/>
  <c r="E397" i="3"/>
  <c r="D397" i="3"/>
  <c r="C397" i="3"/>
  <c r="B397" i="3"/>
  <c r="A397" i="3"/>
  <c r="T396" i="3"/>
  <c r="S396" i="3"/>
  <c r="R396" i="3"/>
  <c r="Q396" i="3"/>
  <c r="J396" i="3"/>
  <c r="I396" i="3"/>
  <c r="H396" i="3"/>
  <c r="G396" i="3"/>
  <c r="F396" i="3"/>
  <c r="E396" i="3"/>
  <c r="D396" i="3"/>
  <c r="C396" i="3"/>
  <c r="B396" i="3"/>
  <c r="A396" i="3"/>
  <c r="T395" i="3"/>
  <c r="S395" i="3"/>
  <c r="R395" i="3"/>
  <c r="Q395" i="3"/>
  <c r="O395" i="3"/>
  <c r="K395" i="3"/>
  <c r="J395" i="3"/>
  <c r="I395" i="3"/>
  <c r="H395" i="3"/>
  <c r="G395" i="3"/>
  <c r="F395" i="3"/>
  <c r="E395" i="3"/>
  <c r="D395" i="3"/>
  <c r="C395" i="3"/>
  <c r="B395" i="3"/>
  <c r="A395" i="3"/>
  <c r="T394" i="3"/>
  <c r="S394" i="3"/>
  <c r="R394" i="3"/>
  <c r="Q394" i="3"/>
  <c r="J394" i="3"/>
  <c r="I394" i="3"/>
  <c r="H394" i="3"/>
  <c r="G394" i="3"/>
  <c r="F394" i="3"/>
  <c r="E394" i="3"/>
  <c r="D394" i="3"/>
  <c r="C394" i="3"/>
  <c r="B394" i="3"/>
  <c r="A394" i="3"/>
  <c r="T393" i="3"/>
  <c r="S393" i="3"/>
  <c r="R393" i="3"/>
  <c r="Q393" i="3"/>
  <c r="O393" i="3"/>
  <c r="M393" i="3"/>
  <c r="K393" i="3"/>
  <c r="J393" i="3"/>
  <c r="I393" i="3"/>
  <c r="H393" i="3"/>
  <c r="G393" i="3"/>
  <c r="F393" i="3"/>
  <c r="E393" i="3"/>
  <c r="D393" i="3"/>
  <c r="C393" i="3"/>
  <c r="B393" i="3"/>
  <c r="A393" i="3"/>
  <c r="T392" i="3"/>
  <c r="S392" i="3"/>
  <c r="R392" i="3"/>
  <c r="Q392" i="3"/>
  <c r="M392" i="3"/>
  <c r="K392" i="3"/>
  <c r="J392" i="3"/>
  <c r="I392" i="3"/>
  <c r="H392" i="3"/>
  <c r="G392" i="3"/>
  <c r="F392" i="3"/>
  <c r="E392" i="3"/>
  <c r="D392" i="3"/>
  <c r="C392" i="3"/>
  <c r="B392" i="3"/>
  <c r="A392" i="3"/>
  <c r="T391" i="3"/>
  <c r="S391" i="3"/>
  <c r="R391" i="3"/>
  <c r="Q391" i="3"/>
  <c r="J391" i="3"/>
  <c r="I391" i="3"/>
  <c r="H391" i="3"/>
  <c r="G391" i="3"/>
  <c r="F391" i="3"/>
  <c r="E391" i="3"/>
  <c r="D391" i="3"/>
  <c r="C391" i="3"/>
  <c r="B391" i="3"/>
  <c r="A391" i="3"/>
  <c r="T390" i="3"/>
  <c r="S390" i="3"/>
  <c r="R390" i="3"/>
  <c r="Q390" i="3"/>
  <c r="J390" i="3"/>
  <c r="I390" i="3"/>
  <c r="H390" i="3"/>
  <c r="G390" i="3"/>
  <c r="F390" i="3"/>
  <c r="E390" i="3"/>
  <c r="D390" i="3"/>
  <c r="C390" i="3"/>
  <c r="B390" i="3"/>
  <c r="A390" i="3"/>
  <c r="T389" i="3"/>
  <c r="S389" i="3"/>
  <c r="R389" i="3"/>
  <c r="Q389" i="3"/>
  <c r="J389" i="3"/>
  <c r="I389" i="3"/>
  <c r="H389" i="3"/>
  <c r="G389" i="3"/>
  <c r="F389" i="3"/>
  <c r="E389" i="3"/>
  <c r="D389" i="3"/>
  <c r="C389" i="3"/>
  <c r="B389" i="3"/>
  <c r="A389" i="3"/>
  <c r="T388" i="3"/>
  <c r="S388" i="3"/>
  <c r="R388" i="3"/>
  <c r="Q388" i="3"/>
  <c r="J388" i="3"/>
  <c r="I388" i="3"/>
  <c r="H388" i="3"/>
  <c r="G388" i="3"/>
  <c r="F388" i="3"/>
  <c r="E388" i="3"/>
  <c r="D388" i="3"/>
  <c r="C388" i="3"/>
  <c r="B388" i="3"/>
  <c r="A388" i="3"/>
  <c r="T387" i="3"/>
  <c r="S387" i="3"/>
  <c r="R387" i="3"/>
  <c r="Q387" i="3"/>
  <c r="K387" i="3"/>
  <c r="J387" i="3"/>
  <c r="I387" i="3"/>
  <c r="H387" i="3"/>
  <c r="G387" i="3"/>
  <c r="F387" i="3"/>
  <c r="E387" i="3"/>
  <c r="D387" i="3"/>
  <c r="C387" i="3"/>
  <c r="B387" i="3"/>
  <c r="A387" i="3"/>
  <c r="T386" i="3"/>
  <c r="S386" i="3"/>
  <c r="R386" i="3"/>
  <c r="Q386" i="3"/>
  <c r="O386" i="3"/>
  <c r="M386" i="3"/>
  <c r="K386" i="3"/>
  <c r="J386" i="3"/>
  <c r="I386" i="3"/>
  <c r="H386" i="3"/>
  <c r="G386" i="3"/>
  <c r="F386" i="3"/>
  <c r="E386" i="3"/>
  <c r="D386" i="3"/>
  <c r="C386" i="3"/>
  <c r="B386" i="3"/>
  <c r="A386" i="3"/>
  <c r="T385" i="3"/>
  <c r="S385" i="3"/>
  <c r="R385" i="3"/>
  <c r="Q385" i="3"/>
  <c r="O385" i="3"/>
  <c r="M385" i="3"/>
  <c r="K385" i="3"/>
  <c r="J385" i="3"/>
  <c r="I385" i="3"/>
  <c r="H385" i="3"/>
  <c r="G385" i="3"/>
  <c r="F385" i="3"/>
  <c r="E385" i="3"/>
  <c r="D385" i="3"/>
  <c r="C385" i="3"/>
  <c r="B385" i="3"/>
  <c r="A385" i="3"/>
  <c r="T384" i="3"/>
  <c r="S384" i="3"/>
  <c r="R384" i="3"/>
  <c r="Q384" i="3"/>
  <c r="K384" i="3"/>
  <c r="J384" i="3"/>
  <c r="I384" i="3"/>
  <c r="H384" i="3"/>
  <c r="G384" i="3"/>
  <c r="F384" i="3"/>
  <c r="E384" i="3"/>
  <c r="D384" i="3"/>
  <c r="C384" i="3"/>
  <c r="B384" i="3"/>
  <c r="A384" i="3"/>
  <c r="T383" i="3"/>
  <c r="S383" i="3"/>
  <c r="R383" i="3"/>
  <c r="Q383" i="3"/>
  <c r="J383" i="3"/>
  <c r="I383" i="3"/>
  <c r="H383" i="3"/>
  <c r="G383" i="3"/>
  <c r="F383" i="3"/>
  <c r="E383" i="3"/>
  <c r="D383" i="3"/>
  <c r="C383" i="3"/>
  <c r="B383" i="3"/>
  <c r="A383" i="3"/>
  <c r="T382" i="3"/>
  <c r="S382" i="3"/>
  <c r="R382" i="3"/>
  <c r="Q382" i="3"/>
  <c r="J382" i="3"/>
  <c r="I382" i="3"/>
  <c r="H382" i="3"/>
  <c r="G382" i="3"/>
  <c r="F382" i="3"/>
  <c r="E382" i="3"/>
  <c r="D382" i="3"/>
  <c r="C382" i="3"/>
  <c r="B382" i="3"/>
  <c r="A382" i="3"/>
  <c r="T381" i="3"/>
  <c r="S381" i="3"/>
  <c r="R381" i="3"/>
  <c r="Q381" i="3"/>
  <c r="J381" i="3"/>
  <c r="I381" i="3"/>
  <c r="H381" i="3"/>
  <c r="G381" i="3"/>
  <c r="F381" i="3"/>
  <c r="E381" i="3"/>
  <c r="D381" i="3"/>
  <c r="C381" i="3"/>
  <c r="B381" i="3"/>
  <c r="A381" i="3"/>
  <c r="T380" i="3"/>
  <c r="S380" i="3"/>
  <c r="R380" i="3"/>
  <c r="Q380" i="3"/>
  <c r="J380" i="3"/>
  <c r="I380" i="3"/>
  <c r="H380" i="3"/>
  <c r="G380" i="3"/>
  <c r="F380" i="3"/>
  <c r="E380" i="3"/>
  <c r="D380" i="3"/>
  <c r="C380" i="3"/>
  <c r="B380" i="3"/>
  <c r="A380" i="3"/>
  <c r="T379" i="3"/>
  <c r="S379" i="3"/>
  <c r="R379" i="3"/>
  <c r="Q379" i="3"/>
  <c r="O379" i="3"/>
  <c r="M379" i="3"/>
  <c r="K379" i="3"/>
  <c r="J379" i="3"/>
  <c r="I379" i="3"/>
  <c r="H379" i="3"/>
  <c r="G379" i="3"/>
  <c r="F379" i="3"/>
  <c r="E379" i="3"/>
  <c r="D379" i="3"/>
  <c r="C379" i="3"/>
  <c r="B379" i="3"/>
  <c r="A379" i="3"/>
  <c r="T378" i="3"/>
  <c r="S378" i="3"/>
  <c r="R378" i="3"/>
  <c r="Q378" i="3"/>
  <c r="K378" i="3"/>
  <c r="J378" i="3"/>
  <c r="I378" i="3"/>
  <c r="H378" i="3"/>
  <c r="G378" i="3"/>
  <c r="F378" i="3"/>
  <c r="E378" i="3"/>
  <c r="D378" i="3"/>
  <c r="C378" i="3"/>
  <c r="B378" i="3"/>
  <c r="A378" i="3"/>
  <c r="T377" i="3"/>
  <c r="S377" i="3"/>
  <c r="R377" i="3"/>
  <c r="Q377" i="3"/>
  <c r="O377" i="3"/>
  <c r="M377" i="3"/>
  <c r="K377" i="3"/>
  <c r="J377" i="3"/>
  <c r="I377" i="3"/>
  <c r="H377" i="3"/>
  <c r="G377" i="3"/>
  <c r="F377" i="3"/>
  <c r="E377" i="3"/>
  <c r="D377" i="3"/>
  <c r="C377" i="3"/>
  <c r="B377" i="3"/>
  <c r="A377" i="3"/>
  <c r="T376" i="3"/>
  <c r="S376" i="3"/>
  <c r="R376" i="3"/>
  <c r="Q376" i="3"/>
  <c r="J376" i="3"/>
  <c r="I376" i="3"/>
  <c r="H376" i="3"/>
  <c r="G376" i="3"/>
  <c r="F376" i="3"/>
  <c r="E376" i="3"/>
  <c r="D376" i="3"/>
  <c r="C376" i="3"/>
  <c r="B376" i="3"/>
  <c r="A376" i="3"/>
  <c r="T375" i="3"/>
  <c r="S375" i="3"/>
  <c r="R375" i="3"/>
  <c r="Q375" i="3"/>
  <c r="K375" i="3"/>
  <c r="J375" i="3"/>
  <c r="I375" i="3"/>
  <c r="H375" i="3"/>
  <c r="G375" i="3"/>
  <c r="F375" i="3"/>
  <c r="E375" i="3"/>
  <c r="D375" i="3"/>
  <c r="C375" i="3"/>
  <c r="B375" i="3"/>
  <c r="A375" i="3"/>
  <c r="T374" i="3"/>
  <c r="S374" i="3"/>
  <c r="R374" i="3"/>
  <c r="Q374" i="3"/>
  <c r="O374" i="3"/>
  <c r="M374" i="3"/>
  <c r="K374" i="3"/>
  <c r="J374" i="3"/>
  <c r="I374" i="3"/>
  <c r="H374" i="3"/>
  <c r="G374" i="3"/>
  <c r="F374" i="3"/>
  <c r="E374" i="3"/>
  <c r="D374" i="3"/>
  <c r="C374" i="3"/>
  <c r="B374" i="3"/>
  <c r="A374" i="3"/>
  <c r="T373" i="3"/>
  <c r="S373" i="3"/>
  <c r="R373" i="3"/>
  <c r="Q373" i="3"/>
  <c r="J373" i="3"/>
  <c r="I373" i="3"/>
  <c r="H373" i="3"/>
  <c r="G373" i="3"/>
  <c r="F373" i="3"/>
  <c r="E373" i="3"/>
  <c r="D373" i="3"/>
  <c r="C373" i="3"/>
  <c r="B373" i="3"/>
  <c r="A373" i="3"/>
  <c r="T372" i="3"/>
  <c r="S372" i="3"/>
  <c r="R372" i="3"/>
  <c r="Q372" i="3"/>
  <c r="J372" i="3"/>
  <c r="I372" i="3"/>
  <c r="H372" i="3"/>
  <c r="G372" i="3"/>
  <c r="F372" i="3"/>
  <c r="E372" i="3"/>
  <c r="D372" i="3"/>
  <c r="C372" i="3"/>
  <c r="B372" i="3"/>
  <c r="A372" i="3"/>
  <c r="T371" i="3"/>
  <c r="S371" i="3"/>
  <c r="R371" i="3"/>
  <c r="Q371" i="3"/>
  <c r="J371" i="3"/>
  <c r="I371" i="3"/>
  <c r="H371" i="3"/>
  <c r="G371" i="3"/>
  <c r="F371" i="3"/>
  <c r="E371" i="3"/>
  <c r="D371" i="3"/>
  <c r="C371" i="3"/>
  <c r="B371" i="3"/>
  <c r="A371" i="3"/>
  <c r="T370" i="3"/>
  <c r="S370" i="3"/>
  <c r="R370" i="3"/>
  <c r="Q370" i="3"/>
  <c r="J370" i="3"/>
  <c r="I370" i="3"/>
  <c r="H370" i="3"/>
  <c r="G370" i="3"/>
  <c r="F370" i="3"/>
  <c r="E370" i="3"/>
  <c r="D370" i="3"/>
  <c r="C370" i="3"/>
  <c r="B370" i="3"/>
  <c r="A370" i="3"/>
  <c r="T369" i="3"/>
  <c r="S369" i="3"/>
  <c r="R369" i="3"/>
  <c r="Q369" i="3"/>
  <c r="O369" i="3"/>
  <c r="K369" i="3"/>
  <c r="J369" i="3"/>
  <c r="I369" i="3"/>
  <c r="H369" i="3"/>
  <c r="G369" i="3"/>
  <c r="F369" i="3"/>
  <c r="E369" i="3"/>
  <c r="D369" i="3"/>
  <c r="C369" i="3"/>
  <c r="B369" i="3"/>
  <c r="A369" i="3"/>
  <c r="T368" i="3"/>
  <c r="S368" i="3"/>
  <c r="R368" i="3"/>
  <c r="Q368" i="3"/>
  <c r="J368" i="3"/>
  <c r="I368" i="3"/>
  <c r="H368" i="3"/>
  <c r="G368" i="3"/>
  <c r="F368" i="3"/>
  <c r="E368" i="3"/>
  <c r="D368" i="3"/>
  <c r="C368" i="3"/>
  <c r="B368" i="3"/>
  <c r="A368" i="3"/>
  <c r="T367" i="3"/>
  <c r="S367" i="3"/>
  <c r="R367" i="3"/>
  <c r="Q367" i="3"/>
  <c r="O367" i="3"/>
  <c r="M367" i="3"/>
  <c r="K367" i="3"/>
  <c r="J367" i="3"/>
  <c r="I367" i="3"/>
  <c r="H367" i="3"/>
  <c r="G367" i="3"/>
  <c r="F367" i="3"/>
  <c r="E367" i="3"/>
  <c r="D367" i="3"/>
  <c r="C367" i="3"/>
  <c r="B367" i="3"/>
  <c r="A367" i="3"/>
  <c r="T366" i="3"/>
  <c r="S366" i="3"/>
  <c r="R366" i="3"/>
  <c r="Q366" i="3"/>
  <c r="O366" i="3"/>
  <c r="M366" i="3"/>
  <c r="K366" i="3"/>
  <c r="J366" i="3"/>
  <c r="I366" i="3"/>
  <c r="H366" i="3"/>
  <c r="G366" i="3"/>
  <c r="F366" i="3"/>
  <c r="E366" i="3"/>
  <c r="D366" i="3"/>
  <c r="C366" i="3"/>
  <c r="B366" i="3"/>
  <c r="A366" i="3"/>
  <c r="T365" i="3"/>
  <c r="S365" i="3"/>
  <c r="R365" i="3"/>
  <c r="Q365" i="3"/>
  <c r="O365" i="3"/>
  <c r="M365" i="3"/>
  <c r="K365" i="3"/>
  <c r="J365" i="3"/>
  <c r="I365" i="3"/>
  <c r="H365" i="3"/>
  <c r="G365" i="3"/>
  <c r="F365" i="3"/>
  <c r="E365" i="3"/>
  <c r="D365" i="3"/>
  <c r="C365" i="3"/>
  <c r="B365" i="3"/>
  <c r="A365" i="3"/>
  <c r="T364" i="3"/>
  <c r="S364" i="3"/>
  <c r="R364" i="3"/>
  <c r="Q364" i="3"/>
  <c r="O364" i="3"/>
  <c r="M364" i="3"/>
  <c r="K364" i="3"/>
  <c r="J364" i="3"/>
  <c r="I364" i="3"/>
  <c r="H364" i="3"/>
  <c r="G364" i="3"/>
  <c r="F364" i="3"/>
  <c r="E364" i="3"/>
  <c r="D364" i="3"/>
  <c r="C364" i="3"/>
  <c r="B364" i="3"/>
  <c r="A364" i="3"/>
  <c r="T363" i="3"/>
  <c r="S363" i="3"/>
  <c r="R363" i="3"/>
  <c r="Q363" i="3"/>
  <c r="O363" i="3"/>
  <c r="K363" i="3"/>
  <c r="J363" i="3"/>
  <c r="I363" i="3"/>
  <c r="H363" i="3"/>
  <c r="G363" i="3"/>
  <c r="F363" i="3"/>
  <c r="E363" i="3"/>
  <c r="D363" i="3"/>
  <c r="C363" i="3"/>
  <c r="B363" i="3"/>
  <c r="A363" i="3"/>
  <c r="T362" i="3"/>
  <c r="S362" i="3"/>
  <c r="R362" i="3"/>
  <c r="Q362" i="3"/>
  <c r="O362" i="3"/>
  <c r="M362" i="3"/>
  <c r="K362" i="3"/>
  <c r="J362" i="3"/>
  <c r="I362" i="3"/>
  <c r="H362" i="3"/>
  <c r="G362" i="3"/>
  <c r="F362" i="3"/>
  <c r="E362" i="3"/>
  <c r="D362" i="3"/>
  <c r="C362" i="3"/>
  <c r="B362" i="3"/>
  <c r="A362" i="3"/>
  <c r="T361" i="3"/>
  <c r="S361" i="3"/>
  <c r="R361" i="3"/>
  <c r="Q361" i="3"/>
  <c r="M361" i="3"/>
  <c r="K361" i="3"/>
  <c r="J361" i="3"/>
  <c r="I361" i="3"/>
  <c r="H361" i="3"/>
  <c r="G361" i="3"/>
  <c r="F361" i="3"/>
  <c r="E361" i="3"/>
  <c r="D361" i="3"/>
  <c r="C361" i="3"/>
  <c r="B361" i="3"/>
  <c r="A361" i="3"/>
  <c r="T360" i="3"/>
  <c r="S360" i="3"/>
  <c r="R360" i="3"/>
  <c r="Q360" i="3"/>
  <c r="O360" i="3"/>
  <c r="M360" i="3"/>
  <c r="K360" i="3"/>
  <c r="J360" i="3"/>
  <c r="I360" i="3"/>
  <c r="H360" i="3"/>
  <c r="G360" i="3"/>
  <c r="F360" i="3"/>
  <c r="E360" i="3"/>
  <c r="D360" i="3"/>
  <c r="C360" i="3"/>
  <c r="B360" i="3"/>
  <c r="A360" i="3"/>
  <c r="T359" i="3"/>
  <c r="S359" i="3"/>
  <c r="R359" i="3"/>
  <c r="Q359" i="3"/>
  <c r="J359" i="3"/>
  <c r="I359" i="3"/>
  <c r="H359" i="3"/>
  <c r="G359" i="3"/>
  <c r="F359" i="3"/>
  <c r="E359" i="3"/>
  <c r="D359" i="3"/>
  <c r="C359" i="3"/>
  <c r="B359" i="3"/>
  <c r="A359" i="3"/>
  <c r="T358" i="3"/>
  <c r="S358" i="3"/>
  <c r="R358" i="3"/>
  <c r="Q358" i="3"/>
  <c r="O358" i="3"/>
  <c r="M358" i="3"/>
  <c r="K358" i="3"/>
  <c r="J358" i="3"/>
  <c r="I358" i="3"/>
  <c r="H358" i="3"/>
  <c r="G358" i="3"/>
  <c r="F358" i="3"/>
  <c r="E358" i="3"/>
  <c r="D358" i="3"/>
  <c r="C358" i="3"/>
  <c r="B358" i="3"/>
  <c r="A358" i="3"/>
  <c r="T357" i="3"/>
  <c r="S357" i="3"/>
  <c r="R357" i="3"/>
  <c r="Q357" i="3"/>
  <c r="O357" i="3"/>
  <c r="K357" i="3"/>
  <c r="J357" i="3"/>
  <c r="I357" i="3"/>
  <c r="H357" i="3"/>
  <c r="G357" i="3"/>
  <c r="F357" i="3"/>
  <c r="E357" i="3"/>
  <c r="D357" i="3"/>
  <c r="C357" i="3"/>
  <c r="B357" i="3"/>
  <c r="A357" i="3"/>
  <c r="T356" i="3"/>
  <c r="S356" i="3"/>
  <c r="R356" i="3"/>
  <c r="Q356" i="3"/>
  <c r="O356" i="3"/>
  <c r="K356" i="3"/>
  <c r="J356" i="3"/>
  <c r="I356" i="3"/>
  <c r="H356" i="3"/>
  <c r="G356" i="3"/>
  <c r="F356" i="3"/>
  <c r="E356" i="3"/>
  <c r="D356" i="3"/>
  <c r="C356" i="3"/>
  <c r="B356" i="3"/>
  <c r="A356" i="3"/>
  <c r="T355" i="3"/>
  <c r="S355" i="3"/>
  <c r="R355" i="3"/>
  <c r="Q355" i="3"/>
  <c r="K355" i="3"/>
  <c r="J355" i="3"/>
  <c r="I355" i="3"/>
  <c r="H355" i="3"/>
  <c r="G355" i="3"/>
  <c r="F355" i="3"/>
  <c r="E355" i="3"/>
  <c r="D355" i="3"/>
  <c r="C355" i="3"/>
  <c r="B355" i="3"/>
  <c r="A355" i="3"/>
  <c r="T354" i="3"/>
  <c r="S354" i="3"/>
  <c r="R354" i="3"/>
  <c r="Q354" i="3"/>
  <c r="K354" i="3"/>
  <c r="J354" i="3"/>
  <c r="I354" i="3"/>
  <c r="H354" i="3"/>
  <c r="G354" i="3"/>
  <c r="F354" i="3"/>
  <c r="E354" i="3"/>
  <c r="D354" i="3"/>
  <c r="C354" i="3"/>
  <c r="B354" i="3"/>
  <c r="A354" i="3"/>
  <c r="T353" i="3"/>
  <c r="S353" i="3"/>
  <c r="R353" i="3"/>
  <c r="Q353" i="3"/>
  <c r="M353" i="3"/>
  <c r="K353" i="3"/>
  <c r="J353" i="3"/>
  <c r="I353" i="3"/>
  <c r="H353" i="3"/>
  <c r="G353" i="3"/>
  <c r="F353" i="3"/>
  <c r="E353" i="3"/>
  <c r="D353" i="3"/>
  <c r="C353" i="3"/>
  <c r="B353" i="3"/>
  <c r="A353" i="3"/>
  <c r="T352" i="3"/>
  <c r="S352" i="3"/>
  <c r="R352" i="3"/>
  <c r="Q352" i="3"/>
  <c r="J352" i="3"/>
  <c r="I352" i="3"/>
  <c r="H352" i="3"/>
  <c r="G352" i="3"/>
  <c r="F352" i="3"/>
  <c r="E352" i="3"/>
  <c r="D352" i="3"/>
  <c r="C352" i="3"/>
  <c r="B352" i="3"/>
  <c r="A352" i="3"/>
  <c r="T351" i="3"/>
  <c r="S351" i="3"/>
  <c r="R351" i="3"/>
  <c r="Q351" i="3"/>
  <c r="O351" i="3"/>
  <c r="K351" i="3"/>
  <c r="J351" i="3"/>
  <c r="I351" i="3"/>
  <c r="H351" i="3"/>
  <c r="G351" i="3"/>
  <c r="F351" i="3"/>
  <c r="E351" i="3"/>
  <c r="D351" i="3"/>
  <c r="C351" i="3"/>
  <c r="B351" i="3"/>
  <c r="A351" i="3"/>
  <c r="T350" i="3"/>
  <c r="S350" i="3"/>
  <c r="R350" i="3"/>
  <c r="Q350" i="3"/>
  <c r="O350" i="3"/>
  <c r="M350" i="3"/>
  <c r="K350" i="3"/>
  <c r="J350" i="3"/>
  <c r="I350" i="3"/>
  <c r="H350" i="3"/>
  <c r="G350" i="3"/>
  <c r="F350" i="3"/>
  <c r="E350" i="3"/>
  <c r="D350" i="3"/>
  <c r="C350" i="3"/>
  <c r="B350" i="3"/>
  <c r="A350" i="3"/>
  <c r="T349" i="3"/>
  <c r="S349" i="3"/>
  <c r="R349" i="3"/>
  <c r="Q349" i="3"/>
  <c r="J349" i="3"/>
  <c r="I349" i="3"/>
  <c r="H349" i="3"/>
  <c r="G349" i="3"/>
  <c r="F349" i="3"/>
  <c r="E349" i="3"/>
  <c r="D349" i="3"/>
  <c r="C349" i="3"/>
  <c r="B349" i="3"/>
  <c r="A349" i="3"/>
  <c r="T348" i="3"/>
  <c r="S348" i="3"/>
  <c r="R348" i="3"/>
  <c r="Q348" i="3"/>
  <c r="O348" i="3"/>
  <c r="M348" i="3"/>
  <c r="K348" i="3"/>
  <c r="J348" i="3"/>
  <c r="I348" i="3"/>
  <c r="H348" i="3"/>
  <c r="G348" i="3"/>
  <c r="F348" i="3"/>
  <c r="E348" i="3"/>
  <c r="D348" i="3"/>
  <c r="C348" i="3"/>
  <c r="B348" i="3"/>
  <c r="A348" i="3"/>
  <c r="T347" i="3"/>
  <c r="S347" i="3"/>
  <c r="R347" i="3"/>
  <c r="Q347" i="3"/>
  <c r="J347" i="3"/>
  <c r="I347" i="3"/>
  <c r="H347" i="3"/>
  <c r="G347" i="3"/>
  <c r="F347" i="3"/>
  <c r="E347" i="3"/>
  <c r="D347" i="3"/>
  <c r="C347" i="3"/>
  <c r="B347" i="3"/>
  <c r="A347" i="3"/>
  <c r="T346" i="3"/>
  <c r="S346" i="3"/>
  <c r="R346" i="3"/>
  <c r="Q346" i="3"/>
  <c r="K346" i="3"/>
  <c r="J346" i="3"/>
  <c r="I346" i="3"/>
  <c r="H346" i="3"/>
  <c r="G346" i="3"/>
  <c r="F346" i="3"/>
  <c r="E346" i="3"/>
  <c r="D346" i="3"/>
  <c r="C346" i="3"/>
  <c r="B346" i="3"/>
  <c r="A346" i="3"/>
  <c r="T345" i="3"/>
  <c r="S345" i="3"/>
  <c r="R345" i="3"/>
  <c r="Q345" i="3"/>
  <c r="K345" i="3"/>
  <c r="J345" i="3"/>
  <c r="I345" i="3"/>
  <c r="H345" i="3"/>
  <c r="G345" i="3"/>
  <c r="F345" i="3"/>
  <c r="E345" i="3"/>
  <c r="D345" i="3"/>
  <c r="C345" i="3"/>
  <c r="B345" i="3"/>
  <c r="A345" i="3"/>
  <c r="T344" i="3"/>
  <c r="S344" i="3"/>
  <c r="R344" i="3"/>
  <c r="Q344" i="3"/>
  <c r="J344" i="3"/>
  <c r="I344" i="3"/>
  <c r="H344" i="3"/>
  <c r="G344" i="3"/>
  <c r="F344" i="3"/>
  <c r="E344" i="3"/>
  <c r="D344" i="3"/>
  <c r="C344" i="3"/>
  <c r="B344" i="3"/>
  <c r="A344" i="3"/>
  <c r="T343" i="3"/>
  <c r="S343" i="3"/>
  <c r="R343" i="3"/>
  <c r="Q343" i="3"/>
  <c r="O343" i="3"/>
  <c r="K343" i="3"/>
  <c r="J343" i="3"/>
  <c r="I343" i="3"/>
  <c r="H343" i="3"/>
  <c r="G343" i="3"/>
  <c r="F343" i="3"/>
  <c r="E343" i="3"/>
  <c r="D343" i="3"/>
  <c r="C343" i="3"/>
  <c r="B343" i="3"/>
  <c r="A343" i="3"/>
  <c r="T342" i="3"/>
  <c r="S342" i="3"/>
  <c r="R342" i="3"/>
  <c r="Q342" i="3"/>
  <c r="J342" i="3"/>
  <c r="I342" i="3"/>
  <c r="H342" i="3"/>
  <c r="G342" i="3"/>
  <c r="F342" i="3"/>
  <c r="E342" i="3"/>
  <c r="D342" i="3"/>
  <c r="C342" i="3"/>
  <c r="B342" i="3"/>
  <c r="A342" i="3"/>
  <c r="T341" i="3"/>
  <c r="S341" i="3"/>
  <c r="R341" i="3"/>
  <c r="Q341" i="3"/>
  <c r="O341" i="3"/>
  <c r="M341" i="3"/>
  <c r="K341" i="3"/>
  <c r="J341" i="3"/>
  <c r="I341" i="3"/>
  <c r="H341" i="3"/>
  <c r="G341" i="3"/>
  <c r="F341" i="3"/>
  <c r="E341" i="3"/>
  <c r="D341" i="3"/>
  <c r="C341" i="3"/>
  <c r="B341" i="3"/>
  <c r="A341" i="3"/>
  <c r="T340" i="3"/>
  <c r="S340" i="3"/>
  <c r="R340" i="3"/>
  <c r="Q340" i="3"/>
  <c r="J340" i="3"/>
  <c r="I340" i="3"/>
  <c r="H340" i="3"/>
  <c r="G340" i="3"/>
  <c r="F340" i="3"/>
  <c r="E340" i="3"/>
  <c r="D340" i="3"/>
  <c r="C340" i="3"/>
  <c r="B340" i="3"/>
  <c r="A340" i="3"/>
  <c r="T339" i="3"/>
  <c r="S339" i="3"/>
  <c r="R339" i="3"/>
  <c r="Q339" i="3"/>
  <c r="O339" i="3"/>
  <c r="M339" i="3"/>
  <c r="K339" i="3"/>
  <c r="J339" i="3"/>
  <c r="I339" i="3"/>
  <c r="H339" i="3"/>
  <c r="G339" i="3"/>
  <c r="F339" i="3"/>
  <c r="E339" i="3"/>
  <c r="D339" i="3"/>
  <c r="C339" i="3"/>
  <c r="B339" i="3"/>
  <c r="A339" i="3"/>
  <c r="T338" i="3"/>
  <c r="S338" i="3"/>
  <c r="R338" i="3"/>
  <c r="Q338" i="3"/>
  <c r="M338" i="3"/>
  <c r="K338" i="3"/>
  <c r="J338" i="3"/>
  <c r="I338" i="3"/>
  <c r="H338" i="3"/>
  <c r="G338" i="3"/>
  <c r="F338" i="3"/>
  <c r="E338" i="3"/>
  <c r="D338" i="3"/>
  <c r="C338" i="3"/>
  <c r="B338" i="3"/>
  <c r="A338" i="3"/>
  <c r="T337" i="3"/>
  <c r="S337" i="3"/>
  <c r="R337" i="3"/>
  <c r="Q337" i="3"/>
  <c r="J337" i="3"/>
  <c r="I337" i="3"/>
  <c r="H337" i="3"/>
  <c r="G337" i="3"/>
  <c r="F337" i="3"/>
  <c r="E337" i="3"/>
  <c r="D337" i="3"/>
  <c r="C337" i="3"/>
  <c r="B337" i="3"/>
  <c r="A337" i="3"/>
  <c r="T336" i="3"/>
  <c r="S336" i="3"/>
  <c r="R336" i="3"/>
  <c r="Q336" i="3"/>
  <c r="O336" i="3"/>
  <c r="M336" i="3"/>
  <c r="K336" i="3"/>
  <c r="J336" i="3"/>
  <c r="I336" i="3"/>
  <c r="H336" i="3"/>
  <c r="G336" i="3"/>
  <c r="F336" i="3"/>
  <c r="E336" i="3"/>
  <c r="D336" i="3"/>
  <c r="C336" i="3"/>
  <c r="B336" i="3"/>
  <c r="A336" i="3"/>
  <c r="T335" i="3"/>
  <c r="S335" i="3"/>
  <c r="R335" i="3"/>
  <c r="Q335" i="3"/>
  <c r="J335" i="3"/>
  <c r="I335" i="3"/>
  <c r="H335" i="3"/>
  <c r="G335" i="3"/>
  <c r="F335" i="3"/>
  <c r="E335" i="3"/>
  <c r="D335" i="3"/>
  <c r="C335" i="3"/>
  <c r="B335" i="3"/>
  <c r="A335" i="3"/>
  <c r="T334" i="3"/>
  <c r="S334" i="3"/>
  <c r="R334" i="3"/>
  <c r="Q334" i="3"/>
  <c r="J334" i="3"/>
  <c r="I334" i="3"/>
  <c r="H334" i="3"/>
  <c r="G334" i="3"/>
  <c r="F334" i="3"/>
  <c r="E334" i="3"/>
  <c r="D334" i="3"/>
  <c r="C334" i="3"/>
  <c r="B334" i="3"/>
  <c r="A334" i="3"/>
  <c r="T333" i="3"/>
  <c r="S333" i="3"/>
  <c r="R333" i="3"/>
  <c r="Q333" i="3"/>
  <c r="M333" i="3"/>
  <c r="K333" i="3"/>
  <c r="J333" i="3"/>
  <c r="I333" i="3"/>
  <c r="H333" i="3"/>
  <c r="G333" i="3"/>
  <c r="F333" i="3"/>
  <c r="E333" i="3"/>
  <c r="D333" i="3"/>
  <c r="C333" i="3"/>
  <c r="B333" i="3"/>
  <c r="A333" i="3"/>
  <c r="T332" i="3"/>
  <c r="S332" i="3"/>
  <c r="R332" i="3"/>
  <c r="Q332" i="3"/>
  <c r="J332" i="3"/>
  <c r="I332" i="3"/>
  <c r="H332" i="3"/>
  <c r="G332" i="3"/>
  <c r="F332" i="3"/>
  <c r="E332" i="3"/>
  <c r="D332" i="3"/>
  <c r="C332" i="3"/>
  <c r="B332" i="3"/>
  <c r="A332" i="3"/>
  <c r="T331" i="3"/>
  <c r="S331" i="3"/>
  <c r="R331" i="3"/>
  <c r="Q331" i="3"/>
  <c r="O331" i="3"/>
  <c r="M331" i="3"/>
  <c r="K331" i="3"/>
  <c r="J331" i="3"/>
  <c r="I331" i="3"/>
  <c r="H331" i="3"/>
  <c r="G331" i="3"/>
  <c r="F331" i="3"/>
  <c r="E331" i="3"/>
  <c r="D331" i="3"/>
  <c r="C331" i="3"/>
  <c r="B331" i="3"/>
  <c r="A331" i="3"/>
  <c r="T330" i="3"/>
  <c r="S330" i="3"/>
  <c r="R330" i="3"/>
  <c r="Q330" i="3"/>
  <c r="K330" i="3"/>
  <c r="J330" i="3"/>
  <c r="I330" i="3"/>
  <c r="H330" i="3"/>
  <c r="G330" i="3"/>
  <c r="F330" i="3"/>
  <c r="E330" i="3"/>
  <c r="D330" i="3"/>
  <c r="C330" i="3"/>
  <c r="B330" i="3"/>
  <c r="A330" i="3"/>
  <c r="T329" i="3"/>
  <c r="S329" i="3"/>
  <c r="R329" i="3"/>
  <c r="Q329" i="3"/>
  <c r="J329" i="3"/>
  <c r="I329" i="3"/>
  <c r="H329" i="3"/>
  <c r="G329" i="3"/>
  <c r="F329" i="3"/>
  <c r="E329" i="3"/>
  <c r="D329" i="3"/>
  <c r="C329" i="3"/>
  <c r="B329" i="3"/>
  <c r="A329" i="3"/>
  <c r="T328" i="3"/>
  <c r="S328" i="3"/>
  <c r="R328" i="3"/>
  <c r="Q328" i="3"/>
  <c r="O328" i="3"/>
  <c r="K328" i="3"/>
  <c r="J328" i="3"/>
  <c r="I328" i="3"/>
  <c r="H328" i="3"/>
  <c r="G328" i="3"/>
  <c r="F328" i="3"/>
  <c r="E328" i="3"/>
  <c r="D328" i="3"/>
  <c r="C328" i="3"/>
  <c r="B328" i="3"/>
  <c r="A328" i="3"/>
  <c r="T327" i="3"/>
  <c r="S327" i="3"/>
  <c r="R327" i="3"/>
  <c r="Q327" i="3"/>
  <c r="M327" i="3"/>
  <c r="K327" i="3"/>
  <c r="J327" i="3"/>
  <c r="I327" i="3"/>
  <c r="H327" i="3"/>
  <c r="G327" i="3"/>
  <c r="F327" i="3"/>
  <c r="E327" i="3"/>
  <c r="D327" i="3"/>
  <c r="C327" i="3"/>
  <c r="B327" i="3"/>
  <c r="A327" i="3"/>
  <c r="T326" i="3"/>
  <c r="S326" i="3"/>
  <c r="R326" i="3"/>
  <c r="Q326" i="3"/>
  <c r="J326" i="3"/>
  <c r="I326" i="3"/>
  <c r="H326" i="3"/>
  <c r="G326" i="3"/>
  <c r="F326" i="3"/>
  <c r="E326" i="3"/>
  <c r="D326" i="3"/>
  <c r="C326" i="3"/>
  <c r="B326" i="3"/>
  <c r="A326" i="3"/>
  <c r="T325" i="3"/>
  <c r="S325" i="3"/>
  <c r="R325" i="3"/>
  <c r="Q325" i="3"/>
  <c r="J325" i="3"/>
  <c r="I325" i="3"/>
  <c r="H325" i="3"/>
  <c r="G325" i="3"/>
  <c r="F325" i="3"/>
  <c r="E325" i="3"/>
  <c r="D325" i="3"/>
  <c r="C325" i="3"/>
  <c r="B325" i="3"/>
  <c r="A325" i="3"/>
  <c r="T324" i="3"/>
  <c r="S324" i="3"/>
  <c r="R324" i="3"/>
  <c r="Q324" i="3"/>
  <c r="O324" i="3"/>
  <c r="M324" i="3"/>
  <c r="K324" i="3"/>
  <c r="J324" i="3"/>
  <c r="I324" i="3"/>
  <c r="H324" i="3"/>
  <c r="G324" i="3"/>
  <c r="F324" i="3"/>
  <c r="E324" i="3"/>
  <c r="D324" i="3"/>
  <c r="C324" i="3"/>
  <c r="B324" i="3"/>
  <c r="A324" i="3"/>
  <c r="T323" i="3"/>
  <c r="S323" i="3"/>
  <c r="R323" i="3"/>
  <c r="Q323" i="3"/>
  <c r="J323" i="3"/>
  <c r="I323" i="3"/>
  <c r="H323" i="3"/>
  <c r="G323" i="3"/>
  <c r="F323" i="3"/>
  <c r="E323" i="3"/>
  <c r="D323" i="3"/>
  <c r="C323" i="3"/>
  <c r="B323" i="3"/>
  <c r="A323" i="3"/>
  <c r="T322" i="3"/>
  <c r="S322" i="3"/>
  <c r="R322" i="3"/>
  <c r="Q322" i="3"/>
  <c r="J322" i="3"/>
  <c r="I322" i="3"/>
  <c r="H322" i="3"/>
  <c r="G322" i="3"/>
  <c r="F322" i="3"/>
  <c r="E322" i="3"/>
  <c r="D322" i="3"/>
  <c r="C322" i="3"/>
  <c r="B322" i="3"/>
  <c r="A322" i="3"/>
  <c r="T321" i="3"/>
  <c r="S321" i="3"/>
  <c r="R321" i="3"/>
  <c r="Q321" i="3"/>
  <c r="O321" i="3"/>
  <c r="M321" i="3"/>
  <c r="K321" i="3"/>
  <c r="J321" i="3"/>
  <c r="I321" i="3"/>
  <c r="H321" i="3"/>
  <c r="G321" i="3"/>
  <c r="F321" i="3"/>
  <c r="E321" i="3"/>
  <c r="D321" i="3"/>
  <c r="C321" i="3"/>
  <c r="B321" i="3"/>
  <c r="A321" i="3"/>
  <c r="T320" i="3"/>
  <c r="S320" i="3"/>
  <c r="R320" i="3"/>
  <c r="Q320" i="3"/>
  <c r="J320" i="3"/>
  <c r="I320" i="3"/>
  <c r="H320" i="3"/>
  <c r="G320" i="3"/>
  <c r="F320" i="3"/>
  <c r="E320" i="3"/>
  <c r="D320" i="3"/>
  <c r="C320" i="3"/>
  <c r="B320" i="3"/>
  <c r="A320" i="3"/>
  <c r="T319" i="3"/>
  <c r="S319" i="3"/>
  <c r="R319" i="3"/>
  <c r="Q319" i="3"/>
  <c r="K319" i="3"/>
  <c r="J319" i="3"/>
  <c r="I319" i="3"/>
  <c r="H319" i="3"/>
  <c r="G319" i="3"/>
  <c r="F319" i="3"/>
  <c r="E319" i="3"/>
  <c r="D319" i="3"/>
  <c r="C319" i="3"/>
  <c r="B319" i="3"/>
  <c r="A319" i="3"/>
  <c r="T318" i="3"/>
  <c r="S318" i="3"/>
  <c r="R318" i="3"/>
  <c r="Q318" i="3"/>
  <c r="K318" i="3"/>
  <c r="J318" i="3"/>
  <c r="I318" i="3"/>
  <c r="H318" i="3"/>
  <c r="G318" i="3"/>
  <c r="F318" i="3"/>
  <c r="E318" i="3"/>
  <c r="D318" i="3"/>
  <c r="C318" i="3"/>
  <c r="B318" i="3"/>
  <c r="A318" i="3"/>
  <c r="T317" i="3"/>
  <c r="S317" i="3"/>
  <c r="R317" i="3"/>
  <c r="Q317" i="3"/>
  <c r="J317" i="3"/>
  <c r="I317" i="3"/>
  <c r="H317" i="3"/>
  <c r="G317" i="3"/>
  <c r="F317" i="3"/>
  <c r="E317" i="3"/>
  <c r="D317" i="3"/>
  <c r="C317" i="3"/>
  <c r="B317" i="3"/>
  <c r="A317" i="3"/>
  <c r="T316" i="3"/>
  <c r="S316" i="3"/>
  <c r="R316" i="3"/>
  <c r="Q316" i="3"/>
  <c r="J316" i="3"/>
  <c r="I316" i="3"/>
  <c r="H316" i="3"/>
  <c r="G316" i="3"/>
  <c r="F316" i="3"/>
  <c r="E316" i="3"/>
  <c r="D316" i="3"/>
  <c r="C316" i="3"/>
  <c r="B316" i="3"/>
  <c r="A316" i="3"/>
  <c r="T315" i="3"/>
  <c r="S315" i="3"/>
  <c r="R315" i="3"/>
  <c r="Q315" i="3"/>
  <c r="J315" i="3"/>
  <c r="I315" i="3"/>
  <c r="H315" i="3"/>
  <c r="G315" i="3"/>
  <c r="F315" i="3"/>
  <c r="E315" i="3"/>
  <c r="D315" i="3"/>
  <c r="C315" i="3"/>
  <c r="B315" i="3"/>
  <c r="A315" i="3"/>
  <c r="T314" i="3"/>
  <c r="S314" i="3"/>
  <c r="R314" i="3"/>
  <c r="Q314" i="3"/>
  <c r="J314" i="3"/>
  <c r="I314" i="3"/>
  <c r="H314" i="3"/>
  <c r="G314" i="3"/>
  <c r="F314" i="3"/>
  <c r="E314" i="3"/>
  <c r="D314" i="3"/>
  <c r="C314" i="3"/>
  <c r="B314" i="3"/>
  <c r="A314" i="3"/>
  <c r="T313" i="3"/>
  <c r="S313" i="3"/>
  <c r="R313" i="3"/>
  <c r="Q313" i="3"/>
  <c r="O313" i="3"/>
  <c r="M313" i="3"/>
  <c r="K313" i="3"/>
  <c r="J313" i="3"/>
  <c r="I313" i="3"/>
  <c r="H313" i="3"/>
  <c r="G313" i="3"/>
  <c r="F313" i="3"/>
  <c r="E313" i="3"/>
  <c r="D313" i="3"/>
  <c r="C313" i="3"/>
  <c r="B313" i="3"/>
  <c r="A313" i="3"/>
  <c r="T312" i="3"/>
  <c r="S312" i="3"/>
  <c r="R312" i="3"/>
  <c r="Q312" i="3"/>
  <c r="O312" i="3"/>
  <c r="M312" i="3"/>
  <c r="K312" i="3"/>
  <c r="J312" i="3"/>
  <c r="I312" i="3"/>
  <c r="H312" i="3"/>
  <c r="G312" i="3"/>
  <c r="F312" i="3"/>
  <c r="E312" i="3"/>
  <c r="D312" i="3"/>
  <c r="C312" i="3"/>
  <c r="B312" i="3"/>
  <c r="A312" i="3"/>
  <c r="T311" i="3"/>
  <c r="S311" i="3"/>
  <c r="R311" i="3"/>
  <c r="Q311" i="3"/>
  <c r="K311" i="3"/>
  <c r="J311" i="3"/>
  <c r="I311" i="3"/>
  <c r="H311" i="3"/>
  <c r="G311" i="3"/>
  <c r="F311" i="3"/>
  <c r="E311" i="3"/>
  <c r="D311" i="3"/>
  <c r="C311" i="3"/>
  <c r="B311" i="3"/>
  <c r="A311" i="3"/>
  <c r="T310" i="3"/>
  <c r="S310" i="3"/>
  <c r="R310" i="3"/>
  <c r="Q310" i="3"/>
  <c r="O310" i="3"/>
  <c r="M310" i="3"/>
  <c r="K310" i="3"/>
  <c r="J310" i="3"/>
  <c r="I310" i="3"/>
  <c r="H310" i="3"/>
  <c r="G310" i="3"/>
  <c r="F310" i="3"/>
  <c r="E310" i="3"/>
  <c r="D310" i="3"/>
  <c r="C310" i="3"/>
  <c r="B310" i="3"/>
  <c r="A310" i="3"/>
  <c r="T309" i="3"/>
  <c r="S309" i="3"/>
  <c r="R309" i="3"/>
  <c r="Q309" i="3"/>
  <c r="K309" i="3"/>
  <c r="J309" i="3"/>
  <c r="I309" i="3"/>
  <c r="H309" i="3"/>
  <c r="G309" i="3"/>
  <c r="F309" i="3"/>
  <c r="E309" i="3"/>
  <c r="D309" i="3"/>
  <c r="C309" i="3"/>
  <c r="B309" i="3"/>
  <c r="A309" i="3"/>
  <c r="T308" i="3"/>
  <c r="S308" i="3"/>
  <c r="R308" i="3"/>
  <c r="Q308" i="3"/>
  <c r="O308" i="3"/>
  <c r="M308" i="3"/>
  <c r="K308" i="3"/>
  <c r="J308" i="3"/>
  <c r="I308" i="3"/>
  <c r="H308" i="3"/>
  <c r="G308" i="3"/>
  <c r="F308" i="3"/>
  <c r="E308" i="3"/>
  <c r="D308" i="3"/>
  <c r="C308" i="3"/>
  <c r="B308" i="3"/>
  <c r="A308" i="3"/>
  <c r="T307" i="3"/>
  <c r="S307" i="3"/>
  <c r="R307" i="3"/>
  <c r="Q307" i="3"/>
  <c r="O307" i="3"/>
  <c r="K307" i="3"/>
  <c r="J307" i="3"/>
  <c r="I307" i="3"/>
  <c r="H307" i="3"/>
  <c r="G307" i="3"/>
  <c r="F307" i="3"/>
  <c r="E307" i="3"/>
  <c r="D307" i="3"/>
  <c r="C307" i="3"/>
  <c r="B307" i="3"/>
  <c r="A307" i="3"/>
  <c r="T306" i="3"/>
  <c r="S306" i="3"/>
  <c r="R306" i="3"/>
  <c r="Q306" i="3"/>
  <c r="O306" i="3"/>
  <c r="M306" i="3"/>
  <c r="K306" i="3"/>
  <c r="J306" i="3"/>
  <c r="I306" i="3"/>
  <c r="H306" i="3"/>
  <c r="G306" i="3"/>
  <c r="F306" i="3"/>
  <c r="E306" i="3"/>
  <c r="D306" i="3"/>
  <c r="C306" i="3"/>
  <c r="B306" i="3"/>
  <c r="A306" i="3"/>
  <c r="T305" i="3"/>
  <c r="S305" i="3"/>
  <c r="R305" i="3"/>
  <c r="Q305" i="3"/>
  <c r="O305" i="3"/>
  <c r="M305" i="3"/>
  <c r="K305" i="3"/>
  <c r="J305" i="3"/>
  <c r="I305" i="3"/>
  <c r="H305" i="3"/>
  <c r="G305" i="3"/>
  <c r="F305" i="3"/>
  <c r="E305" i="3"/>
  <c r="D305" i="3"/>
  <c r="C305" i="3"/>
  <c r="B305" i="3"/>
  <c r="A305" i="3"/>
  <c r="T304" i="3"/>
  <c r="S304" i="3"/>
  <c r="R304" i="3"/>
  <c r="Q304" i="3"/>
  <c r="M304" i="3"/>
  <c r="K304" i="3"/>
  <c r="J304" i="3"/>
  <c r="I304" i="3"/>
  <c r="H304" i="3"/>
  <c r="G304" i="3"/>
  <c r="F304" i="3"/>
  <c r="E304" i="3"/>
  <c r="D304" i="3"/>
  <c r="C304" i="3"/>
  <c r="B304" i="3"/>
  <c r="A304" i="3"/>
  <c r="T303" i="3"/>
  <c r="S303" i="3"/>
  <c r="R303" i="3"/>
  <c r="Q303" i="3"/>
  <c r="O303" i="3"/>
  <c r="M303" i="3"/>
  <c r="K303" i="3"/>
  <c r="J303" i="3"/>
  <c r="I303" i="3"/>
  <c r="H303" i="3"/>
  <c r="G303" i="3"/>
  <c r="F303" i="3"/>
  <c r="E303" i="3"/>
  <c r="D303" i="3"/>
  <c r="C303" i="3"/>
  <c r="B303" i="3"/>
  <c r="A303" i="3"/>
  <c r="T302" i="3"/>
  <c r="S302" i="3"/>
  <c r="R302" i="3"/>
  <c r="Q302" i="3"/>
  <c r="O302" i="3"/>
  <c r="M302" i="3"/>
  <c r="K302" i="3"/>
  <c r="J302" i="3"/>
  <c r="I302" i="3"/>
  <c r="H302" i="3"/>
  <c r="G302" i="3"/>
  <c r="F302" i="3"/>
  <c r="E302" i="3"/>
  <c r="D302" i="3"/>
  <c r="C302" i="3"/>
  <c r="B302" i="3"/>
  <c r="A302" i="3"/>
  <c r="T301" i="3"/>
  <c r="S301" i="3"/>
  <c r="R301" i="3"/>
  <c r="Q301" i="3"/>
  <c r="O301" i="3"/>
  <c r="M301" i="3"/>
  <c r="K301" i="3"/>
  <c r="J301" i="3"/>
  <c r="I301" i="3"/>
  <c r="H301" i="3"/>
  <c r="G301" i="3"/>
  <c r="F301" i="3"/>
  <c r="E301" i="3"/>
  <c r="D301" i="3"/>
  <c r="C301" i="3"/>
  <c r="B301" i="3"/>
  <c r="A301" i="3"/>
  <c r="T300" i="3"/>
  <c r="S300" i="3"/>
  <c r="R300" i="3"/>
  <c r="Q300" i="3"/>
  <c r="J300" i="3"/>
  <c r="I300" i="3"/>
  <c r="H300" i="3"/>
  <c r="G300" i="3"/>
  <c r="F300" i="3"/>
  <c r="E300" i="3"/>
  <c r="D300" i="3"/>
  <c r="C300" i="3"/>
  <c r="B300" i="3"/>
  <c r="A300" i="3"/>
  <c r="T299" i="3"/>
  <c r="S299" i="3"/>
  <c r="R299" i="3"/>
  <c r="Q299" i="3"/>
  <c r="J299" i="3"/>
  <c r="I299" i="3"/>
  <c r="H299" i="3"/>
  <c r="G299" i="3"/>
  <c r="F299" i="3"/>
  <c r="E299" i="3"/>
  <c r="D299" i="3"/>
  <c r="C299" i="3"/>
  <c r="B299" i="3"/>
  <c r="A299" i="3"/>
  <c r="T298" i="3"/>
  <c r="S298" i="3"/>
  <c r="R298" i="3"/>
  <c r="Q298" i="3"/>
  <c r="O298" i="3"/>
  <c r="M298" i="3"/>
  <c r="K298" i="3"/>
  <c r="J298" i="3"/>
  <c r="I298" i="3"/>
  <c r="H298" i="3"/>
  <c r="G298" i="3"/>
  <c r="F298" i="3"/>
  <c r="E298" i="3"/>
  <c r="D298" i="3"/>
  <c r="C298" i="3"/>
  <c r="B298" i="3"/>
  <c r="A298" i="3"/>
  <c r="T297" i="3"/>
  <c r="S297" i="3"/>
  <c r="R297" i="3"/>
  <c r="Q297" i="3"/>
  <c r="K297" i="3"/>
  <c r="J297" i="3"/>
  <c r="I297" i="3"/>
  <c r="H297" i="3"/>
  <c r="G297" i="3"/>
  <c r="F297" i="3"/>
  <c r="E297" i="3"/>
  <c r="D297" i="3"/>
  <c r="C297" i="3"/>
  <c r="B297" i="3"/>
  <c r="A297" i="3"/>
  <c r="T296" i="3"/>
  <c r="S296" i="3"/>
  <c r="R296" i="3"/>
  <c r="Q296" i="3"/>
  <c r="O296" i="3"/>
  <c r="M296" i="3"/>
  <c r="K296" i="3"/>
  <c r="J296" i="3"/>
  <c r="I296" i="3"/>
  <c r="H296" i="3"/>
  <c r="G296" i="3"/>
  <c r="F296" i="3"/>
  <c r="E296" i="3"/>
  <c r="D296" i="3"/>
  <c r="C296" i="3"/>
  <c r="B296" i="3"/>
  <c r="A296" i="3"/>
  <c r="T295" i="3"/>
  <c r="S295" i="3"/>
  <c r="R295" i="3"/>
  <c r="Q295" i="3"/>
  <c r="O295" i="3"/>
  <c r="M295" i="3"/>
  <c r="K295" i="3"/>
  <c r="J295" i="3"/>
  <c r="I295" i="3"/>
  <c r="H295" i="3"/>
  <c r="G295" i="3"/>
  <c r="F295" i="3"/>
  <c r="E295" i="3"/>
  <c r="D295" i="3"/>
  <c r="C295" i="3"/>
  <c r="B295" i="3"/>
  <c r="A295" i="3"/>
  <c r="T294" i="3"/>
  <c r="S294" i="3"/>
  <c r="R294" i="3"/>
  <c r="Q294" i="3"/>
  <c r="J294" i="3"/>
  <c r="I294" i="3"/>
  <c r="H294" i="3"/>
  <c r="G294" i="3"/>
  <c r="F294" i="3"/>
  <c r="E294" i="3"/>
  <c r="D294" i="3"/>
  <c r="C294" i="3"/>
  <c r="B294" i="3"/>
  <c r="A294" i="3"/>
  <c r="T293" i="3"/>
  <c r="S293" i="3"/>
  <c r="R293" i="3"/>
  <c r="Q293" i="3"/>
  <c r="J293" i="3"/>
  <c r="I293" i="3"/>
  <c r="H293" i="3"/>
  <c r="G293" i="3"/>
  <c r="F293" i="3"/>
  <c r="E293" i="3"/>
  <c r="D293" i="3"/>
  <c r="C293" i="3"/>
  <c r="B293" i="3"/>
  <c r="A293" i="3"/>
  <c r="T292" i="3"/>
  <c r="S292" i="3"/>
  <c r="R292" i="3"/>
  <c r="Q292" i="3"/>
  <c r="J292" i="3"/>
  <c r="I292" i="3"/>
  <c r="H292" i="3"/>
  <c r="G292" i="3"/>
  <c r="F292" i="3"/>
  <c r="E292" i="3"/>
  <c r="D292" i="3"/>
  <c r="C292" i="3"/>
  <c r="B292" i="3"/>
  <c r="A292" i="3"/>
  <c r="T291" i="3"/>
  <c r="S291" i="3"/>
  <c r="R291" i="3"/>
  <c r="Q291" i="3"/>
  <c r="O291" i="3"/>
  <c r="M291" i="3"/>
  <c r="K291" i="3"/>
  <c r="J291" i="3"/>
  <c r="I291" i="3"/>
  <c r="H291" i="3"/>
  <c r="G291" i="3"/>
  <c r="F291" i="3"/>
  <c r="E291" i="3"/>
  <c r="D291" i="3"/>
  <c r="C291" i="3"/>
  <c r="B291" i="3"/>
  <c r="A291" i="3"/>
  <c r="T290" i="3"/>
  <c r="S290" i="3"/>
  <c r="R290" i="3"/>
  <c r="Q290" i="3"/>
  <c r="K290" i="3"/>
  <c r="J290" i="3"/>
  <c r="I290" i="3"/>
  <c r="H290" i="3"/>
  <c r="G290" i="3"/>
  <c r="F290" i="3"/>
  <c r="E290" i="3"/>
  <c r="D290" i="3"/>
  <c r="C290" i="3"/>
  <c r="B290" i="3"/>
  <c r="A290" i="3"/>
  <c r="T289" i="3"/>
  <c r="S289" i="3"/>
  <c r="R289" i="3"/>
  <c r="Q289" i="3"/>
  <c r="O289" i="3"/>
  <c r="M289" i="3"/>
  <c r="K289" i="3"/>
  <c r="J289" i="3"/>
  <c r="I289" i="3"/>
  <c r="H289" i="3"/>
  <c r="G289" i="3"/>
  <c r="F289" i="3"/>
  <c r="E289" i="3"/>
  <c r="D289" i="3"/>
  <c r="C289" i="3"/>
  <c r="B289" i="3"/>
  <c r="A289" i="3"/>
  <c r="T288" i="3"/>
  <c r="S288" i="3"/>
  <c r="R288" i="3"/>
  <c r="Q288" i="3"/>
  <c r="O288" i="3"/>
  <c r="M288" i="3"/>
  <c r="K288" i="3"/>
  <c r="J288" i="3"/>
  <c r="I288" i="3"/>
  <c r="H288" i="3"/>
  <c r="G288" i="3"/>
  <c r="F288" i="3"/>
  <c r="E288" i="3"/>
  <c r="D288" i="3"/>
  <c r="C288" i="3"/>
  <c r="B288" i="3"/>
  <c r="A288" i="3"/>
  <c r="T287" i="3"/>
  <c r="S287" i="3"/>
  <c r="R287" i="3"/>
  <c r="Q287" i="3"/>
  <c r="O287" i="3"/>
  <c r="M287" i="3"/>
  <c r="K287" i="3"/>
  <c r="J287" i="3"/>
  <c r="I287" i="3"/>
  <c r="H287" i="3"/>
  <c r="G287" i="3"/>
  <c r="F287" i="3"/>
  <c r="E287" i="3"/>
  <c r="D287" i="3"/>
  <c r="C287" i="3"/>
  <c r="B287" i="3"/>
  <c r="A287" i="3"/>
  <c r="T286" i="3"/>
  <c r="S286" i="3"/>
  <c r="R286" i="3"/>
  <c r="Q286" i="3"/>
  <c r="J286" i="3"/>
  <c r="I286" i="3"/>
  <c r="H286" i="3"/>
  <c r="G286" i="3"/>
  <c r="F286" i="3"/>
  <c r="E286" i="3"/>
  <c r="D286" i="3"/>
  <c r="C286" i="3"/>
  <c r="B286" i="3"/>
  <c r="A286" i="3"/>
  <c r="T285" i="3"/>
  <c r="S285" i="3"/>
  <c r="R285" i="3"/>
  <c r="Q285" i="3"/>
  <c r="O285" i="3"/>
  <c r="M285" i="3"/>
  <c r="K285" i="3"/>
  <c r="J285" i="3"/>
  <c r="I285" i="3"/>
  <c r="H285" i="3"/>
  <c r="G285" i="3"/>
  <c r="F285" i="3"/>
  <c r="E285" i="3"/>
  <c r="D285" i="3"/>
  <c r="C285" i="3"/>
  <c r="B285" i="3"/>
  <c r="A285" i="3"/>
  <c r="T284" i="3"/>
  <c r="S284" i="3"/>
  <c r="R284" i="3"/>
  <c r="Q284" i="3"/>
  <c r="O284" i="3"/>
  <c r="M284" i="3"/>
  <c r="K284" i="3"/>
  <c r="J284" i="3"/>
  <c r="I284" i="3"/>
  <c r="H284" i="3"/>
  <c r="G284" i="3"/>
  <c r="F284" i="3"/>
  <c r="E284" i="3"/>
  <c r="D284" i="3"/>
  <c r="C284" i="3"/>
  <c r="B284" i="3"/>
  <c r="A284" i="3"/>
  <c r="T283" i="3"/>
  <c r="S283" i="3"/>
  <c r="R283" i="3"/>
  <c r="Q283" i="3"/>
  <c r="J283" i="3"/>
  <c r="I283" i="3"/>
  <c r="H283" i="3"/>
  <c r="G283" i="3"/>
  <c r="F283" i="3"/>
  <c r="E283" i="3"/>
  <c r="D283" i="3"/>
  <c r="C283" i="3"/>
  <c r="B283" i="3"/>
  <c r="A283" i="3"/>
  <c r="T282" i="3"/>
  <c r="S282" i="3"/>
  <c r="R282" i="3"/>
  <c r="Q282" i="3"/>
  <c r="O282" i="3"/>
  <c r="M282" i="3"/>
  <c r="K282" i="3"/>
  <c r="J282" i="3"/>
  <c r="I282" i="3"/>
  <c r="H282" i="3"/>
  <c r="G282" i="3"/>
  <c r="F282" i="3"/>
  <c r="E282" i="3"/>
  <c r="D282" i="3"/>
  <c r="C282" i="3"/>
  <c r="B282" i="3"/>
  <c r="A282" i="3"/>
  <c r="T281" i="3"/>
  <c r="S281" i="3"/>
  <c r="R281" i="3"/>
  <c r="Q281" i="3"/>
  <c r="O281" i="3"/>
  <c r="K281" i="3"/>
  <c r="J281" i="3"/>
  <c r="I281" i="3"/>
  <c r="H281" i="3"/>
  <c r="G281" i="3"/>
  <c r="F281" i="3"/>
  <c r="E281" i="3"/>
  <c r="D281" i="3"/>
  <c r="C281" i="3"/>
  <c r="B281" i="3"/>
  <c r="A281" i="3"/>
  <c r="T280" i="3"/>
  <c r="S280" i="3"/>
  <c r="R280" i="3"/>
  <c r="Q280" i="3"/>
  <c r="J280" i="3"/>
  <c r="I280" i="3"/>
  <c r="H280" i="3"/>
  <c r="G280" i="3"/>
  <c r="F280" i="3"/>
  <c r="E280" i="3"/>
  <c r="D280" i="3"/>
  <c r="C280" i="3"/>
  <c r="B280" i="3"/>
  <c r="A280" i="3"/>
  <c r="T279" i="3"/>
  <c r="S279" i="3"/>
  <c r="R279" i="3"/>
  <c r="Q279" i="3"/>
  <c r="O279" i="3"/>
  <c r="M279" i="3"/>
  <c r="K279" i="3"/>
  <c r="J279" i="3"/>
  <c r="I279" i="3"/>
  <c r="H279" i="3"/>
  <c r="G279" i="3"/>
  <c r="F279" i="3"/>
  <c r="E279" i="3"/>
  <c r="D279" i="3"/>
  <c r="C279" i="3"/>
  <c r="B279" i="3"/>
  <c r="A279" i="3"/>
  <c r="T278" i="3"/>
  <c r="S278" i="3"/>
  <c r="R278" i="3"/>
  <c r="Q278" i="3"/>
  <c r="O278" i="3"/>
  <c r="M278" i="3"/>
  <c r="K278" i="3"/>
  <c r="J278" i="3"/>
  <c r="I278" i="3"/>
  <c r="H278" i="3"/>
  <c r="G278" i="3"/>
  <c r="F278" i="3"/>
  <c r="E278" i="3"/>
  <c r="D278" i="3"/>
  <c r="C278" i="3"/>
  <c r="B278" i="3"/>
  <c r="A278" i="3"/>
  <c r="T277" i="3"/>
  <c r="S277" i="3"/>
  <c r="R277" i="3"/>
  <c r="Q277" i="3"/>
  <c r="O277" i="3"/>
  <c r="M277" i="3"/>
  <c r="K277" i="3"/>
  <c r="J277" i="3"/>
  <c r="I277" i="3"/>
  <c r="H277" i="3"/>
  <c r="G277" i="3"/>
  <c r="F277" i="3"/>
  <c r="E277" i="3"/>
  <c r="D277" i="3"/>
  <c r="C277" i="3"/>
  <c r="B277" i="3"/>
  <c r="A277" i="3"/>
  <c r="T276" i="3"/>
  <c r="S276" i="3"/>
  <c r="R276" i="3"/>
  <c r="Q276" i="3"/>
  <c r="J276" i="3"/>
  <c r="I276" i="3"/>
  <c r="H276" i="3"/>
  <c r="G276" i="3"/>
  <c r="F276" i="3"/>
  <c r="E276" i="3"/>
  <c r="D276" i="3"/>
  <c r="C276" i="3"/>
  <c r="B276" i="3"/>
  <c r="A276" i="3"/>
  <c r="T275" i="3"/>
  <c r="S275" i="3"/>
  <c r="R275" i="3"/>
  <c r="Q275" i="3"/>
  <c r="O275" i="3"/>
  <c r="M275" i="3"/>
  <c r="K275" i="3"/>
  <c r="J275" i="3"/>
  <c r="I275" i="3"/>
  <c r="H275" i="3"/>
  <c r="G275" i="3"/>
  <c r="F275" i="3"/>
  <c r="E275" i="3"/>
  <c r="D275" i="3"/>
  <c r="C275" i="3"/>
  <c r="B275" i="3"/>
  <c r="A275" i="3"/>
  <c r="T274" i="3"/>
  <c r="S274" i="3"/>
  <c r="R274" i="3"/>
  <c r="Q274" i="3"/>
  <c r="O274" i="3"/>
  <c r="M274" i="3"/>
  <c r="K274" i="3"/>
  <c r="J274" i="3"/>
  <c r="I274" i="3"/>
  <c r="H274" i="3"/>
  <c r="G274" i="3"/>
  <c r="F274" i="3"/>
  <c r="E274" i="3"/>
  <c r="D274" i="3"/>
  <c r="C274" i="3"/>
  <c r="B274" i="3"/>
  <c r="A274" i="3"/>
  <c r="T273" i="3"/>
  <c r="S273" i="3"/>
  <c r="R273" i="3"/>
  <c r="Q273" i="3"/>
  <c r="O273" i="3"/>
  <c r="M273" i="3"/>
  <c r="K273" i="3"/>
  <c r="J273" i="3"/>
  <c r="I273" i="3"/>
  <c r="H273" i="3"/>
  <c r="G273" i="3"/>
  <c r="F273" i="3"/>
  <c r="E273" i="3"/>
  <c r="D273" i="3"/>
  <c r="C273" i="3"/>
  <c r="B273" i="3"/>
  <c r="A273" i="3"/>
  <c r="T272" i="3"/>
  <c r="S272" i="3"/>
  <c r="R272" i="3"/>
  <c r="Q272" i="3"/>
  <c r="O272" i="3"/>
  <c r="M272" i="3"/>
  <c r="K272" i="3"/>
  <c r="J272" i="3"/>
  <c r="I272" i="3"/>
  <c r="H272" i="3"/>
  <c r="G272" i="3"/>
  <c r="F272" i="3"/>
  <c r="E272" i="3"/>
  <c r="D272" i="3"/>
  <c r="C272" i="3"/>
  <c r="B272" i="3"/>
  <c r="A272" i="3"/>
  <c r="T271" i="3"/>
  <c r="S271" i="3"/>
  <c r="R271" i="3"/>
  <c r="Q271" i="3"/>
  <c r="O271" i="3"/>
  <c r="M271" i="3"/>
  <c r="K271" i="3"/>
  <c r="J271" i="3"/>
  <c r="I271" i="3"/>
  <c r="H271" i="3"/>
  <c r="G271" i="3"/>
  <c r="F271" i="3"/>
  <c r="E271" i="3"/>
  <c r="D271" i="3"/>
  <c r="C271" i="3"/>
  <c r="B271" i="3"/>
  <c r="A271" i="3"/>
  <c r="T270" i="3"/>
  <c r="S270" i="3"/>
  <c r="R270" i="3"/>
  <c r="Q270" i="3"/>
  <c r="O270" i="3"/>
  <c r="M270" i="3"/>
  <c r="K270" i="3"/>
  <c r="J270" i="3"/>
  <c r="I270" i="3"/>
  <c r="H270" i="3"/>
  <c r="G270" i="3"/>
  <c r="F270" i="3"/>
  <c r="E270" i="3"/>
  <c r="D270" i="3"/>
  <c r="C270" i="3"/>
  <c r="B270" i="3"/>
  <c r="A270" i="3"/>
  <c r="T269" i="3"/>
  <c r="S269" i="3"/>
  <c r="R269" i="3"/>
  <c r="Q269" i="3"/>
  <c r="J269" i="3"/>
  <c r="I269" i="3"/>
  <c r="H269" i="3"/>
  <c r="G269" i="3"/>
  <c r="F269" i="3"/>
  <c r="E269" i="3"/>
  <c r="D269" i="3"/>
  <c r="C269" i="3"/>
  <c r="B269" i="3"/>
  <c r="A269" i="3"/>
  <c r="T268" i="3"/>
  <c r="S268" i="3"/>
  <c r="R268" i="3"/>
  <c r="Q268" i="3"/>
  <c r="O268" i="3"/>
  <c r="M268" i="3"/>
  <c r="K268" i="3"/>
  <c r="J268" i="3"/>
  <c r="I268" i="3"/>
  <c r="H268" i="3"/>
  <c r="G268" i="3"/>
  <c r="F268" i="3"/>
  <c r="E268" i="3"/>
  <c r="D268" i="3"/>
  <c r="C268" i="3"/>
  <c r="B268" i="3"/>
  <c r="A268" i="3"/>
  <c r="T267" i="3"/>
  <c r="S267" i="3"/>
  <c r="R267" i="3"/>
  <c r="Q267" i="3"/>
  <c r="J267" i="3"/>
  <c r="I267" i="3"/>
  <c r="H267" i="3"/>
  <c r="G267" i="3"/>
  <c r="F267" i="3"/>
  <c r="E267" i="3"/>
  <c r="D267" i="3"/>
  <c r="C267" i="3"/>
  <c r="B267" i="3"/>
  <c r="A267" i="3"/>
  <c r="T266" i="3"/>
  <c r="S266" i="3"/>
  <c r="R266" i="3"/>
  <c r="Q266" i="3"/>
  <c r="O266" i="3"/>
  <c r="K266" i="3"/>
  <c r="J266" i="3"/>
  <c r="I266" i="3"/>
  <c r="H266" i="3"/>
  <c r="G266" i="3"/>
  <c r="F266" i="3"/>
  <c r="E266" i="3"/>
  <c r="D266" i="3"/>
  <c r="C266" i="3"/>
  <c r="B266" i="3"/>
  <c r="A266" i="3"/>
  <c r="T265" i="3"/>
  <c r="S265" i="3"/>
  <c r="R265" i="3"/>
  <c r="Q265" i="3"/>
  <c r="J265" i="3"/>
  <c r="I265" i="3"/>
  <c r="H265" i="3"/>
  <c r="G265" i="3"/>
  <c r="F265" i="3"/>
  <c r="E265" i="3"/>
  <c r="D265" i="3"/>
  <c r="C265" i="3"/>
  <c r="B265" i="3"/>
  <c r="A265" i="3"/>
  <c r="T264" i="3"/>
  <c r="S264" i="3"/>
  <c r="R264" i="3"/>
  <c r="Q264" i="3"/>
  <c r="O264" i="3"/>
  <c r="M264" i="3"/>
  <c r="K264" i="3"/>
  <c r="J264" i="3"/>
  <c r="I264" i="3"/>
  <c r="H264" i="3"/>
  <c r="G264" i="3"/>
  <c r="F264" i="3"/>
  <c r="E264" i="3"/>
  <c r="D264" i="3"/>
  <c r="C264" i="3"/>
  <c r="B264" i="3"/>
  <c r="A264" i="3"/>
  <c r="T263" i="3"/>
  <c r="S263" i="3"/>
  <c r="R263" i="3"/>
  <c r="Q263" i="3"/>
  <c r="O263" i="3"/>
  <c r="M263" i="3"/>
  <c r="K263" i="3"/>
  <c r="J263" i="3"/>
  <c r="I263" i="3"/>
  <c r="H263" i="3"/>
  <c r="G263" i="3"/>
  <c r="F263" i="3"/>
  <c r="E263" i="3"/>
  <c r="D263" i="3"/>
  <c r="C263" i="3"/>
  <c r="B263" i="3"/>
  <c r="A263" i="3"/>
  <c r="T262" i="3"/>
  <c r="S262" i="3"/>
  <c r="R262" i="3"/>
  <c r="Q262" i="3"/>
  <c r="O262" i="3"/>
  <c r="K262" i="3"/>
  <c r="J262" i="3"/>
  <c r="I262" i="3"/>
  <c r="H262" i="3"/>
  <c r="G262" i="3"/>
  <c r="F262" i="3"/>
  <c r="E262" i="3"/>
  <c r="D262" i="3"/>
  <c r="C262" i="3"/>
  <c r="B262" i="3"/>
  <c r="A262" i="3"/>
  <c r="T261" i="3"/>
  <c r="S261" i="3"/>
  <c r="R261" i="3"/>
  <c r="Q261" i="3"/>
  <c r="J261" i="3"/>
  <c r="I261" i="3"/>
  <c r="H261" i="3"/>
  <c r="G261" i="3"/>
  <c r="F261" i="3"/>
  <c r="E261" i="3"/>
  <c r="D261" i="3"/>
  <c r="C261" i="3"/>
  <c r="B261" i="3"/>
  <c r="A261" i="3"/>
  <c r="T260" i="3"/>
  <c r="S260" i="3"/>
  <c r="R260" i="3"/>
  <c r="Q260" i="3"/>
  <c r="J260" i="3"/>
  <c r="I260" i="3"/>
  <c r="H260" i="3"/>
  <c r="G260" i="3"/>
  <c r="F260" i="3"/>
  <c r="E260" i="3"/>
  <c r="D260" i="3"/>
  <c r="C260" i="3"/>
  <c r="B260" i="3"/>
  <c r="A260" i="3"/>
  <c r="T259" i="3"/>
  <c r="S259" i="3"/>
  <c r="R259" i="3"/>
  <c r="Q259" i="3"/>
  <c r="J259" i="3"/>
  <c r="I259" i="3"/>
  <c r="H259" i="3"/>
  <c r="G259" i="3"/>
  <c r="F259" i="3"/>
  <c r="E259" i="3"/>
  <c r="D259" i="3"/>
  <c r="C259" i="3"/>
  <c r="B259" i="3"/>
  <c r="A259" i="3"/>
  <c r="T258" i="3"/>
  <c r="S258" i="3"/>
  <c r="R258" i="3"/>
  <c r="Q258" i="3"/>
  <c r="O258" i="3"/>
  <c r="M258" i="3"/>
  <c r="K258" i="3"/>
  <c r="J258" i="3"/>
  <c r="I258" i="3"/>
  <c r="H258" i="3"/>
  <c r="G258" i="3"/>
  <c r="F258" i="3"/>
  <c r="E258" i="3"/>
  <c r="D258" i="3"/>
  <c r="C258" i="3"/>
  <c r="B258" i="3"/>
  <c r="A258" i="3"/>
  <c r="T257" i="3"/>
  <c r="S257" i="3"/>
  <c r="R257" i="3"/>
  <c r="Q257" i="3"/>
  <c r="O257" i="3"/>
  <c r="M257" i="3"/>
  <c r="K257" i="3"/>
  <c r="J257" i="3"/>
  <c r="I257" i="3"/>
  <c r="H257" i="3"/>
  <c r="G257" i="3"/>
  <c r="F257" i="3"/>
  <c r="E257" i="3"/>
  <c r="D257" i="3"/>
  <c r="C257" i="3"/>
  <c r="B257" i="3"/>
  <c r="A257" i="3"/>
  <c r="T256" i="3"/>
  <c r="S256" i="3"/>
  <c r="R256" i="3"/>
  <c r="Q256" i="3"/>
  <c r="J256" i="3"/>
  <c r="I256" i="3"/>
  <c r="H256" i="3"/>
  <c r="G256" i="3"/>
  <c r="F256" i="3"/>
  <c r="E256" i="3"/>
  <c r="D256" i="3"/>
  <c r="C256" i="3"/>
  <c r="B256" i="3"/>
  <c r="A256" i="3"/>
  <c r="T255" i="3"/>
  <c r="S255" i="3"/>
  <c r="R255" i="3"/>
  <c r="Q255" i="3"/>
  <c r="K255" i="3"/>
  <c r="J255" i="3"/>
  <c r="I255" i="3"/>
  <c r="H255" i="3"/>
  <c r="G255" i="3"/>
  <c r="F255" i="3"/>
  <c r="E255" i="3"/>
  <c r="D255" i="3"/>
  <c r="C255" i="3"/>
  <c r="B255" i="3"/>
  <c r="A255" i="3"/>
  <c r="T254" i="3"/>
  <c r="S254" i="3"/>
  <c r="R254" i="3"/>
  <c r="Q254" i="3"/>
  <c r="O254" i="3"/>
  <c r="M254" i="3"/>
  <c r="K254" i="3"/>
  <c r="J254" i="3"/>
  <c r="I254" i="3"/>
  <c r="H254" i="3"/>
  <c r="G254" i="3"/>
  <c r="F254" i="3"/>
  <c r="E254" i="3"/>
  <c r="D254" i="3"/>
  <c r="C254" i="3"/>
  <c r="B254" i="3"/>
  <c r="A254" i="3"/>
  <c r="T253" i="3"/>
  <c r="S253" i="3"/>
  <c r="R253" i="3"/>
  <c r="Q253" i="3"/>
  <c r="J253" i="3"/>
  <c r="I253" i="3"/>
  <c r="H253" i="3"/>
  <c r="G253" i="3"/>
  <c r="F253" i="3"/>
  <c r="E253" i="3"/>
  <c r="D253" i="3"/>
  <c r="C253" i="3"/>
  <c r="B253" i="3"/>
  <c r="A253" i="3"/>
  <c r="T252" i="3"/>
  <c r="S252" i="3"/>
  <c r="R252" i="3"/>
  <c r="Q252" i="3"/>
  <c r="K252" i="3"/>
  <c r="J252" i="3"/>
  <c r="I252" i="3"/>
  <c r="H252" i="3"/>
  <c r="G252" i="3"/>
  <c r="F252" i="3"/>
  <c r="E252" i="3"/>
  <c r="D252" i="3"/>
  <c r="C252" i="3"/>
  <c r="B252" i="3"/>
  <c r="A252" i="3"/>
  <c r="T251" i="3"/>
  <c r="S251" i="3"/>
  <c r="R251" i="3"/>
  <c r="Q251" i="3"/>
  <c r="O251" i="3"/>
  <c r="K251" i="3"/>
  <c r="J251" i="3"/>
  <c r="I251" i="3"/>
  <c r="H251" i="3"/>
  <c r="G251" i="3"/>
  <c r="F251" i="3"/>
  <c r="E251" i="3"/>
  <c r="D251" i="3"/>
  <c r="C251" i="3"/>
  <c r="B251" i="3"/>
  <c r="A251" i="3"/>
  <c r="T250" i="3"/>
  <c r="S250" i="3"/>
  <c r="R250" i="3"/>
  <c r="Q250" i="3"/>
  <c r="O250" i="3"/>
  <c r="M250" i="3"/>
  <c r="K250" i="3"/>
  <c r="J250" i="3"/>
  <c r="I250" i="3"/>
  <c r="H250" i="3"/>
  <c r="G250" i="3"/>
  <c r="F250" i="3"/>
  <c r="E250" i="3"/>
  <c r="D250" i="3"/>
  <c r="C250" i="3"/>
  <c r="B250" i="3"/>
  <c r="A250" i="3"/>
  <c r="T249" i="3"/>
  <c r="S249" i="3"/>
  <c r="R249" i="3"/>
  <c r="Q249" i="3"/>
  <c r="J249" i="3"/>
  <c r="I249" i="3"/>
  <c r="H249" i="3"/>
  <c r="G249" i="3"/>
  <c r="F249" i="3"/>
  <c r="E249" i="3"/>
  <c r="D249" i="3"/>
  <c r="C249" i="3"/>
  <c r="B249" i="3"/>
  <c r="A249" i="3"/>
  <c r="T248" i="3"/>
  <c r="S248" i="3"/>
  <c r="R248" i="3"/>
  <c r="Q248" i="3"/>
  <c r="O248" i="3"/>
  <c r="K248" i="3"/>
  <c r="J248" i="3"/>
  <c r="I248" i="3"/>
  <c r="H248" i="3"/>
  <c r="G248" i="3"/>
  <c r="F248" i="3"/>
  <c r="E248" i="3"/>
  <c r="D248" i="3"/>
  <c r="C248" i="3"/>
  <c r="B248" i="3"/>
  <c r="A248" i="3"/>
  <c r="T247" i="3"/>
  <c r="S247" i="3"/>
  <c r="R247" i="3"/>
  <c r="Q247" i="3"/>
  <c r="K247" i="3"/>
  <c r="J247" i="3"/>
  <c r="I247" i="3"/>
  <c r="H247" i="3"/>
  <c r="G247" i="3"/>
  <c r="F247" i="3"/>
  <c r="E247" i="3"/>
  <c r="D247" i="3"/>
  <c r="C247" i="3"/>
  <c r="B247" i="3"/>
  <c r="A247" i="3"/>
  <c r="T246" i="3"/>
  <c r="S246" i="3"/>
  <c r="R246" i="3"/>
  <c r="Q246" i="3"/>
  <c r="O246" i="3"/>
  <c r="M246" i="3"/>
  <c r="K246" i="3"/>
  <c r="J246" i="3"/>
  <c r="I246" i="3"/>
  <c r="H246" i="3"/>
  <c r="G246" i="3"/>
  <c r="F246" i="3"/>
  <c r="E246" i="3"/>
  <c r="D246" i="3"/>
  <c r="C246" i="3"/>
  <c r="B246" i="3"/>
  <c r="A246" i="3"/>
  <c r="T245" i="3"/>
  <c r="S245" i="3"/>
  <c r="R245" i="3"/>
  <c r="Q245" i="3"/>
  <c r="M245" i="3"/>
  <c r="K245" i="3"/>
  <c r="J245" i="3"/>
  <c r="I245" i="3"/>
  <c r="H245" i="3"/>
  <c r="G245" i="3"/>
  <c r="F245" i="3"/>
  <c r="E245" i="3"/>
  <c r="D245" i="3"/>
  <c r="C245" i="3"/>
  <c r="B245" i="3"/>
  <c r="A245" i="3"/>
  <c r="T244" i="3"/>
  <c r="S244" i="3"/>
  <c r="R244" i="3"/>
  <c r="Q244" i="3"/>
  <c r="J244" i="3"/>
  <c r="I244" i="3"/>
  <c r="H244" i="3"/>
  <c r="G244" i="3"/>
  <c r="F244" i="3"/>
  <c r="E244" i="3"/>
  <c r="D244" i="3"/>
  <c r="C244" i="3"/>
  <c r="B244" i="3"/>
  <c r="A244" i="3"/>
  <c r="T243" i="3"/>
  <c r="S243" i="3"/>
  <c r="R243" i="3"/>
  <c r="Q243" i="3"/>
  <c r="J243" i="3"/>
  <c r="I243" i="3"/>
  <c r="H243" i="3"/>
  <c r="G243" i="3"/>
  <c r="F243" i="3"/>
  <c r="E243" i="3"/>
  <c r="D243" i="3"/>
  <c r="C243" i="3"/>
  <c r="B243" i="3"/>
  <c r="A243" i="3"/>
  <c r="T242" i="3"/>
  <c r="S242" i="3"/>
  <c r="R242" i="3"/>
  <c r="Q242" i="3"/>
  <c r="K242" i="3"/>
  <c r="J242" i="3"/>
  <c r="I242" i="3"/>
  <c r="H242" i="3"/>
  <c r="G242" i="3"/>
  <c r="F242" i="3"/>
  <c r="E242" i="3"/>
  <c r="D242" i="3"/>
  <c r="C242" i="3"/>
  <c r="B242" i="3"/>
  <c r="A242" i="3"/>
  <c r="T241" i="3"/>
  <c r="S241" i="3"/>
  <c r="R241" i="3"/>
  <c r="Q241" i="3"/>
  <c r="O241" i="3"/>
  <c r="K241" i="3"/>
  <c r="J241" i="3"/>
  <c r="I241" i="3"/>
  <c r="H241" i="3"/>
  <c r="G241" i="3"/>
  <c r="F241" i="3"/>
  <c r="E241" i="3"/>
  <c r="D241" i="3"/>
  <c r="C241" i="3"/>
  <c r="B241" i="3"/>
  <c r="A241" i="3"/>
  <c r="T240" i="3"/>
  <c r="S240" i="3"/>
  <c r="R240" i="3"/>
  <c r="Q240" i="3"/>
  <c r="O240" i="3"/>
  <c r="M240" i="3"/>
  <c r="K240" i="3"/>
  <c r="J240" i="3"/>
  <c r="I240" i="3"/>
  <c r="H240" i="3"/>
  <c r="G240" i="3"/>
  <c r="F240" i="3"/>
  <c r="E240" i="3"/>
  <c r="D240" i="3"/>
  <c r="C240" i="3"/>
  <c r="B240" i="3"/>
  <c r="A240" i="3"/>
  <c r="T239" i="3"/>
  <c r="S239" i="3"/>
  <c r="R239" i="3"/>
  <c r="Q239" i="3"/>
  <c r="M239" i="3"/>
  <c r="K239" i="3"/>
  <c r="J239" i="3"/>
  <c r="I239" i="3"/>
  <c r="H239" i="3"/>
  <c r="G239" i="3"/>
  <c r="F239" i="3"/>
  <c r="E239" i="3"/>
  <c r="D239" i="3"/>
  <c r="C239" i="3"/>
  <c r="B239" i="3"/>
  <c r="A239" i="3"/>
  <c r="T238" i="3"/>
  <c r="S238" i="3"/>
  <c r="R238" i="3"/>
  <c r="Q238" i="3"/>
  <c r="K238" i="3"/>
  <c r="J238" i="3"/>
  <c r="I238" i="3"/>
  <c r="H238" i="3"/>
  <c r="G238" i="3"/>
  <c r="F238" i="3"/>
  <c r="E238" i="3"/>
  <c r="D238" i="3"/>
  <c r="C238" i="3"/>
  <c r="B238" i="3"/>
  <c r="A238" i="3"/>
  <c r="T237" i="3"/>
  <c r="S237" i="3"/>
  <c r="R237" i="3"/>
  <c r="Q237" i="3"/>
  <c r="K237" i="3"/>
  <c r="J237" i="3"/>
  <c r="I237" i="3"/>
  <c r="H237" i="3"/>
  <c r="G237" i="3"/>
  <c r="F237" i="3"/>
  <c r="E237" i="3"/>
  <c r="D237" i="3"/>
  <c r="C237" i="3"/>
  <c r="B237" i="3"/>
  <c r="A237" i="3"/>
  <c r="T236" i="3"/>
  <c r="S236" i="3"/>
  <c r="R236" i="3"/>
  <c r="Q236" i="3"/>
  <c r="K236" i="3"/>
  <c r="J236" i="3"/>
  <c r="I236" i="3"/>
  <c r="H236" i="3"/>
  <c r="G236" i="3"/>
  <c r="F236" i="3"/>
  <c r="E236" i="3"/>
  <c r="D236" i="3"/>
  <c r="C236" i="3"/>
  <c r="B236" i="3"/>
  <c r="A236" i="3"/>
  <c r="T235" i="3"/>
  <c r="S235" i="3"/>
  <c r="R235" i="3"/>
  <c r="Q235" i="3"/>
  <c r="O235" i="3"/>
  <c r="K235" i="3"/>
  <c r="J235" i="3"/>
  <c r="I235" i="3"/>
  <c r="H235" i="3"/>
  <c r="G235" i="3"/>
  <c r="F235" i="3"/>
  <c r="E235" i="3"/>
  <c r="D235" i="3"/>
  <c r="C235" i="3"/>
  <c r="B235" i="3"/>
  <c r="A235" i="3"/>
  <c r="T234" i="3"/>
  <c r="S234" i="3"/>
  <c r="R234" i="3"/>
  <c r="Q234" i="3"/>
  <c r="O234" i="3"/>
  <c r="K234" i="3"/>
  <c r="J234" i="3"/>
  <c r="I234" i="3"/>
  <c r="H234" i="3"/>
  <c r="G234" i="3"/>
  <c r="F234" i="3"/>
  <c r="E234" i="3"/>
  <c r="D234" i="3"/>
  <c r="C234" i="3"/>
  <c r="B234" i="3"/>
  <c r="A234" i="3"/>
  <c r="T233" i="3"/>
  <c r="S233" i="3"/>
  <c r="R233" i="3"/>
  <c r="Q233" i="3"/>
  <c r="O233" i="3"/>
  <c r="K233" i="3"/>
  <c r="J233" i="3"/>
  <c r="I233" i="3"/>
  <c r="H233" i="3"/>
  <c r="G233" i="3"/>
  <c r="F233" i="3"/>
  <c r="E233" i="3"/>
  <c r="D233" i="3"/>
  <c r="C233" i="3"/>
  <c r="B233" i="3"/>
  <c r="A233" i="3"/>
  <c r="T232" i="3"/>
  <c r="S232" i="3"/>
  <c r="R232" i="3"/>
  <c r="Q232" i="3"/>
  <c r="K232" i="3"/>
  <c r="J232" i="3"/>
  <c r="I232" i="3"/>
  <c r="H232" i="3"/>
  <c r="G232" i="3"/>
  <c r="F232" i="3"/>
  <c r="E232" i="3"/>
  <c r="D232" i="3"/>
  <c r="C232" i="3"/>
  <c r="B232" i="3"/>
  <c r="A232" i="3"/>
  <c r="T231" i="3"/>
  <c r="S231" i="3"/>
  <c r="R231" i="3"/>
  <c r="Q231" i="3"/>
  <c r="O231" i="3"/>
  <c r="M231" i="3"/>
  <c r="K231" i="3"/>
  <c r="J231" i="3"/>
  <c r="I231" i="3"/>
  <c r="H231" i="3"/>
  <c r="G231" i="3"/>
  <c r="F231" i="3"/>
  <c r="E231" i="3"/>
  <c r="D231" i="3"/>
  <c r="C231" i="3"/>
  <c r="B231" i="3"/>
  <c r="A231" i="3"/>
  <c r="T230" i="3"/>
  <c r="S230" i="3"/>
  <c r="R230" i="3"/>
  <c r="Q230" i="3"/>
  <c r="M230" i="3"/>
  <c r="K230" i="3"/>
  <c r="J230" i="3"/>
  <c r="I230" i="3"/>
  <c r="H230" i="3"/>
  <c r="G230" i="3"/>
  <c r="F230" i="3"/>
  <c r="E230" i="3"/>
  <c r="D230" i="3"/>
  <c r="C230" i="3"/>
  <c r="B230" i="3"/>
  <c r="A230" i="3"/>
  <c r="T229" i="3"/>
  <c r="S229" i="3"/>
  <c r="R229" i="3"/>
  <c r="Q229" i="3"/>
  <c r="K229" i="3"/>
  <c r="J229" i="3"/>
  <c r="I229" i="3"/>
  <c r="H229" i="3"/>
  <c r="G229" i="3"/>
  <c r="F229" i="3"/>
  <c r="E229" i="3"/>
  <c r="D229" i="3"/>
  <c r="C229" i="3"/>
  <c r="B229" i="3"/>
  <c r="A229" i="3"/>
  <c r="T228" i="3"/>
  <c r="S228" i="3"/>
  <c r="R228" i="3"/>
  <c r="Q228" i="3"/>
  <c r="J228" i="3"/>
  <c r="I228" i="3"/>
  <c r="H228" i="3"/>
  <c r="G228" i="3"/>
  <c r="F228" i="3"/>
  <c r="E228" i="3"/>
  <c r="D228" i="3"/>
  <c r="C228" i="3"/>
  <c r="B228" i="3"/>
  <c r="A228" i="3"/>
  <c r="T227" i="3"/>
  <c r="S227" i="3"/>
  <c r="R227" i="3"/>
  <c r="Q227" i="3"/>
  <c r="J227" i="3"/>
  <c r="I227" i="3"/>
  <c r="H227" i="3"/>
  <c r="G227" i="3"/>
  <c r="F227" i="3"/>
  <c r="E227" i="3"/>
  <c r="D227" i="3"/>
  <c r="C227" i="3"/>
  <c r="B227" i="3"/>
  <c r="A227" i="3"/>
  <c r="T226" i="3"/>
  <c r="S226" i="3"/>
  <c r="R226" i="3"/>
  <c r="Q226" i="3"/>
  <c r="M226" i="3"/>
  <c r="K226" i="3"/>
  <c r="J226" i="3"/>
  <c r="I226" i="3"/>
  <c r="H226" i="3"/>
  <c r="G226" i="3"/>
  <c r="F226" i="3"/>
  <c r="E226" i="3"/>
  <c r="D226" i="3"/>
  <c r="C226" i="3"/>
  <c r="B226" i="3"/>
  <c r="A226" i="3"/>
  <c r="T225" i="3"/>
  <c r="S225" i="3"/>
  <c r="R225" i="3"/>
  <c r="Q225" i="3"/>
  <c r="O225" i="3"/>
  <c r="K225" i="3"/>
  <c r="J225" i="3"/>
  <c r="I225" i="3"/>
  <c r="H225" i="3"/>
  <c r="G225" i="3"/>
  <c r="F225" i="3"/>
  <c r="E225" i="3"/>
  <c r="D225" i="3"/>
  <c r="C225" i="3"/>
  <c r="B225" i="3"/>
  <c r="A225" i="3"/>
  <c r="T224" i="3"/>
  <c r="S224" i="3"/>
  <c r="R224" i="3"/>
  <c r="Q224" i="3"/>
  <c r="J224" i="3"/>
  <c r="I224" i="3"/>
  <c r="H224" i="3"/>
  <c r="G224" i="3"/>
  <c r="F224" i="3"/>
  <c r="E224" i="3"/>
  <c r="D224" i="3"/>
  <c r="C224" i="3"/>
  <c r="B224" i="3"/>
  <c r="A224" i="3"/>
  <c r="T223" i="3"/>
  <c r="S223" i="3"/>
  <c r="R223" i="3"/>
  <c r="Q223" i="3"/>
  <c r="O223" i="3"/>
  <c r="M223" i="3"/>
  <c r="K223" i="3"/>
  <c r="J223" i="3"/>
  <c r="I223" i="3"/>
  <c r="H223" i="3"/>
  <c r="G223" i="3"/>
  <c r="F223" i="3"/>
  <c r="E223" i="3"/>
  <c r="D223" i="3"/>
  <c r="C223" i="3"/>
  <c r="B223" i="3"/>
  <c r="A223" i="3"/>
  <c r="T222" i="3"/>
  <c r="S222" i="3"/>
  <c r="R222" i="3"/>
  <c r="Q222" i="3"/>
  <c r="O222" i="3"/>
  <c r="M222" i="3"/>
  <c r="K222" i="3"/>
  <c r="J222" i="3"/>
  <c r="I222" i="3"/>
  <c r="H222" i="3"/>
  <c r="G222" i="3"/>
  <c r="F222" i="3"/>
  <c r="E222" i="3"/>
  <c r="D222" i="3"/>
  <c r="C222" i="3"/>
  <c r="B222" i="3"/>
  <c r="A222" i="3"/>
  <c r="T221" i="3"/>
  <c r="S221" i="3"/>
  <c r="R221" i="3"/>
  <c r="Q221" i="3"/>
  <c r="O221" i="3"/>
  <c r="K221" i="3"/>
  <c r="J221" i="3"/>
  <c r="I221" i="3"/>
  <c r="H221" i="3"/>
  <c r="G221" i="3"/>
  <c r="F221" i="3"/>
  <c r="E221" i="3"/>
  <c r="D221" i="3"/>
  <c r="C221" i="3"/>
  <c r="B221" i="3"/>
  <c r="A221" i="3"/>
  <c r="T220" i="3"/>
  <c r="S220" i="3"/>
  <c r="R220" i="3"/>
  <c r="Q220" i="3"/>
  <c r="J220" i="3"/>
  <c r="I220" i="3"/>
  <c r="H220" i="3"/>
  <c r="G220" i="3"/>
  <c r="F220" i="3"/>
  <c r="E220" i="3"/>
  <c r="D220" i="3"/>
  <c r="C220" i="3"/>
  <c r="B220" i="3"/>
  <c r="A220" i="3"/>
  <c r="T219" i="3"/>
  <c r="S219" i="3"/>
  <c r="R219" i="3"/>
  <c r="Q219" i="3"/>
  <c r="O219" i="3"/>
  <c r="M219" i="3"/>
  <c r="K219" i="3"/>
  <c r="J219" i="3"/>
  <c r="I219" i="3"/>
  <c r="H219" i="3"/>
  <c r="G219" i="3"/>
  <c r="F219" i="3"/>
  <c r="E219" i="3"/>
  <c r="D219" i="3"/>
  <c r="C219" i="3"/>
  <c r="B219" i="3"/>
  <c r="A219" i="3"/>
  <c r="T218" i="3"/>
  <c r="S218" i="3"/>
  <c r="R218" i="3"/>
  <c r="Q218" i="3"/>
  <c r="O218" i="3"/>
  <c r="M218" i="3"/>
  <c r="K218" i="3"/>
  <c r="J218" i="3"/>
  <c r="I218" i="3"/>
  <c r="H218" i="3"/>
  <c r="G218" i="3"/>
  <c r="F218" i="3"/>
  <c r="E218" i="3"/>
  <c r="D218" i="3"/>
  <c r="C218" i="3"/>
  <c r="B218" i="3"/>
  <c r="A218" i="3"/>
  <c r="T217" i="3"/>
  <c r="S217" i="3"/>
  <c r="R217" i="3"/>
  <c r="Q217" i="3"/>
  <c r="O217" i="3"/>
  <c r="M217" i="3"/>
  <c r="K217" i="3"/>
  <c r="J217" i="3"/>
  <c r="I217" i="3"/>
  <c r="H217" i="3"/>
  <c r="G217" i="3"/>
  <c r="F217" i="3"/>
  <c r="E217" i="3"/>
  <c r="D217" i="3"/>
  <c r="C217" i="3"/>
  <c r="B217" i="3"/>
  <c r="A217" i="3"/>
  <c r="T216" i="3"/>
  <c r="S216" i="3"/>
  <c r="R216" i="3"/>
  <c r="Q216" i="3"/>
  <c r="J216" i="3"/>
  <c r="I216" i="3"/>
  <c r="H216" i="3"/>
  <c r="G216" i="3"/>
  <c r="F216" i="3"/>
  <c r="E216" i="3"/>
  <c r="D216" i="3"/>
  <c r="C216" i="3"/>
  <c r="B216" i="3"/>
  <c r="A216" i="3"/>
  <c r="T215" i="3"/>
  <c r="S215" i="3"/>
  <c r="R215" i="3"/>
  <c r="Q215" i="3"/>
  <c r="O215" i="3"/>
  <c r="K215" i="3"/>
  <c r="J215" i="3"/>
  <c r="I215" i="3"/>
  <c r="H215" i="3"/>
  <c r="G215" i="3"/>
  <c r="F215" i="3"/>
  <c r="E215" i="3"/>
  <c r="D215" i="3"/>
  <c r="C215" i="3"/>
  <c r="B215" i="3"/>
  <c r="A215" i="3"/>
  <c r="T214" i="3"/>
  <c r="S214" i="3"/>
  <c r="R214" i="3"/>
  <c r="Q214" i="3"/>
  <c r="K214" i="3"/>
  <c r="J214" i="3"/>
  <c r="I214" i="3"/>
  <c r="H214" i="3"/>
  <c r="G214" i="3"/>
  <c r="F214" i="3"/>
  <c r="E214" i="3"/>
  <c r="D214" i="3"/>
  <c r="C214" i="3"/>
  <c r="B214" i="3"/>
  <c r="A214" i="3"/>
  <c r="T213" i="3"/>
  <c r="S213" i="3"/>
  <c r="R213" i="3"/>
  <c r="Q213" i="3"/>
  <c r="O213" i="3"/>
  <c r="M213" i="3"/>
  <c r="K213" i="3"/>
  <c r="J213" i="3"/>
  <c r="I213" i="3"/>
  <c r="H213" i="3"/>
  <c r="G213" i="3"/>
  <c r="F213" i="3"/>
  <c r="E213" i="3"/>
  <c r="D213" i="3"/>
  <c r="C213" i="3"/>
  <c r="B213" i="3"/>
  <c r="A213" i="3"/>
  <c r="T212" i="3"/>
  <c r="S212" i="3"/>
  <c r="R212" i="3"/>
  <c r="Q212" i="3"/>
  <c r="K212" i="3"/>
  <c r="J212" i="3"/>
  <c r="I212" i="3"/>
  <c r="H212" i="3"/>
  <c r="G212" i="3"/>
  <c r="F212" i="3"/>
  <c r="E212" i="3"/>
  <c r="D212" i="3"/>
  <c r="C212" i="3"/>
  <c r="B212" i="3"/>
  <c r="A212" i="3"/>
  <c r="T211" i="3"/>
  <c r="S211" i="3"/>
  <c r="R211" i="3"/>
  <c r="Q211" i="3"/>
  <c r="J211" i="3"/>
  <c r="I211" i="3"/>
  <c r="H211" i="3"/>
  <c r="G211" i="3"/>
  <c r="F211" i="3"/>
  <c r="E211" i="3"/>
  <c r="D211" i="3"/>
  <c r="C211" i="3"/>
  <c r="B211" i="3"/>
  <c r="A211" i="3"/>
  <c r="T210" i="3"/>
  <c r="S210" i="3"/>
  <c r="R210" i="3"/>
  <c r="Q210" i="3"/>
  <c r="J210" i="3"/>
  <c r="I210" i="3"/>
  <c r="H210" i="3"/>
  <c r="G210" i="3"/>
  <c r="F210" i="3"/>
  <c r="E210" i="3"/>
  <c r="D210" i="3"/>
  <c r="C210" i="3"/>
  <c r="B210" i="3"/>
  <c r="A210" i="3"/>
  <c r="T209" i="3"/>
  <c r="S209" i="3"/>
  <c r="R209" i="3"/>
  <c r="Q209" i="3"/>
  <c r="J209" i="3"/>
  <c r="I209" i="3"/>
  <c r="H209" i="3"/>
  <c r="G209" i="3"/>
  <c r="F209" i="3"/>
  <c r="E209" i="3"/>
  <c r="D209" i="3"/>
  <c r="C209" i="3"/>
  <c r="B209" i="3"/>
  <c r="A209" i="3"/>
  <c r="T208" i="3"/>
  <c r="S208" i="3"/>
  <c r="R208" i="3"/>
  <c r="Q208" i="3"/>
  <c r="J208" i="3"/>
  <c r="I208" i="3"/>
  <c r="H208" i="3"/>
  <c r="G208" i="3"/>
  <c r="F208" i="3"/>
  <c r="E208" i="3"/>
  <c r="D208" i="3"/>
  <c r="C208" i="3"/>
  <c r="B208" i="3"/>
  <c r="A208" i="3"/>
  <c r="T207" i="3"/>
  <c r="S207" i="3"/>
  <c r="R207" i="3"/>
  <c r="Q207" i="3"/>
  <c r="K207" i="3"/>
  <c r="J207" i="3"/>
  <c r="I207" i="3"/>
  <c r="H207" i="3"/>
  <c r="G207" i="3"/>
  <c r="F207" i="3"/>
  <c r="E207" i="3"/>
  <c r="D207" i="3"/>
  <c r="C207" i="3"/>
  <c r="B207" i="3"/>
  <c r="A207" i="3"/>
  <c r="T206" i="3"/>
  <c r="S206" i="3"/>
  <c r="R206" i="3"/>
  <c r="Q206" i="3"/>
  <c r="M206" i="3"/>
  <c r="K206" i="3"/>
  <c r="J206" i="3"/>
  <c r="I206" i="3"/>
  <c r="H206" i="3"/>
  <c r="G206" i="3"/>
  <c r="F206" i="3"/>
  <c r="E206" i="3"/>
  <c r="D206" i="3"/>
  <c r="C206" i="3"/>
  <c r="B206" i="3"/>
  <c r="A206" i="3"/>
  <c r="T205" i="3"/>
  <c r="S205" i="3"/>
  <c r="R205" i="3"/>
  <c r="Q205" i="3"/>
  <c r="O205" i="3"/>
  <c r="M205" i="3"/>
  <c r="K205" i="3"/>
  <c r="J205" i="3"/>
  <c r="I205" i="3"/>
  <c r="H205" i="3"/>
  <c r="G205" i="3"/>
  <c r="F205" i="3"/>
  <c r="E205" i="3"/>
  <c r="D205" i="3"/>
  <c r="C205" i="3"/>
  <c r="B205" i="3"/>
  <c r="A205" i="3"/>
  <c r="T204" i="3"/>
  <c r="S204" i="3"/>
  <c r="R204" i="3"/>
  <c r="Q204" i="3"/>
  <c r="J204" i="3"/>
  <c r="I204" i="3"/>
  <c r="H204" i="3"/>
  <c r="G204" i="3"/>
  <c r="F204" i="3"/>
  <c r="E204" i="3"/>
  <c r="D204" i="3"/>
  <c r="C204" i="3"/>
  <c r="B204" i="3"/>
  <c r="A204" i="3"/>
  <c r="T203" i="3"/>
  <c r="S203" i="3"/>
  <c r="R203" i="3"/>
  <c r="Q203" i="3"/>
  <c r="M203" i="3"/>
  <c r="K203" i="3"/>
  <c r="J203" i="3"/>
  <c r="I203" i="3"/>
  <c r="H203" i="3"/>
  <c r="G203" i="3"/>
  <c r="F203" i="3"/>
  <c r="E203" i="3"/>
  <c r="D203" i="3"/>
  <c r="C203" i="3"/>
  <c r="B203" i="3"/>
  <c r="A203" i="3"/>
  <c r="T202" i="3"/>
  <c r="S202" i="3"/>
  <c r="R202" i="3"/>
  <c r="Q202" i="3"/>
  <c r="O202" i="3"/>
  <c r="K202" i="3"/>
  <c r="J202" i="3"/>
  <c r="I202" i="3"/>
  <c r="H202" i="3"/>
  <c r="G202" i="3"/>
  <c r="F202" i="3"/>
  <c r="E202" i="3"/>
  <c r="D202" i="3"/>
  <c r="C202" i="3"/>
  <c r="B202" i="3"/>
  <c r="A202" i="3"/>
  <c r="T201" i="3"/>
  <c r="S201" i="3"/>
  <c r="R201" i="3"/>
  <c r="Q201" i="3"/>
  <c r="J201" i="3"/>
  <c r="I201" i="3"/>
  <c r="H201" i="3"/>
  <c r="G201" i="3"/>
  <c r="F201" i="3"/>
  <c r="E201" i="3"/>
  <c r="D201" i="3"/>
  <c r="C201" i="3"/>
  <c r="B201" i="3"/>
  <c r="A201" i="3"/>
  <c r="T200" i="3"/>
  <c r="S200" i="3"/>
  <c r="R200" i="3"/>
  <c r="Q200" i="3"/>
  <c r="O200" i="3"/>
  <c r="M200" i="3"/>
  <c r="K200" i="3"/>
  <c r="J200" i="3"/>
  <c r="I200" i="3"/>
  <c r="H200" i="3"/>
  <c r="G200" i="3"/>
  <c r="F200" i="3"/>
  <c r="E200" i="3"/>
  <c r="D200" i="3"/>
  <c r="C200" i="3"/>
  <c r="B200" i="3"/>
  <c r="A200" i="3"/>
  <c r="T199" i="3"/>
  <c r="S199" i="3"/>
  <c r="R199" i="3"/>
  <c r="Q199" i="3"/>
  <c r="K199" i="3"/>
  <c r="J199" i="3"/>
  <c r="I199" i="3"/>
  <c r="H199" i="3"/>
  <c r="G199" i="3"/>
  <c r="F199" i="3"/>
  <c r="E199" i="3"/>
  <c r="D199" i="3"/>
  <c r="C199" i="3"/>
  <c r="B199" i="3"/>
  <c r="A199" i="3"/>
  <c r="T198" i="3"/>
  <c r="S198" i="3"/>
  <c r="R198" i="3"/>
  <c r="Q198" i="3"/>
  <c r="J198" i="3"/>
  <c r="I198" i="3"/>
  <c r="H198" i="3"/>
  <c r="G198" i="3"/>
  <c r="F198" i="3"/>
  <c r="E198" i="3"/>
  <c r="D198" i="3"/>
  <c r="C198" i="3"/>
  <c r="B198" i="3"/>
  <c r="A198" i="3"/>
  <c r="T197" i="3"/>
  <c r="S197" i="3"/>
  <c r="R197" i="3"/>
  <c r="Q197" i="3"/>
  <c r="M197" i="3"/>
  <c r="K197" i="3"/>
  <c r="J197" i="3"/>
  <c r="I197" i="3"/>
  <c r="H197" i="3"/>
  <c r="G197" i="3"/>
  <c r="F197" i="3"/>
  <c r="E197" i="3"/>
  <c r="D197" i="3"/>
  <c r="C197" i="3"/>
  <c r="B197" i="3"/>
  <c r="A197" i="3"/>
  <c r="T196" i="3"/>
  <c r="S196" i="3"/>
  <c r="R196" i="3"/>
  <c r="Q196" i="3"/>
  <c r="J196" i="3"/>
  <c r="I196" i="3"/>
  <c r="H196" i="3"/>
  <c r="G196" i="3"/>
  <c r="F196" i="3"/>
  <c r="E196" i="3"/>
  <c r="D196" i="3"/>
  <c r="C196" i="3"/>
  <c r="B196" i="3"/>
  <c r="A196" i="3"/>
  <c r="T195" i="3"/>
  <c r="S195" i="3"/>
  <c r="R195" i="3"/>
  <c r="Q195" i="3"/>
  <c r="O195" i="3"/>
  <c r="K195" i="3"/>
  <c r="J195" i="3"/>
  <c r="I195" i="3"/>
  <c r="H195" i="3"/>
  <c r="G195" i="3"/>
  <c r="F195" i="3"/>
  <c r="E195" i="3"/>
  <c r="D195" i="3"/>
  <c r="C195" i="3"/>
  <c r="B195" i="3"/>
  <c r="A195" i="3"/>
  <c r="T194" i="3"/>
  <c r="S194" i="3"/>
  <c r="R194" i="3"/>
  <c r="Q194" i="3"/>
  <c r="O194" i="3"/>
  <c r="M194" i="3"/>
  <c r="K194" i="3"/>
  <c r="J194" i="3"/>
  <c r="I194" i="3"/>
  <c r="H194" i="3"/>
  <c r="G194" i="3"/>
  <c r="F194" i="3"/>
  <c r="E194" i="3"/>
  <c r="D194" i="3"/>
  <c r="C194" i="3"/>
  <c r="B194" i="3"/>
  <c r="A194" i="3"/>
  <c r="T193" i="3"/>
  <c r="S193" i="3"/>
  <c r="R193" i="3"/>
  <c r="Q193" i="3"/>
  <c r="J193" i="3"/>
  <c r="I193" i="3"/>
  <c r="H193" i="3"/>
  <c r="G193" i="3"/>
  <c r="F193" i="3"/>
  <c r="E193" i="3"/>
  <c r="D193" i="3"/>
  <c r="C193" i="3"/>
  <c r="B193" i="3"/>
  <c r="A193" i="3"/>
  <c r="T192" i="3"/>
  <c r="S192" i="3"/>
  <c r="R192" i="3"/>
  <c r="Q192" i="3"/>
  <c r="J192" i="3"/>
  <c r="I192" i="3"/>
  <c r="H192" i="3"/>
  <c r="G192" i="3"/>
  <c r="F192" i="3"/>
  <c r="E192" i="3"/>
  <c r="D192" i="3"/>
  <c r="C192" i="3"/>
  <c r="B192" i="3"/>
  <c r="A192" i="3"/>
  <c r="T191" i="3"/>
  <c r="S191" i="3"/>
  <c r="R191" i="3"/>
  <c r="Q191" i="3"/>
  <c r="J191" i="3"/>
  <c r="I191" i="3"/>
  <c r="H191" i="3"/>
  <c r="G191" i="3"/>
  <c r="F191" i="3"/>
  <c r="E191" i="3"/>
  <c r="D191" i="3"/>
  <c r="C191" i="3"/>
  <c r="B191" i="3"/>
  <c r="A191" i="3"/>
  <c r="T190" i="3"/>
  <c r="S190" i="3"/>
  <c r="R190" i="3"/>
  <c r="Q190" i="3"/>
  <c r="O190" i="3"/>
  <c r="K190" i="3"/>
  <c r="J190" i="3"/>
  <c r="I190" i="3"/>
  <c r="H190" i="3"/>
  <c r="G190" i="3"/>
  <c r="F190" i="3"/>
  <c r="E190" i="3"/>
  <c r="D190" i="3"/>
  <c r="C190" i="3"/>
  <c r="B190" i="3"/>
  <c r="A190" i="3"/>
  <c r="T189" i="3"/>
  <c r="S189" i="3"/>
  <c r="R189" i="3"/>
  <c r="Q189" i="3"/>
  <c r="J189" i="3"/>
  <c r="I189" i="3"/>
  <c r="H189" i="3"/>
  <c r="G189" i="3"/>
  <c r="F189" i="3"/>
  <c r="E189" i="3"/>
  <c r="D189" i="3"/>
  <c r="C189" i="3"/>
  <c r="B189" i="3"/>
  <c r="A189" i="3"/>
  <c r="T188" i="3"/>
  <c r="S188" i="3"/>
  <c r="R188" i="3"/>
  <c r="Q188" i="3"/>
  <c r="J188" i="3"/>
  <c r="I188" i="3"/>
  <c r="H188" i="3"/>
  <c r="G188" i="3"/>
  <c r="F188" i="3"/>
  <c r="E188" i="3"/>
  <c r="D188" i="3"/>
  <c r="C188" i="3"/>
  <c r="B188" i="3"/>
  <c r="A188" i="3"/>
  <c r="T187" i="3"/>
  <c r="S187" i="3"/>
  <c r="R187" i="3"/>
  <c r="Q187" i="3"/>
  <c r="J187" i="3"/>
  <c r="I187" i="3"/>
  <c r="H187" i="3"/>
  <c r="G187" i="3"/>
  <c r="F187" i="3"/>
  <c r="E187" i="3"/>
  <c r="D187" i="3"/>
  <c r="C187" i="3"/>
  <c r="B187" i="3"/>
  <c r="A187" i="3"/>
  <c r="T186" i="3"/>
  <c r="S186" i="3"/>
  <c r="R186" i="3"/>
  <c r="Q186" i="3"/>
  <c r="J186" i="3"/>
  <c r="I186" i="3"/>
  <c r="H186" i="3"/>
  <c r="G186" i="3"/>
  <c r="F186" i="3"/>
  <c r="E186" i="3"/>
  <c r="D186" i="3"/>
  <c r="C186" i="3"/>
  <c r="B186" i="3"/>
  <c r="A186" i="3"/>
  <c r="T185" i="3"/>
  <c r="S185" i="3"/>
  <c r="R185" i="3"/>
  <c r="Q185" i="3"/>
  <c r="J185" i="3"/>
  <c r="I185" i="3"/>
  <c r="H185" i="3"/>
  <c r="G185" i="3"/>
  <c r="F185" i="3"/>
  <c r="E185" i="3"/>
  <c r="D185" i="3"/>
  <c r="C185" i="3"/>
  <c r="B185" i="3"/>
  <c r="A185" i="3"/>
  <c r="T184" i="3"/>
  <c r="S184" i="3"/>
  <c r="R184" i="3"/>
  <c r="Q184" i="3"/>
  <c r="J184" i="3"/>
  <c r="I184" i="3"/>
  <c r="H184" i="3"/>
  <c r="G184" i="3"/>
  <c r="F184" i="3"/>
  <c r="E184" i="3"/>
  <c r="D184" i="3"/>
  <c r="C184" i="3"/>
  <c r="B184" i="3"/>
  <c r="A184" i="3"/>
  <c r="T183" i="3"/>
  <c r="S183" i="3"/>
  <c r="R183" i="3"/>
  <c r="Q183" i="3"/>
  <c r="J183" i="3"/>
  <c r="I183" i="3"/>
  <c r="H183" i="3"/>
  <c r="G183" i="3"/>
  <c r="F183" i="3"/>
  <c r="E183" i="3"/>
  <c r="D183" i="3"/>
  <c r="C183" i="3"/>
  <c r="B183" i="3"/>
  <c r="A183" i="3"/>
  <c r="T182" i="3"/>
  <c r="S182" i="3"/>
  <c r="R182" i="3"/>
  <c r="Q182" i="3"/>
  <c r="J182" i="3"/>
  <c r="I182" i="3"/>
  <c r="H182" i="3"/>
  <c r="G182" i="3"/>
  <c r="F182" i="3"/>
  <c r="E182" i="3"/>
  <c r="D182" i="3"/>
  <c r="C182" i="3"/>
  <c r="B182" i="3"/>
  <c r="A182" i="3"/>
  <c r="T181" i="3"/>
  <c r="S181" i="3"/>
  <c r="R181" i="3"/>
  <c r="Q181" i="3"/>
  <c r="O181" i="3"/>
  <c r="K181" i="3"/>
  <c r="J181" i="3"/>
  <c r="I181" i="3"/>
  <c r="H181" i="3"/>
  <c r="G181" i="3"/>
  <c r="F181" i="3"/>
  <c r="E181" i="3"/>
  <c r="D181" i="3"/>
  <c r="C181" i="3"/>
  <c r="B181" i="3"/>
  <c r="A181" i="3"/>
  <c r="T180" i="3"/>
  <c r="S180" i="3"/>
  <c r="R180" i="3"/>
  <c r="Q180" i="3"/>
  <c r="J180" i="3"/>
  <c r="I180" i="3"/>
  <c r="H180" i="3"/>
  <c r="G180" i="3"/>
  <c r="F180" i="3"/>
  <c r="E180" i="3"/>
  <c r="D180" i="3"/>
  <c r="C180" i="3"/>
  <c r="B180" i="3"/>
  <c r="A180" i="3"/>
  <c r="T179" i="3"/>
  <c r="S179" i="3"/>
  <c r="R179" i="3"/>
  <c r="Q179" i="3"/>
  <c r="J179" i="3"/>
  <c r="I179" i="3"/>
  <c r="H179" i="3"/>
  <c r="G179" i="3"/>
  <c r="F179" i="3"/>
  <c r="E179" i="3"/>
  <c r="D179" i="3"/>
  <c r="C179" i="3"/>
  <c r="B179" i="3"/>
  <c r="A179" i="3"/>
  <c r="T178" i="3"/>
  <c r="S178" i="3"/>
  <c r="R178" i="3"/>
  <c r="Q178" i="3"/>
  <c r="O178" i="3"/>
  <c r="K178" i="3"/>
  <c r="J178" i="3"/>
  <c r="I178" i="3"/>
  <c r="H178" i="3"/>
  <c r="G178" i="3"/>
  <c r="F178" i="3"/>
  <c r="E178" i="3"/>
  <c r="D178" i="3"/>
  <c r="C178" i="3"/>
  <c r="B178" i="3"/>
  <c r="A178" i="3"/>
  <c r="T177" i="3"/>
  <c r="S177" i="3"/>
  <c r="R177" i="3"/>
  <c r="Q177" i="3"/>
  <c r="O177" i="3"/>
  <c r="K177" i="3"/>
  <c r="J177" i="3"/>
  <c r="I177" i="3"/>
  <c r="H177" i="3"/>
  <c r="G177" i="3"/>
  <c r="F177" i="3"/>
  <c r="E177" i="3"/>
  <c r="D177" i="3"/>
  <c r="C177" i="3"/>
  <c r="B177" i="3"/>
  <c r="A177" i="3"/>
  <c r="T176" i="3"/>
  <c r="S176" i="3"/>
  <c r="R176" i="3"/>
  <c r="Q176" i="3"/>
  <c r="J176" i="3"/>
  <c r="I176" i="3"/>
  <c r="H176" i="3"/>
  <c r="G176" i="3"/>
  <c r="F176" i="3"/>
  <c r="E176" i="3"/>
  <c r="D176" i="3"/>
  <c r="C176" i="3"/>
  <c r="B176" i="3"/>
  <c r="A176" i="3"/>
  <c r="T175" i="3"/>
  <c r="S175" i="3"/>
  <c r="R175" i="3"/>
  <c r="Q175" i="3"/>
  <c r="J175" i="3"/>
  <c r="I175" i="3"/>
  <c r="H175" i="3"/>
  <c r="G175" i="3"/>
  <c r="F175" i="3"/>
  <c r="E175" i="3"/>
  <c r="D175" i="3"/>
  <c r="C175" i="3"/>
  <c r="B175" i="3"/>
  <c r="A175" i="3"/>
  <c r="T174" i="3"/>
  <c r="S174" i="3"/>
  <c r="R174" i="3"/>
  <c r="Q174" i="3"/>
  <c r="O174" i="3"/>
  <c r="K174" i="3"/>
  <c r="J174" i="3"/>
  <c r="I174" i="3"/>
  <c r="H174" i="3"/>
  <c r="G174" i="3"/>
  <c r="F174" i="3"/>
  <c r="E174" i="3"/>
  <c r="D174" i="3"/>
  <c r="C174" i="3"/>
  <c r="B174" i="3"/>
  <c r="A174" i="3"/>
  <c r="T173" i="3"/>
  <c r="S173" i="3"/>
  <c r="R173" i="3"/>
  <c r="Q173" i="3"/>
  <c r="O173" i="3"/>
  <c r="M173" i="3"/>
  <c r="K173" i="3"/>
  <c r="J173" i="3"/>
  <c r="I173" i="3"/>
  <c r="H173" i="3"/>
  <c r="G173" i="3"/>
  <c r="F173" i="3"/>
  <c r="E173" i="3"/>
  <c r="D173" i="3"/>
  <c r="C173" i="3"/>
  <c r="B173" i="3"/>
  <c r="A173" i="3"/>
  <c r="T172" i="3"/>
  <c r="S172" i="3"/>
  <c r="R172" i="3"/>
  <c r="Q172" i="3"/>
  <c r="J172" i="3"/>
  <c r="I172" i="3"/>
  <c r="H172" i="3"/>
  <c r="G172" i="3"/>
  <c r="F172" i="3"/>
  <c r="E172" i="3"/>
  <c r="D172" i="3"/>
  <c r="C172" i="3"/>
  <c r="B172" i="3"/>
  <c r="A172" i="3"/>
  <c r="T171" i="3"/>
  <c r="S171" i="3"/>
  <c r="R171" i="3"/>
  <c r="Q171" i="3"/>
  <c r="K171" i="3"/>
  <c r="J171" i="3"/>
  <c r="I171" i="3"/>
  <c r="H171" i="3"/>
  <c r="G171" i="3"/>
  <c r="F171" i="3"/>
  <c r="E171" i="3"/>
  <c r="D171" i="3"/>
  <c r="C171" i="3"/>
  <c r="B171" i="3"/>
  <c r="A171" i="3"/>
  <c r="T170" i="3"/>
  <c r="S170" i="3"/>
  <c r="R170" i="3"/>
  <c r="Q170" i="3"/>
  <c r="J170" i="3"/>
  <c r="I170" i="3"/>
  <c r="H170" i="3"/>
  <c r="G170" i="3"/>
  <c r="F170" i="3"/>
  <c r="E170" i="3"/>
  <c r="D170" i="3"/>
  <c r="C170" i="3"/>
  <c r="B170" i="3"/>
  <c r="A170" i="3"/>
  <c r="T169" i="3"/>
  <c r="S169" i="3"/>
  <c r="R169" i="3"/>
  <c r="Q169" i="3"/>
  <c r="J169" i="3"/>
  <c r="I169" i="3"/>
  <c r="H169" i="3"/>
  <c r="G169" i="3"/>
  <c r="F169" i="3"/>
  <c r="E169" i="3"/>
  <c r="D169" i="3"/>
  <c r="C169" i="3"/>
  <c r="B169" i="3"/>
  <c r="A169" i="3"/>
  <c r="T168" i="3"/>
  <c r="S168" i="3"/>
  <c r="R168" i="3"/>
  <c r="Q168" i="3"/>
  <c r="O168" i="3"/>
  <c r="K168" i="3"/>
  <c r="J168" i="3"/>
  <c r="I168" i="3"/>
  <c r="H168" i="3"/>
  <c r="G168" i="3"/>
  <c r="F168" i="3"/>
  <c r="E168" i="3"/>
  <c r="D168" i="3"/>
  <c r="C168" i="3"/>
  <c r="B168" i="3"/>
  <c r="A168" i="3"/>
  <c r="T167" i="3"/>
  <c r="S167" i="3"/>
  <c r="R167" i="3"/>
  <c r="Q167" i="3"/>
  <c r="M167" i="3"/>
  <c r="K167" i="3"/>
  <c r="J167" i="3"/>
  <c r="I167" i="3"/>
  <c r="H167" i="3"/>
  <c r="G167" i="3"/>
  <c r="F167" i="3"/>
  <c r="E167" i="3"/>
  <c r="D167" i="3"/>
  <c r="C167" i="3"/>
  <c r="B167" i="3"/>
  <c r="A167" i="3"/>
  <c r="T166" i="3"/>
  <c r="S166" i="3"/>
  <c r="R166" i="3"/>
  <c r="Q166" i="3"/>
  <c r="O166" i="3"/>
  <c r="K166" i="3"/>
  <c r="J166" i="3"/>
  <c r="I166" i="3"/>
  <c r="H166" i="3"/>
  <c r="G166" i="3"/>
  <c r="F166" i="3"/>
  <c r="E166" i="3"/>
  <c r="D166" i="3"/>
  <c r="C166" i="3"/>
  <c r="B166" i="3"/>
  <c r="A166" i="3"/>
  <c r="T165" i="3"/>
  <c r="S165" i="3"/>
  <c r="R165" i="3"/>
  <c r="Q165" i="3"/>
  <c r="J165" i="3"/>
  <c r="I165" i="3"/>
  <c r="H165" i="3"/>
  <c r="G165" i="3"/>
  <c r="F165" i="3"/>
  <c r="E165" i="3"/>
  <c r="D165" i="3"/>
  <c r="C165" i="3"/>
  <c r="B165" i="3"/>
  <c r="A165" i="3"/>
  <c r="T164" i="3"/>
  <c r="S164" i="3"/>
  <c r="R164" i="3"/>
  <c r="Q164" i="3"/>
  <c r="J164" i="3"/>
  <c r="I164" i="3"/>
  <c r="H164" i="3"/>
  <c r="G164" i="3"/>
  <c r="F164" i="3"/>
  <c r="E164" i="3"/>
  <c r="D164" i="3"/>
  <c r="C164" i="3"/>
  <c r="B164" i="3"/>
  <c r="A164" i="3"/>
  <c r="T163" i="3"/>
  <c r="S163" i="3"/>
  <c r="R163" i="3"/>
  <c r="Q163" i="3"/>
  <c r="K163" i="3"/>
  <c r="J163" i="3"/>
  <c r="I163" i="3"/>
  <c r="H163" i="3"/>
  <c r="G163" i="3"/>
  <c r="F163" i="3"/>
  <c r="E163" i="3"/>
  <c r="D163" i="3"/>
  <c r="C163" i="3"/>
  <c r="B163" i="3"/>
  <c r="A163" i="3"/>
  <c r="T162" i="3"/>
  <c r="S162" i="3"/>
  <c r="R162" i="3"/>
  <c r="Q162" i="3"/>
  <c r="J162" i="3"/>
  <c r="I162" i="3"/>
  <c r="H162" i="3"/>
  <c r="G162" i="3"/>
  <c r="F162" i="3"/>
  <c r="E162" i="3"/>
  <c r="D162" i="3"/>
  <c r="C162" i="3"/>
  <c r="B162" i="3"/>
  <c r="A162" i="3"/>
  <c r="T161" i="3"/>
  <c r="S161" i="3"/>
  <c r="R161" i="3"/>
  <c r="Q161" i="3"/>
  <c r="J161" i="3"/>
  <c r="I161" i="3"/>
  <c r="H161" i="3"/>
  <c r="G161" i="3"/>
  <c r="F161" i="3"/>
  <c r="E161" i="3"/>
  <c r="D161" i="3"/>
  <c r="C161" i="3"/>
  <c r="B161" i="3"/>
  <c r="A161" i="3"/>
  <c r="T160" i="3"/>
  <c r="S160" i="3"/>
  <c r="R160" i="3"/>
  <c r="Q160" i="3"/>
  <c r="K160" i="3"/>
  <c r="J160" i="3"/>
  <c r="I160" i="3"/>
  <c r="H160" i="3"/>
  <c r="G160" i="3"/>
  <c r="F160" i="3"/>
  <c r="E160" i="3"/>
  <c r="D160" i="3"/>
  <c r="C160" i="3"/>
  <c r="B160" i="3"/>
  <c r="A160" i="3"/>
  <c r="T159" i="3"/>
  <c r="S159" i="3"/>
  <c r="R159" i="3"/>
  <c r="Q159" i="3"/>
  <c r="J159" i="3"/>
  <c r="I159" i="3"/>
  <c r="H159" i="3"/>
  <c r="G159" i="3"/>
  <c r="F159" i="3"/>
  <c r="E159" i="3"/>
  <c r="D159" i="3"/>
  <c r="C159" i="3"/>
  <c r="B159" i="3"/>
  <c r="A159" i="3"/>
  <c r="T158" i="3"/>
  <c r="S158" i="3"/>
  <c r="R158" i="3"/>
  <c r="Q158" i="3"/>
  <c r="M158" i="3"/>
  <c r="K158" i="3"/>
  <c r="J158" i="3"/>
  <c r="I158" i="3"/>
  <c r="H158" i="3"/>
  <c r="G158" i="3"/>
  <c r="F158" i="3"/>
  <c r="E158" i="3"/>
  <c r="D158" i="3"/>
  <c r="C158" i="3"/>
  <c r="B158" i="3"/>
  <c r="A158" i="3"/>
  <c r="T157" i="3"/>
  <c r="S157" i="3"/>
  <c r="R157" i="3"/>
  <c r="Q157" i="3"/>
  <c r="J157" i="3"/>
  <c r="I157" i="3"/>
  <c r="H157" i="3"/>
  <c r="G157" i="3"/>
  <c r="F157" i="3"/>
  <c r="E157" i="3"/>
  <c r="D157" i="3"/>
  <c r="C157" i="3"/>
  <c r="B157" i="3"/>
  <c r="A157" i="3"/>
  <c r="T156" i="3"/>
  <c r="S156" i="3"/>
  <c r="R156" i="3"/>
  <c r="Q156" i="3"/>
  <c r="J156" i="3"/>
  <c r="I156" i="3"/>
  <c r="H156" i="3"/>
  <c r="G156" i="3"/>
  <c r="F156" i="3"/>
  <c r="E156" i="3"/>
  <c r="D156" i="3"/>
  <c r="C156" i="3"/>
  <c r="B156" i="3"/>
  <c r="A156" i="3"/>
  <c r="T155" i="3"/>
  <c r="S155" i="3"/>
  <c r="R155" i="3"/>
  <c r="Q155" i="3"/>
  <c r="J155" i="3"/>
  <c r="I155" i="3"/>
  <c r="H155" i="3"/>
  <c r="G155" i="3"/>
  <c r="F155" i="3"/>
  <c r="E155" i="3"/>
  <c r="D155" i="3"/>
  <c r="C155" i="3"/>
  <c r="B155" i="3"/>
  <c r="A155" i="3"/>
  <c r="T154" i="3"/>
  <c r="S154" i="3"/>
  <c r="R154" i="3"/>
  <c r="Q154" i="3"/>
  <c r="J154" i="3"/>
  <c r="I154" i="3"/>
  <c r="H154" i="3"/>
  <c r="G154" i="3"/>
  <c r="F154" i="3"/>
  <c r="E154" i="3"/>
  <c r="D154" i="3"/>
  <c r="C154" i="3"/>
  <c r="B154" i="3"/>
  <c r="A154" i="3"/>
  <c r="T153" i="3"/>
  <c r="S153" i="3"/>
  <c r="R153" i="3"/>
  <c r="Q153" i="3"/>
  <c r="J153" i="3"/>
  <c r="I153" i="3"/>
  <c r="H153" i="3"/>
  <c r="G153" i="3"/>
  <c r="F153" i="3"/>
  <c r="E153" i="3"/>
  <c r="D153" i="3"/>
  <c r="C153" i="3"/>
  <c r="B153" i="3"/>
  <c r="A153" i="3"/>
  <c r="T152" i="3"/>
  <c r="S152" i="3"/>
  <c r="R152" i="3"/>
  <c r="Q152" i="3"/>
  <c r="O152" i="3"/>
  <c r="M152" i="3"/>
  <c r="K152" i="3"/>
  <c r="J152" i="3"/>
  <c r="I152" i="3"/>
  <c r="H152" i="3"/>
  <c r="G152" i="3"/>
  <c r="F152" i="3"/>
  <c r="E152" i="3"/>
  <c r="D152" i="3"/>
  <c r="C152" i="3"/>
  <c r="B152" i="3"/>
  <c r="A152" i="3"/>
  <c r="T151" i="3"/>
  <c r="S151" i="3"/>
  <c r="R151" i="3"/>
  <c r="Q151" i="3"/>
  <c r="K151" i="3"/>
  <c r="J151" i="3"/>
  <c r="I151" i="3"/>
  <c r="H151" i="3"/>
  <c r="G151" i="3"/>
  <c r="F151" i="3"/>
  <c r="E151" i="3"/>
  <c r="D151" i="3"/>
  <c r="C151" i="3"/>
  <c r="B151" i="3"/>
  <c r="A151" i="3"/>
  <c r="T150" i="3"/>
  <c r="S150" i="3"/>
  <c r="R150" i="3"/>
  <c r="Q150" i="3"/>
  <c r="O150" i="3"/>
  <c r="M150" i="3"/>
  <c r="K150" i="3"/>
  <c r="J150" i="3"/>
  <c r="I150" i="3"/>
  <c r="H150" i="3"/>
  <c r="G150" i="3"/>
  <c r="F150" i="3"/>
  <c r="E150" i="3"/>
  <c r="D150" i="3"/>
  <c r="C150" i="3"/>
  <c r="B150" i="3"/>
  <c r="A150" i="3"/>
  <c r="T149" i="3"/>
  <c r="S149" i="3"/>
  <c r="R149" i="3"/>
  <c r="Q149" i="3"/>
  <c r="O149" i="3"/>
  <c r="M149" i="3"/>
  <c r="K149" i="3"/>
  <c r="J149" i="3"/>
  <c r="I149" i="3"/>
  <c r="H149" i="3"/>
  <c r="G149" i="3"/>
  <c r="F149" i="3"/>
  <c r="E149" i="3"/>
  <c r="D149" i="3"/>
  <c r="C149" i="3"/>
  <c r="B149" i="3"/>
  <c r="A149" i="3"/>
  <c r="T148" i="3"/>
  <c r="S148" i="3"/>
  <c r="R148" i="3"/>
  <c r="Q148" i="3"/>
  <c r="O148" i="3"/>
  <c r="M148" i="3"/>
  <c r="K148" i="3"/>
  <c r="J148" i="3"/>
  <c r="I148" i="3"/>
  <c r="H148" i="3"/>
  <c r="G148" i="3"/>
  <c r="F148" i="3"/>
  <c r="E148" i="3"/>
  <c r="D148" i="3"/>
  <c r="C148" i="3"/>
  <c r="B148" i="3"/>
  <c r="A148" i="3"/>
  <c r="T147" i="3"/>
  <c r="S147" i="3"/>
  <c r="R147" i="3"/>
  <c r="Q147" i="3"/>
  <c r="O147" i="3"/>
  <c r="M147" i="3"/>
  <c r="K147" i="3"/>
  <c r="J147" i="3"/>
  <c r="I147" i="3"/>
  <c r="H147" i="3"/>
  <c r="G147" i="3"/>
  <c r="F147" i="3"/>
  <c r="E147" i="3"/>
  <c r="D147" i="3"/>
  <c r="C147" i="3"/>
  <c r="B147" i="3"/>
  <c r="A147" i="3"/>
  <c r="T146" i="3"/>
  <c r="S146" i="3"/>
  <c r="R146" i="3"/>
  <c r="Q146" i="3"/>
  <c r="O146" i="3"/>
  <c r="M146" i="3"/>
  <c r="K146" i="3"/>
  <c r="J146" i="3"/>
  <c r="I146" i="3"/>
  <c r="H146" i="3"/>
  <c r="G146" i="3"/>
  <c r="F146" i="3"/>
  <c r="E146" i="3"/>
  <c r="D146" i="3"/>
  <c r="C146" i="3"/>
  <c r="B146" i="3"/>
  <c r="A146" i="3"/>
  <c r="T145" i="3"/>
  <c r="S145" i="3"/>
  <c r="R145" i="3"/>
  <c r="Q145" i="3"/>
  <c r="O145" i="3"/>
  <c r="M145" i="3"/>
  <c r="K145" i="3"/>
  <c r="J145" i="3"/>
  <c r="I145" i="3"/>
  <c r="H145" i="3"/>
  <c r="G145" i="3"/>
  <c r="F145" i="3"/>
  <c r="E145" i="3"/>
  <c r="D145" i="3"/>
  <c r="C145" i="3"/>
  <c r="B145" i="3"/>
  <c r="A145" i="3"/>
  <c r="T144" i="3"/>
  <c r="S144" i="3"/>
  <c r="R144" i="3"/>
  <c r="Q144" i="3"/>
  <c r="O144" i="3"/>
  <c r="M144" i="3"/>
  <c r="K144" i="3"/>
  <c r="J144" i="3"/>
  <c r="I144" i="3"/>
  <c r="H144" i="3"/>
  <c r="G144" i="3"/>
  <c r="F144" i="3"/>
  <c r="E144" i="3"/>
  <c r="D144" i="3"/>
  <c r="C144" i="3"/>
  <c r="B144" i="3"/>
  <c r="A144" i="3"/>
  <c r="T143" i="3"/>
  <c r="S143" i="3"/>
  <c r="R143" i="3"/>
  <c r="Q143" i="3"/>
  <c r="O143" i="3"/>
  <c r="M143" i="3"/>
  <c r="K143" i="3"/>
  <c r="J143" i="3"/>
  <c r="I143" i="3"/>
  <c r="H143" i="3"/>
  <c r="G143" i="3"/>
  <c r="F143" i="3"/>
  <c r="E143" i="3"/>
  <c r="D143" i="3"/>
  <c r="C143" i="3"/>
  <c r="B143" i="3"/>
  <c r="A143" i="3"/>
  <c r="T142" i="3"/>
  <c r="S142" i="3"/>
  <c r="R142" i="3"/>
  <c r="Q142" i="3"/>
  <c r="O142" i="3"/>
  <c r="K142" i="3"/>
  <c r="J142" i="3"/>
  <c r="I142" i="3"/>
  <c r="H142" i="3"/>
  <c r="G142" i="3"/>
  <c r="F142" i="3"/>
  <c r="E142" i="3"/>
  <c r="D142" i="3"/>
  <c r="C142" i="3"/>
  <c r="B142" i="3"/>
  <c r="A142" i="3"/>
  <c r="T141" i="3"/>
  <c r="S141" i="3"/>
  <c r="R141" i="3"/>
  <c r="Q141" i="3"/>
  <c r="K141" i="3"/>
  <c r="J141" i="3"/>
  <c r="I141" i="3"/>
  <c r="H141" i="3"/>
  <c r="G141" i="3"/>
  <c r="F141" i="3"/>
  <c r="E141" i="3"/>
  <c r="D141" i="3"/>
  <c r="C141" i="3"/>
  <c r="B141" i="3"/>
  <c r="A141" i="3"/>
  <c r="T140" i="3"/>
  <c r="S140" i="3"/>
  <c r="R140" i="3"/>
  <c r="Q140" i="3"/>
  <c r="J140" i="3"/>
  <c r="I140" i="3"/>
  <c r="H140" i="3"/>
  <c r="G140" i="3"/>
  <c r="F140" i="3"/>
  <c r="E140" i="3"/>
  <c r="D140" i="3"/>
  <c r="C140" i="3"/>
  <c r="B140" i="3"/>
  <c r="A140" i="3"/>
  <c r="T139" i="3"/>
  <c r="S139" i="3"/>
  <c r="R139" i="3"/>
  <c r="Q139" i="3"/>
  <c r="J139" i="3"/>
  <c r="I139" i="3"/>
  <c r="H139" i="3"/>
  <c r="G139" i="3"/>
  <c r="F139" i="3"/>
  <c r="E139" i="3"/>
  <c r="D139" i="3"/>
  <c r="C139" i="3"/>
  <c r="B139" i="3"/>
  <c r="A139" i="3"/>
  <c r="T138" i="3"/>
  <c r="S138" i="3"/>
  <c r="R138" i="3"/>
  <c r="Q138" i="3"/>
  <c r="K138" i="3"/>
  <c r="J138" i="3"/>
  <c r="I138" i="3"/>
  <c r="H138" i="3"/>
  <c r="G138" i="3"/>
  <c r="F138" i="3"/>
  <c r="E138" i="3"/>
  <c r="D138" i="3"/>
  <c r="C138" i="3"/>
  <c r="B138" i="3"/>
  <c r="A138" i="3"/>
  <c r="T137" i="3"/>
  <c r="S137" i="3"/>
  <c r="R137" i="3"/>
  <c r="Q137" i="3"/>
  <c r="O137" i="3"/>
  <c r="M137" i="3"/>
  <c r="K137" i="3"/>
  <c r="J137" i="3"/>
  <c r="I137" i="3"/>
  <c r="H137" i="3"/>
  <c r="G137" i="3"/>
  <c r="F137" i="3"/>
  <c r="E137" i="3"/>
  <c r="D137" i="3"/>
  <c r="C137" i="3"/>
  <c r="B137" i="3"/>
  <c r="A137" i="3"/>
  <c r="T136" i="3"/>
  <c r="S136" i="3"/>
  <c r="R136" i="3"/>
  <c r="Q136" i="3"/>
  <c r="O136" i="3"/>
  <c r="M136" i="3"/>
  <c r="K136" i="3"/>
  <c r="J136" i="3"/>
  <c r="I136" i="3"/>
  <c r="H136" i="3"/>
  <c r="G136" i="3"/>
  <c r="F136" i="3"/>
  <c r="E136" i="3"/>
  <c r="D136" i="3"/>
  <c r="C136" i="3"/>
  <c r="B136" i="3"/>
  <c r="A136" i="3"/>
  <c r="T135" i="3"/>
  <c r="S135" i="3"/>
  <c r="R135" i="3"/>
  <c r="Q135" i="3"/>
  <c r="O135" i="3"/>
  <c r="M135" i="3"/>
  <c r="K135" i="3"/>
  <c r="J135" i="3"/>
  <c r="I135" i="3"/>
  <c r="H135" i="3"/>
  <c r="G135" i="3"/>
  <c r="F135" i="3"/>
  <c r="E135" i="3"/>
  <c r="D135" i="3"/>
  <c r="C135" i="3"/>
  <c r="B135" i="3"/>
  <c r="A135" i="3"/>
  <c r="T134" i="3"/>
  <c r="S134" i="3"/>
  <c r="R134" i="3"/>
  <c r="Q134" i="3"/>
  <c r="J134" i="3"/>
  <c r="I134" i="3"/>
  <c r="H134" i="3"/>
  <c r="G134" i="3"/>
  <c r="F134" i="3"/>
  <c r="E134" i="3"/>
  <c r="D134" i="3"/>
  <c r="C134" i="3"/>
  <c r="B134" i="3"/>
  <c r="A134" i="3"/>
  <c r="T133" i="3"/>
  <c r="S133" i="3"/>
  <c r="R133" i="3"/>
  <c r="Q133" i="3"/>
  <c r="O133" i="3"/>
  <c r="M133" i="3"/>
  <c r="K133" i="3"/>
  <c r="J133" i="3"/>
  <c r="I133" i="3"/>
  <c r="H133" i="3"/>
  <c r="G133" i="3"/>
  <c r="F133" i="3"/>
  <c r="E133" i="3"/>
  <c r="D133" i="3"/>
  <c r="C133" i="3"/>
  <c r="B133" i="3"/>
  <c r="A133" i="3"/>
  <c r="T132" i="3"/>
  <c r="S132" i="3"/>
  <c r="R132" i="3"/>
  <c r="Q132" i="3"/>
  <c r="K132" i="3"/>
  <c r="J132" i="3"/>
  <c r="I132" i="3"/>
  <c r="H132" i="3"/>
  <c r="G132" i="3"/>
  <c r="F132" i="3"/>
  <c r="E132" i="3"/>
  <c r="D132" i="3"/>
  <c r="C132" i="3"/>
  <c r="B132" i="3"/>
  <c r="A132" i="3"/>
  <c r="T131" i="3"/>
  <c r="S131" i="3"/>
  <c r="R131" i="3"/>
  <c r="Q131" i="3"/>
  <c r="O131" i="3"/>
  <c r="K131" i="3"/>
  <c r="J131" i="3"/>
  <c r="I131" i="3"/>
  <c r="H131" i="3"/>
  <c r="G131" i="3"/>
  <c r="F131" i="3"/>
  <c r="E131" i="3"/>
  <c r="D131" i="3"/>
  <c r="C131" i="3"/>
  <c r="B131" i="3"/>
  <c r="A131" i="3"/>
  <c r="T130" i="3"/>
  <c r="S130" i="3"/>
  <c r="R130" i="3"/>
  <c r="Q130" i="3"/>
  <c r="K130" i="3"/>
  <c r="J130" i="3"/>
  <c r="I130" i="3"/>
  <c r="H130" i="3"/>
  <c r="G130" i="3"/>
  <c r="F130" i="3"/>
  <c r="E130" i="3"/>
  <c r="D130" i="3"/>
  <c r="C130" i="3"/>
  <c r="B130" i="3"/>
  <c r="A130" i="3"/>
  <c r="T129" i="3"/>
  <c r="S129" i="3"/>
  <c r="R129" i="3"/>
  <c r="Q129" i="3"/>
  <c r="O129" i="3"/>
  <c r="K129" i="3"/>
  <c r="J129" i="3"/>
  <c r="I129" i="3"/>
  <c r="H129" i="3"/>
  <c r="G129" i="3"/>
  <c r="F129" i="3"/>
  <c r="E129" i="3"/>
  <c r="D129" i="3"/>
  <c r="C129" i="3"/>
  <c r="B129" i="3"/>
  <c r="A129" i="3"/>
  <c r="T128" i="3"/>
  <c r="S128" i="3"/>
  <c r="R128" i="3"/>
  <c r="Q128" i="3"/>
  <c r="O128" i="3"/>
  <c r="M128" i="3"/>
  <c r="K128" i="3"/>
  <c r="J128" i="3"/>
  <c r="I128" i="3"/>
  <c r="H128" i="3"/>
  <c r="G128" i="3"/>
  <c r="F128" i="3"/>
  <c r="E128" i="3"/>
  <c r="D128" i="3"/>
  <c r="C128" i="3"/>
  <c r="B128" i="3"/>
  <c r="A128" i="3"/>
  <c r="T127" i="3"/>
  <c r="S127" i="3"/>
  <c r="R127" i="3"/>
  <c r="Q127" i="3"/>
  <c r="O127" i="3"/>
  <c r="K127" i="3"/>
  <c r="J127" i="3"/>
  <c r="I127" i="3"/>
  <c r="H127" i="3"/>
  <c r="G127" i="3"/>
  <c r="F127" i="3"/>
  <c r="E127" i="3"/>
  <c r="D127" i="3"/>
  <c r="C127" i="3"/>
  <c r="B127" i="3"/>
  <c r="A127" i="3"/>
  <c r="T126" i="3"/>
  <c r="S126" i="3"/>
  <c r="R126" i="3"/>
  <c r="Q126" i="3"/>
  <c r="O126" i="3"/>
  <c r="M126" i="3"/>
  <c r="K126" i="3"/>
  <c r="J126" i="3"/>
  <c r="I126" i="3"/>
  <c r="H126" i="3"/>
  <c r="G126" i="3"/>
  <c r="F126" i="3"/>
  <c r="E126" i="3"/>
  <c r="D126" i="3"/>
  <c r="C126" i="3"/>
  <c r="B126" i="3"/>
  <c r="A126" i="3"/>
  <c r="T125" i="3"/>
  <c r="S125" i="3"/>
  <c r="R125" i="3"/>
  <c r="Q125" i="3"/>
  <c r="O125" i="3"/>
  <c r="M125" i="3"/>
  <c r="K125" i="3"/>
  <c r="J125" i="3"/>
  <c r="I125" i="3"/>
  <c r="H125" i="3"/>
  <c r="G125" i="3"/>
  <c r="F125" i="3"/>
  <c r="E125" i="3"/>
  <c r="D125" i="3"/>
  <c r="C125" i="3"/>
  <c r="B125" i="3"/>
  <c r="A125" i="3"/>
  <c r="T124" i="3"/>
  <c r="S124" i="3"/>
  <c r="R124" i="3"/>
  <c r="Q124" i="3"/>
  <c r="O124" i="3"/>
  <c r="M124" i="3"/>
  <c r="K124" i="3"/>
  <c r="J124" i="3"/>
  <c r="I124" i="3"/>
  <c r="H124" i="3"/>
  <c r="G124" i="3"/>
  <c r="F124" i="3"/>
  <c r="E124" i="3"/>
  <c r="D124" i="3"/>
  <c r="C124" i="3"/>
  <c r="B124" i="3"/>
  <c r="A124" i="3"/>
  <c r="T123" i="3"/>
  <c r="S123" i="3"/>
  <c r="R123" i="3"/>
  <c r="Q123" i="3"/>
  <c r="M123" i="3"/>
  <c r="K123" i="3"/>
  <c r="J123" i="3"/>
  <c r="I123" i="3"/>
  <c r="H123" i="3"/>
  <c r="G123" i="3"/>
  <c r="F123" i="3"/>
  <c r="E123" i="3"/>
  <c r="D123" i="3"/>
  <c r="C123" i="3"/>
  <c r="B123" i="3"/>
  <c r="A123" i="3"/>
  <c r="T122" i="3"/>
  <c r="S122" i="3"/>
  <c r="R122" i="3"/>
  <c r="Q122" i="3"/>
  <c r="O122" i="3"/>
  <c r="K122" i="3"/>
  <c r="J122" i="3"/>
  <c r="I122" i="3"/>
  <c r="H122" i="3"/>
  <c r="G122" i="3"/>
  <c r="F122" i="3"/>
  <c r="E122" i="3"/>
  <c r="D122" i="3"/>
  <c r="C122" i="3"/>
  <c r="B122" i="3"/>
  <c r="A122" i="3"/>
  <c r="T121" i="3"/>
  <c r="S121" i="3"/>
  <c r="R121" i="3"/>
  <c r="Q121" i="3"/>
  <c r="M121" i="3"/>
  <c r="K121" i="3"/>
  <c r="J121" i="3"/>
  <c r="I121" i="3"/>
  <c r="H121" i="3"/>
  <c r="G121" i="3"/>
  <c r="F121" i="3"/>
  <c r="E121" i="3"/>
  <c r="D121" i="3"/>
  <c r="C121" i="3"/>
  <c r="B121" i="3"/>
  <c r="A121" i="3"/>
  <c r="T120" i="3"/>
  <c r="S120" i="3"/>
  <c r="R120" i="3"/>
  <c r="Q120" i="3"/>
  <c r="J120" i="3"/>
  <c r="I120" i="3"/>
  <c r="H120" i="3"/>
  <c r="G120" i="3"/>
  <c r="F120" i="3"/>
  <c r="E120" i="3"/>
  <c r="D120" i="3"/>
  <c r="C120" i="3"/>
  <c r="B120" i="3"/>
  <c r="A120" i="3"/>
  <c r="T119" i="3"/>
  <c r="S119" i="3"/>
  <c r="R119" i="3"/>
  <c r="Q119" i="3"/>
  <c r="J119" i="3"/>
  <c r="I119" i="3"/>
  <c r="H119" i="3"/>
  <c r="G119" i="3"/>
  <c r="F119" i="3"/>
  <c r="E119" i="3"/>
  <c r="D119" i="3"/>
  <c r="C119" i="3"/>
  <c r="B119" i="3"/>
  <c r="A119" i="3"/>
  <c r="T118" i="3"/>
  <c r="S118" i="3"/>
  <c r="R118" i="3"/>
  <c r="Q118" i="3"/>
  <c r="O118" i="3"/>
  <c r="M118" i="3"/>
  <c r="K118" i="3"/>
  <c r="J118" i="3"/>
  <c r="I118" i="3"/>
  <c r="H118" i="3"/>
  <c r="G118" i="3"/>
  <c r="F118" i="3"/>
  <c r="E118" i="3"/>
  <c r="D118" i="3"/>
  <c r="C118" i="3"/>
  <c r="B118" i="3"/>
  <c r="A118" i="3"/>
  <c r="T117" i="3"/>
  <c r="S117" i="3"/>
  <c r="R117" i="3"/>
  <c r="Q117" i="3"/>
  <c r="M117" i="3"/>
  <c r="K117" i="3"/>
  <c r="J117" i="3"/>
  <c r="I117" i="3"/>
  <c r="H117" i="3"/>
  <c r="G117" i="3"/>
  <c r="F117" i="3"/>
  <c r="E117" i="3"/>
  <c r="D117" i="3"/>
  <c r="C117" i="3"/>
  <c r="B117" i="3"/>
  <c r="A117" i="3"/>
  <c r="T116" i="3"/>
  <c r="S116" i="3"/>
  <c r="R116" i="3"/>
  <c r="Q116" i="3"/>
  <c r="J116" i="3"/>
  <c r="I116" i="3"/>
  <c r="H116" i="3"/>
  <c r="G116" i="3"/>
  <c r="F116" i="3"/>
  <c r="E116" i="3"/>
  <c r="D116" i="3"/>
  <c r="C116" i="3"/>
  <c r="B116" i="3"/>
  <c r="A116" i="3"/>
  <c r="T115" i="3"/>
  <c r="S115" i="3"/>
  <c r="R115" i="3"/>
  <c r="Q115" i="3"/>
  <c r="J115" i="3"/>
  <c r="I115" i="3"/>
  <c r="H115" i="3"/>
  <c r="G115" i="3"/>
  <c r="F115" i="3"/>
  <c r="E115" i="3"/>
  <c r="D115" i="3"/>
  <c r="C115" i="3"/>
  <c r="B115" i="3"/>
  <c r="A115" i="3"/>
  <c r="T114" i="3"/>
  <c r="S114" i="3"/>
  <c r="R114" i="3"/>
  <c r="Q114" i="3"/>
  <c r="J114" i="3"/>
  <c r="I114" i="3"/>
  <c r="H114" i="3"/>
  <c r="G114" i="3"/>
  <c r="F114" i="3"/>
  <c r="E114" i="3"/>
  <c r="D114" i="3"/>
  <c r="C114" i="3"/>
  <c r="B114" i="3"/>
  <c r="A114" i="3"/>
  <c r="T113" i="3"/>
  <c r="S113" i="3"/>
  <c r="R113" i="3"/>
  <c r="Q113" i="3"/>
  <c r="J113" i="3"/>
  <c r="I113" i="3"/>
  <c r="H113" i="3"/>
  <c r="G113" i="3"/>
  <c r="F113" i="3"/>
  <c r="E113" i="3"/>
  <c r="D113" i="3"/>
  <c r="C113" i="3"/>
  <c r="B113" i="3"/>
  <c r="A113" i="3"/>
  <c r="T112" i="3"/>
  <c r="S112" i="3"/>
  <c r="R112" i="3"/>
  <c r="Q112" i="3"/>
  <c r="J112" i="3"/>
  <c r="I112" i="3"/>
  <c r="H112" i="3"/>
  <c r="G112" i="3"/>
  <c r="F112" i="3"/>
  <c r="E112" i="3"/>
  <c r="D112" i="3"/>
  <c r="C112" i="3"/>
  <c r="B112" i="3"/>
  <c r="A112" i="3"/>
  <c r="T111" i="3"/>
  <c r="S111" i="3"/>
  <c r="R111" i="3"/>
  <c r="Q111" i="3"/>
  <c r="K111" i="3"/>
  <c r="J111" i="3"/>
  <c r="I111" i="3"/>
  <c r="H111" i="3"/>
  <c r="G111" i="3"/>
  <c r="F111" i="3"/>
  <c r="E111" i="3"/>
  <c r="D111" i="3"/>
  <c r="C111" i="3"/>
  <c r="B111" i="3"/>
  <c r="A111" i="3"/>
  <c r="T110" i="3"/>
  <c r="S110" i="3"/>
  <c r="R110" i="3"/>
  <c r="Q110" i="3"/>
  <c r="J110" i="3"/>
  <c r="I110" i="3"/>
  <c r="H110" i="3"/>
  <c r="G110" i="3"/>
  <c r="F110" i="3"/>
  <c r="E110" i="3"/>
  <c r="D110" i="3"/>
  <c r="C110" i="3"/>
  <c r="B110" i="3"/>
  <c r="A110" i="3"/>
  <c r="T109" i="3"/>
  <c r="S109" i="3"/>
  <c r="R109" i="3"/>
  <c r="Q109" i="3"/>
  <c r="O109" i="3"/>
  <c r="M109" i="3"/>
  <c r="K109" i="3"/>
  <c r="J109" i="3"/>
  <c r="I109" i="3"/>
  <c r="H109" i="3"/>
  <c r="G109" i="3"/>
  <c r="F109" i="3"/>
  <c r="E109" i="3"/>
  <c r="D109" i="3"/>
  <c r="C109" i="3"/>
  <c r="B109" i="3"/>
  <c r="A109" i="3"/>
  <c r="T108" i="3"/>
  <c r="S108" i="3"/>
  <c r="R108" i="3"/>
  <c r="Q108" i="3"/>
  <c r="M108" i="3"/>
  <c r="K108" i="3"/>
  <c r="J108" i="3"/>
  <c r="I108" i="3"/>
  <c r="H108" i="3"/>
  <c r="G108" i="3"/>
  <c r="F108" i="3"/>
  <c r="E108" i="3"/>
  <c r="D108" i="3"/>
  <c r="C108" i="3"/>
  <c r="B108" i="3"/>
  <c r="A108" i="3"/>
  <c r="T107" i="3"/>
  <c r="S107" i="3"/>
  <c r="R107" i="3"/>
  <c r="Q107" i="3"/>
  <c r="J107" i="3"/>
  <c r="I107" i="3"/>
  <c r="H107" i="3"/>
  <c r="G107" i="3"/>
  <c r="F107" i="3"/>
  <c r="E107" i="3"/>
  <c r="D107" i="3"/>
  <c r="C107" i="3"/>
  <c r="B107" i="3"/>
  <c r="A107" i="3"/>
  <c r="T106" i="3"/>
  <c r="S106" i="3"/>
  <c r="R106" i="3"/>
  <c r="Q106" i="3"/>
  <c r="O106" i="3"/>
  <c r="M106" i="3"/>
  <c r="K106" i="3"/>
  <c r="J106" i="3"/>
  <c r="I106" i="3"/>
  <c r="H106" i="3"/>
  <c r="G106" i="3"/>
  <c r="F106" i="3"/>
  <c r="E106" i="3"/>
  <c r="D106" i="3"/>
  <c r="C106" i="3"/>
  <c r="B106" i="3"/>
  <c r="A106" i="3"/>
  <c r="T105" i="3"/>
  <c r="S105" i="3"/>
  <c r="R105" i="3"/>
  <c r="Q105" i="3"/>
  <c r="M105" i="3"/>
  <c r="K105" i="3"/>
  <c r="J105" i="3"/>
  <c r="I105" i="3"/>
  <c r="H105" i="3"/>
  <c r="G105" i="3"/>
  <c r="F105" i="3"/>
  <c r="E105" i="3"/>
  <c r="D105" i="3"/>
  <c r="C105" i="3"/>
  <c r="B105" i="3"/>
  <c r="A105" i="3"/>
  <c r="T104" i="3"/>
  <c r="S104" i="3"/>
  <c r="R104" i="3"/>
  <c r="Q104" i="3"/>
  <c r="M104" i="3"/>
  <c r="K104" i="3"/>
  <c r="J104" i="3"/>
  <c r="I104" i="3"/>
  <c r="H104" i="3"/>
  <c r="G104" i="3"/>
  <c r="F104" i="3"/>
  <c r="E104" i="3"/>
  <c r="D104" i="3"/>
  <c r="C104" i="3"/>
  <c r="B104" i="3"/>
  <c r="A104" i="3"/>
  <c r="T103" i="3"/>
  <c r="S103" i="3"/>
  <c r="R103" i="3"/>
  <c r="Q103" i="3"/>
  <c r="J103" i="3"/>
  <c r="I103" i="3"/>
  <c r="H103" i="3"/>
  <c r="G103" i="3"/>
  <c r="F103" i="3"/>
  <c r="E103" i="3"/>
  <c r="D103" i="3"/>
  <c r="C103" i="3"/>
  <c r="B103" i="3"/>
  <c r="A103" i="3"/>
  <c r="T102" i="3"/>
  <c r="S102" i="3"/>
  <c r="R102" i="3"/>
  <c r="Q102" i="3"/>
  <c r="O102" i="3"/>
  <c r="K102" i="3"/>
  <c r="J102" i="3"/>
  <c r="I102" i="3"/>
  <c r="H102" i="3"/>
  <c r="G102" i="3"/>
  <c r="F102" i="3"/>
  <c r="E102" i="3"/>
  <c r="D102" i="3"/>
  <c r="C102" i="3"/>
  <c r="B102" i="3"/>
  <c r="A102" i="3"/>
  <c r="T101" i="3"/>
  <c r="S101" i="3"/>
  <c r="R101" i="3"/>
  <c r="Q101" i="3"/>
  <c r="O101" i="3"/>
  <c r="M101" i="3"/>
  <c r="K101" i="3"/>
  <c r="J101" i="3"/>
  <c r="I101" i="3"/>
  <c r="H101" i="3"/>
  <c r="G101" i="3"/>
  <c r="F101" i="3"/>
  <c r="E101" i="3"/>
  <c r="D101" i="3"/>
  <c r="C101" i="3"/>
  <c r="B101" i="3"/>
  <c r="A101" i="3"/>
  <c r="T100" i="3"/>
  <c r="S100" i="3"/>
  <c r="R100" i="3"/>
  <c r="Q100" i="3"/>
  <c r="J100" i="3"/>
  <c r="I100" i="3"/>
  <c r="H100" i="3"/>
  <c r="G100" i="3"/>
  <c r="F100" i="3"/>
  <c r="E100" i="3"/>
  <c r="D100" i="3"/>
  <c r="C100" i="3"/>
  <c r="B100" i="3"/>
  <c r="A100" i="3"/>
  <c r="T99" i="3"/>
  <c r="S99" i="3"/>
  <c r="R99" i="3"/>
  <c r="Q99" i="3"/>
  <c r="O99" i="3"/>
  <c r="M99" i="3"/>
  <c r="K99" i="3"/>
  <c r="J99" i="3"/>
  <c r="I99" i="3"/>
  <c r="H99" i="3"/>
  <c r="G99" i="3"/>
  <c r="F99" i="3"/>
  <c r="E99" i="3"/>
  <c r="D99" i="3"/>
  <c r="C99" i="3"/>
  <c r="B99" i="3"/>
  <c r="A99" i="3"/>
  <c r="T98" i="3"/>
  <c r="S98" i="3"/>
  <c r="R98" i="3"/>
  <c r="Q98" i="3"/>
  <c r="J98" i="3"/>
  <c r="I98" i="3"/>
  <c r="H98" i="3"/>
  <c r="G98" i="3"/>
  <c r="F98" i="3"/>
  <c r="E98" i="3"/>
  <c r="D98" i="3"/>
  <c r="C98" i="3"/>
  <c r="B98" i="3"/>
  <c r="A98" i="3"/>
  <c r="T97" i="3"/>
  <c r="S97" i="3"/>
  <c r="R97" i="3"/>
  <c r="Q97" i="3"/>
  <c r="J97" i="3"/>
  <c r="I97" i="3"/>
  <c r="H97" i="3"/>
  <c r="G97" i="3"/>
  <c r="F97" i="3"/>
  <c r="E97" i="3"/>
  <c r="D97" i="3"/>
  <c r="C97" i="3"/>
  <c r="B97" i="3"/>
  <c r="A97" i="3"/>
  <c r="T96" i="3"/>
  <c r="S96" i="3"/>
  <c r="R96" i="3"/>
  <c r="Q96" i="3"/>
  <c r="J96" i="3"/>
  <c r="I96" i="3"/>
  <c r="H96" i="3"/>
  <c r="G96" i="3"/>
  <c r="F96" i="3"/>
  <c r="E96" i="3"/>
  <c r="D96" i="3"/>
  <c r="C96" i="3"/>
  <c r="B96" i="3"/>
  <c r="A96" i="3"/>
  <c r="T95" i="3"/>
  <c r="S95" i="3"/>
  <c r="R95" i="3"/>
  <c r="Q95" i="3"/>
  <c r="K95" i="3"/>
  <c r="J95" i="3"/>
  <c r="I95" i="3"/>
  <c r="H95" i="3"/>
  <c r="G95" i="3"/>
  <c r="F95" i="3"/>
  <c r="E95" i="3"/>
  <c r="D95" i="3"/>
  <c r="C95" i="3"/>
  <c r="B95" i="3"/>
  <c r="A95" i="3"/>
  <c r="T94" i="3"/>
  <c r="S94" i="3"/>
  <c r="R94" i="3"/>
  <c r="Q94" i="3"/>
  <c r="J94" i="3"/>
  <c r="I94" i="3"/>
  <c r="H94" i="3"/>
  <c r="G94" i="3"/>
  <c r="F94" i="3"/>
  <c r="E94" i="3"/>
  <c r="D94" i="3"/>
  <c r="C94" i="3"/>
  <c r="B94" i="3"/>
  <c r="A94" i="3"/>
  <c r="T93" i="3"/>
  <c r="S93" i="3"/>
  <c r="R93" i="3"/>
  <c r="Q93" i="3"/>
  <c r="O93" i="3"/>
  <c r="M93" i="3"/>
  <c r="K93" i="3"/>
  <c r="J93" i="3"/>
  <c r="I93" i="3"/>
  <c r="H93" i="3"/>
  <c r="G93" i="3"/>
  <c r="F93" i="3"/>
  <c r="E93" i="3"/>
  <c r="D93" i="3"/>
  <c r="C93" i="3"/>
  <c r="B93" i="3"/>
  <c r="A93" i="3"/>
  <c r="T92" i="3"/>
  <c r="S92" i="3"/>
  <c r="R92" i="3"/>
  <c r="Q92" i="3"/>
  <c r="J92" i="3"/>
  <c r="I92" i="3"/>
  <c r="H92" i="3"/>
  <c r="G92" i="3"/>
  <c r="F92" i="3"/>
  <c r="E92" i="3"/>
  <c r="D92" i="3"/>
  <c r="C92" i="3"/>
  <c r="B92" i="3"/>
  <c r="A92" i="3"/>
  <c r="T91" i="3"/>
  <c r="S91" i="3"/>
  <c r="R91" i="3"/>
  <c r="Q91" i="3"/>
  <c r="J91" i="3"/>
  <c r="I91" i="3"/>
  <c r="H91" i="3"/>
  <c r="G91" i="3"/>
  <c r="F91" i="3"/>
  <c r="E91" i="3"/>
  <c r="D91" i="3"/>
  <c r="C91" i="3"/>
  <c r="B91" i="3"/>
  <c r="A91" i="3"/>
  <c r="T90" i="3"/>
  <c r="S90" i="3"/>
  <c r="R90" i="3"/>
  <c r="Q90" i="3"/>
  <c r="J90" i="3"/>
  <c r="I90" i="3"/>
  <c r="H90" i="3"/>
  <c r="G90" i="3"/>
  <c r="F90" i="3"/>
  <c r="E90" i="3"/>
  <c r="D90" i="3"/>
  <c r="C90" i="3"/>
  <c r="B90" i="3"/>
  <c r="A90" i="3"/>
  <c r="T89" i="3"/>
  <c r="S89" i="3"/>
  <c r="R89" i="3"/>
  <c r="Q89" i="3"/>
  <c r="O89" i="3"/>
  <c r="K89" i="3"/>
  <c r="J89" i="3"/>
  <c r="I89" i="3"/>
  <c r="H89" i="3"/>
  <c r="G89" i="3"/>
  <c r="F89" i="3"/>
  <c r="E89" i="3"/>
  <c r="D89" i="3"/>
  <c r="C89" i="3"/>
  <c r="B89" i="3"/>
  <c r="A89" i="3"/>
  <c r="T88" i="3"/>
  <c r="S88" i="3"/>
  <c r="R88" i="3"/>
  <c r="Q88" i="3"/>
  <c r="J88" i="3"/>
  <c r="I88" i="3"/>
  <c r="H88" i="3"/>
  <c r="G88" i="3"/>
  <c r="F88" i="3"/>
  <c r="E88" i="3"/>
  <c r="D88" i="3"/>
  <c r="C88" i="3"/>
  <c r="B88" i="3"/>
  <c r="A88" i="3"/>
  <c r="T87" i="3"/>
  <c r="S87" i="3"/>
  <c r="R87" i="3"/>
  <c r="Q87" i="3"/>
  <c r="O87" i="3"/>
  <c r="M87" i="3"/>
  <c r="K87" i="3"/>
  <c r="J87" i="3"/>
  <c r="I87" i="3"/>
  <c r="H87" i="3"/>
  <c r="G87" i="3"/>
  <c r="F87" i="3"/>
  <c r="E87" i="3"/>
  <c r="D87" i="3"/>
  <c r="C87" i="3"/>
  <c r="B87" i="3"/>
  <c r="A87" i="3"/>
  <c r="T86" i="3"/>
  <c r="S86" i="3"/>
  <c r="R86" i="3"/>
  <c r="Q86" i="3"/>
  <c r="O86" i="3"/>
  <c r="M86" i="3"/>
  <c r="K86" i="3"/>
  <c r="J86" i="3"/>
  <c r="I86" i="3"/>
  <c r="H86" i="3"/>
  <c r="G86" i="3"/>
  <c r="F86" i="3"/>
  <c r="E86" i="3"/>
  <c r="D86" i="3"/>
  <c r="C86" i="3"/>
  <c r="B86" i="3"/>
  <c r="A86" i="3"/>
  <c r="T85" i="3"/>
  <c r="S85" i="3"/>
  <c r="R85" i="3"/>
  <c r="Q85" i="3"/>
  <c r="K85" i="3"/>
  <c r="J85" i="3"/>
  <c r="I85" i="3"/>
  <c r="H85" i="3"/>
  <c r="G85" i="3"/>
  <c r="F85" i="3"/>
  <c r="E85" i="3"/>
  <c r="D85" i="3"/>
  <c r="C85" i="3"/>
  <c r="B85" i="3"/>
  <c r="A85" i="3"/>
  <c r="T84" i="3"/>
  <c r="S84" i="3"/>
  <c r="R84" i="3"/>
  <c r="Q84" i="3"/>
  <c r="O84" i="3"/>
  <c r="M84" i="3"/>
  <c r="K84" i="3"/>
  <c r="J84" i="3"/>
  <c r="I84" i="3"/>
  <c r="H84" i="3"/>
  <c r="G84" i="3"/>
  <c r="F84" i="3"/>
  <c r="E84" i="3"/>
  <c r="D84" i="3"/>
  <c r="C84" i="3"/>
  <c r="B84" i="3"/>
  <c r="A84" i="3"/>
  <c r="T83" i="3"/>
  <c r="S83" i="3"/>
  <c r="R83" i="3"/>
  <c r="Q83" i="3"/>
  <c r="O83" i="3"/>
  <c r="M83" i="3"/>
  <c r="K83" i="3"/>
  <c r="J83" i="3"/>
  <c r="I83" i="3"/>
  <c r="H83" i="3"/>
  <c r="G83" i="3"/>
  <c r="F83" i="3"/>
  <c r="E83" i="3"/>
  <c r="D83" i="3"/>
  <c r="C83" i="3"/>
  <c r="B83" i="3"/>
  <c r="A83" i="3"/>
  <c r="T82" i="3"/>
  <c r="S82" i="3"/>
  <c r="R82" i="3"/>
  <c r="Q82" i="3"/>
  <c r="J82" i="3"/>
  <c r="I82" i="3"/>
  <c r="H82" i="3"/>
  <c r="G82" i="3"/>
  <c r="F82" i="3"/>
  <c r="E82" i="3"/>
  <c r="D82" i="3"/>
  <c r="C82" i="3"/>
  <c r="B82" i="3"/>
  <c r="A82" i="3"/>
  <c r="T81" i="3"/>
  <c r="S81" i="3"/>
  <c r="R81" i="3"/>
  <c r="Q81" i="3"/>
  <c r="J81" i="3"/>
  <c r="I81" i="3"/>
  <c r="H81" i="3"/>
  <c r="G81" i="3"/>
  <c r="F81" i="3"/>
  <c r="E81" i="3"/>
  <c r="D81" i="3"/>
  <c r="C81" i="3"/>
  <c r="B81" i="3"/>
  <c r="A81" i="3"/>
  <c r="T80" i="3"/>
  <c r="S80" i="3"/>
  <c r="R80" i="3"/>
  <c r="Q80" i="3"/>
  <c r="J80" i="3"/>
  <c r="I80" i="3"/>
  <c r="H80" i="3"/>
  <c r="G80" i="3"/>
  <c r="F80" i="3"/>
  <c r="E80" i="3"/>
  <c r="D80" i="3"/>
  <c r="C80" i="3"/>
  <c r="B80" i="3"/>
  <c r="A80" i="3"/>
  <c r="T79" i="3"/>
  <c r="S79" i="3"/>
  <c r="R79" i="3"/>
  <c r="Q79" i="3"/>
  <c r="O79" i="3"/>
  <c r="M79" i="3"/>
  <c r="K79" i="3"/>
  <c r="J79" i="3"/>
  <c r="I79" i="3"/>
  <c r="H79" i="3"/>
  <c r="G79" i="3"/>
  <c r="F79" i="3"/>
  <c r="E79" i="3"/>
  <c r="D79" i="3"/>
  <c r="C79" i="3"/>
  <c r="B79" i="3"/>
  <c r="A79" i="3"/>
  <c r="T78" i="3"/>
  <c r="S78" i="3"/>
  <c r="R78" i="3"/>
  <c r="Q78" i="3"/>
  <c r="M78" i="3"/>
  <c r="K78" i="3"/>
  <c r="J78" i="3"/>
  <c r="I78" i="3"/>
  <c r="H78" i="3"/>
  <c r="G78" i="3"/>
  <c r="F78" i="3"/>
  <c r="E78" i="3"/>
  <c r="D78" i="3"/>
  <c r="C78" i="3"/>
  <c r="B78" i="3"/>
  <c r="A78" i="3"/>
  <c r="T77" i="3"/>
  <c r="S77" i="3"/>
  <c r="R77" i="3"/>
  <c r="Q77" i="3"/>
  <c r="M77" i="3"/>
  <c r="K77" i="3"/>
  <c r="J77" i="3"/>
  <c r="I77" i="3"/>
  <c r="H77" i="3"/>
  <c r="G77" i="3"/>
  <c r="F77" i="3"/>
  <c r="E77" i="3"/>
  <c r="D77" i="3"/>
  <c r="C77" i="3"/>
  <c r="B77" i="3"/>
  <c r="A77" i="3"/>
  <c r="T76" i="3"/>
  <c r="S76" i="3"/>
  <c r="R76" i="3"/>
  <c r="Q76" i="3"/>
  <c r="J76" i="3"/>
  <c r="I76" i="3"/>
  <c r="H76" i="3"/>
  <c r="G76" i="3"/>
  <c r="F76" i="3"/>
  <c r="E76" i="3"/>
  <c r="D76" i="3"/>
  <c r="C76" i="3"/>
  <c r="B76" i="3"/>
  <c r="A76" i="3"/>
  <c r="T75" i="3"/>
  <c r="S75" i="3"/>
  <c r="R75" i="3"/>
  <c r="Q75" i="3"/>
  <c r="M75" i="3"/>
  <c r="K75" i="3"/>
  <c r="J75" i="3"/>
  <c r="I75" i="3"/>
  <c r="H75" i="3"/>
  <c r="G75" i="3"/>
  <c r="F75" i="3"/>
  <c r="E75" i="3"/>
  <c r="D75" i="3"/>
  <c r="C75" i="3"/>
  <c r="B75" i="3"/>
  <c r="A75" i="3"/>
  <c r="T74" i="3"/>
  <c r="S74" i="3"/>
  <c r="R74" i="3"/>
  <c r="Q74" i="3"/>
  <c r="J74" i="3"/>
  <c r="I74" i="3"/>
  <c r="H74" i="3"/>
  <c r="G74" i="3"/>
  <c r="F74" i="3"/>
  <c r="E74" i="3"/>
  <c r="D74" i="3"/>
  <c r="C74" i="3"/>
  <c r="B74" i="3"/>
  <c r="A74" i="3"/>
  <c r="T73" i="3"/>
  <c r="S73" i="3"/>
  <c r="R73" i="3"/>
  <c r="Q73" i="3"/>
  <c r="J73" i="3"/>
  <c r="I73" i="3"/>
  <c r="H73" i="3"/>
  <c r="G73" i="3"/>
  <c r="F73" i="3"/>
  <c r="E73" i="3"/>
  <c r="D73" i="3"/>
  <c r="C73" i="3"/>
  <c r="B73" i="3"/>
  <c r="A73" i="3"/>
  <c r="T72" i="3"/>
  <c r="S72" i="3"/>
  <c r="R72" i="3"/>
  <c r="Q72" i="3"/>
  <c r="K72" i="3"/>
  <c r="J72" i="3"/>
  <c r="I72" i="3"/>
  <c r="H72" i="3"/>
  <c r="G72" i="3"/>
  <c r="F72" i="3"/>
  <c r="E72" i="3"/>
  <c r="D72" i="3"/>
  <c r="C72" i="3"/>
  <c r="B72" i="3"/>
  <c r="A72" i="3"/>
  <c r="T71" i="3"/>
  <c r="S71" i="3"/>
  <c r="R71" i="3"/>
  <c r="Q71" i="3"/>
  <c r="M71" i="3"/>
  <c r="K71" i="3"/>
  <c r="J71" i="3"/>
  <c r="I71" i="3"/>
  <c r="H71" i="3"/>
  <c r="G71" i="3"/>
  <c r="F71" i="3"/>
  <c r="E71" i="3"/>
  <c r="D71" i="3"/>
  <c r="C71" i="3"/>
  <c r="B71" i="3"/>
  <c r="A71" i="3"/>
  <c r="T70" i="3"/>
  <c r="S70" i="3"/>
  <c r="R70" i="3"/>
  <c r="Q70" i="3"/>
  <c r="O70" i="3"/>
  <c r="M70" i="3"/>
  <c r="K70" i="3"/>
  <c r="J70" i="3"/>
  <c r="I70" i="3"/>
  <c r="H70" i="3"/>
  <c r="G70" i="3"/>
  <c r="F70" i="3"/>
  <c r="E70" i="3"/>
  <c r="D70" i="3"/>
  <c r="C70" i="3"/>
  <c r="B70" i="3"/>
  <c r="A70" i="3"/>
  <c r="T69" i="3"/>
  <c r="S69" i="3"/>
  <c r="R69" i="3"/>
  <c r="Q69" i="3"/>
  <c r="O69" i="3"/>
  <c r="M69" i="3"/>
  <c r="K69" i="3"/>
  <c r="J69" i="3"/>
  <c r="I69" i="3"/>
  <c r="H69" i="3"/>
  <c r="G69" i="3"/>
  <c r="F69" i="3"/>
  <c r="E69" i="3"/>
  <c r="D69" i="3"/>
  <c r="C69" i="3"/>
  <c r="B69" i="3"/>
  <c r="A69" i="3"/>
  <c r="T68" i="3"/>
  <c r="S68" i="3"/>
  <c r="R68" i="3"/>
  <c r="Q68" i="3"/>
  <c r="O68" i="3"/>
  <c r="M68" i="3"/>
  <c r="K68" i="3"/>
  <c r="J68" i="3"/>
  <c r="I68" i="3"/>
  <c r="H68" i="3"/>
  <c r="G68" i="3"/>
  <c r="F68" i="3"/>
  <c r="E68" i="3"/>
  <c r="D68" i="3"/>
  <c r="C68" i="3"/>
  <c r="B68" i="3"/>
  <c r="A68" i="3"/>
  <c r="T67" i="3"/>
  <c r="S67" i="3"/>
  <c r="R67" i="3"/>
  <c r="Q67" i="3"/>
  <c r="O67" i="3"/>
  <c r="M67" i="3"/>
  <c r="K67" i="3"/>
  <c r="J67" i="3"/>
  <c r="I67" i="3"/>
  <c r="H67" i="3"/>
  <c r="G67" i="3"/>
  <c r="F67" i="3"/>
  <c r="E67" i="3"/>
  <c r="D67" i="3"/>
  <c r="C67" i="3"/>
  <c r="B67" i="3"/>
  <c r="A67" i="3"/>
  <c r="T66" i="3"/>
  <c r="S66" i="3"/>
  <c r="R66" i="3"/>
  <c r="Q66" i="3"/>
  <c r="O66" i="3"/>
  <c r="M66" i="3"/>
  <c r="K66" i="3"/>
  <c r="J66" i="3"/>
  <c r="I66" i="3"/>
  <c r="H66" i="3"/>
  <c r="G66" i="3"/>
  <c r="F66" i="3"/>
  <c r="E66" i="3"/>
  <c r="D66" i="3"/>
  <c r="C66" i="3"/>
  <c r="B66" i="3"/>
  <c r="A66" i="3"/>
  <c r="T65" i="3"/>
  <c r="S65" i="3"/>
  <c r="R65" i="3"/>
  <c r="Q65" i="3"/>
  <c r="J65" i="3"/>
  <c r="I65" i="3"/>
  <c r="H65" i="3"/>
  <c r="G65" i="3"/>
  <c r="F65" i="3"/>
  <c r="E65" i="3"/>
  <c r="D65" i="3"/>
  <c r="C65" i="3"/>
  <c r="B65" i="3"/>
  <c r="A65" i="3"/>
  <c r="T64" i="3"/>
  <c r="S64" i="3"/>
  <c r="R64" i="3"/>
  <c r="Q64" i="3"/>
  <c r="M64" i="3"/>
  <c r="K64" i="3"/>
  <c r="J64" i="3"/>
  <c r="I64" i="3"/>
  <c r="H64" i="3"/>
  <c r="G64" i="3"/>
  <c r="F64" i="3"/>
  <c r="E64" i="3"/>
  <c r="D64" i="3"/>
  <c r="C64" i="3"/>
  <c r="B64" i="3"/>
  <c r="A64" i="3"/>
  <c r="T63" i="3"/>
  <c r="S63" i="3"/>
  <c r="R63" i="3"/>
  <c r="Q63" i="3"/>
  <c r="O63" i="3"/>
  <c r="M63" i="3"/>
  <c r="K63" i="3"/>
  <c r="J63" i="3"/>
  <c r="I63" i="3"/>
  <c r="H63" i="3"/>
  <c r="G63" i="3"/>
  <c r="F63" i="3"/>
  <c r="E63" i="3"/>
  <c r="D63" i="3"/>
  <c r="C63" i="3"/>
  <c r="B63" i="3"/>
  <c r="A63" i="3"/>
  <c r="T62" i="3"/>
  <c r="S62" i="3"/>
  <c r="R62" i="3"/>
  <c r="Q62" i="3"/>
  <c r="O62" i="3"/>
  <c r="K62" i="3"/>
  <c r="J62" i="3"/>
  <c r="I62" i="3"/>
  <c r="H62" i="3"/>
  <c r="G62" i="3"/>
  <c r="F62" i="3"/>
  <c r="E62" i="3"/>
  <c r="D62" i="3"/>
  <c r="C62" i="3"/>
  <c r="B62" i="3"/>
  <c r="A62" i="3"/>
  <c r="T61" i="3"/>
  <c r="S61" i="3"/>
  <c r="R61" i="3"/>
  <c r="Q61" i="3"/>
  <c r="O61" i="3"/>
  <c r="M61" i="3"/>
  <c r="K61" i="3"/>
  <c r="J61" i="3"/>
  <c r="I61" i="3"/>
  <c r="H61" i="3"/>
  <c r="G61" i="3"/>
  <c r="F61" i="3"/>
  <c r="E61" i="3"/>
  <c r="D61" i="3"/>
  <c r="C61" i="3"/>
  <c r="B61" i="3"/>
  <c r="A61" i="3"/>
  <c r="T60" i="3"/>
  <c r="S60" i="3"/>
  <c r="R60" i="3"/>
  <c r="Q60" i="3"/>
  <c r="M60" i="3"/>
  <c r="K60" i="3"/>
  <c r="J60" i="3"/>
  <c r="I60" i="3"/>
  <c r="H60" i="3"/>
  <c r="G60" i="3"/>
  <c r="F60" i="3"/>
  <c r="E60" i="3"/>
  <c r="D60" i="3"/>
  <c r="C60" i="3"/>
  <c r="B60" i="3"/>
  <c r="A60" i="3"/>
  <c r="T59" i="3"/>
  <c r="S59" i="3"/>
  <c r="R59" i="3"/>
  <c r="Q59" i="3"/>
  <c r="O59" i="3"/>
  <c r="M59" i="3"/>
  <c r="K59" i="3"/>
  <c r="J59" i="3"/>
  <c r="I59" i="3"/>
  <c r="H59" i="3"/>
  <c r="G59" i="3"/>
  <c r="F59" i="3"/>
  <c r="E59" i="3"/>
  <c r="D59" i="3"/>
  <c r="C59" i="3"/>
  <c r="B59" i="3"/>
  <c r="A59" i="3"/>
  <c r="T58" i="3"/>
  <c r="S58" i="3"/>
  <c r="R58" i="3"/>
  <c r="Q58" i="3"/>
  <c r="O58" i="3"/>
  <c r="M58" i="3"/>
  <c r="K58" i="3"/>
  <c r="J58" i="3"/>
  <c r="I58" i="3"/>
  <c r="H58" i="3"/>
  <c r="G58" i="3"/>
  <c r="F58" i="3"/>
  <c r="E58" i="3"/>
  <c r="D58" i="3"/>
  <c r="C58" i="3"/>
  <c r="B58" i="3"/>
  <c r="A58" i="3"/>
  <c r="T57" i="3"/>
  <c r="S57" i="3"/>
  <c r="R57" i="3"/>
  <c r="Q57" i="3"/>
  <c r="K57" i="3"/>
  <c r="J57" i="3"/>
  <c r="I57" i="3"/>
  <c r="H57" i="3"/>
  <c r="G57" i="3"/>
  <c r="F57" i="3"/>
  <c r="E57" i="3"/>
  <c r="D57" i="3"/>
  <c r="C57" i="3"/>
  <c r="B57" i="3"/>
  <c r="A57" i="3"/>
  <c r="T56" i="3"/>
  <c r="S56" i="3"/>
  <c r="R56" i="3"/>
  <c r="Q56" i="3"/>
  <c r="K56" i="3"/>
  <c r="J56" i="3"/>
  <c r="I56" i="3"/>
  <c r="H56" i="3"/>
  <c r="G56" i="3"/>
  <c r="F56" i="3"/>
  <c r="E56" i="3"/>
  <c r="D56" i="3"/>
  <c r="C56" i="3"/>
  <c r="B56" i="3"/>
  <c r="A56" i="3"/>
  <c r="T55" i="3"/>
  <c r="S55" i="3"/>
  <c r="R55" i="3"/>
  <c r="Q55" i="3"/>
  <c r="M55" i="3"/>
  <c r="K55" i="3"/>
  <c r="J55" i="3"/>
  <c r="I55" i="3"/>
  <c r="H55" i="3"/>
  <c r="G55" i="3"/>
  <c r="F55" i="3"/>
  <c r="E55" i="3"/>
  <c r="D55" i="3"/>
  <c r="C55" i="3"/>
  <c r="B55" i="3"/>
  <c r="A55" i="3"/>
  <c r="T54" i="3"/>
  <c r="S54" i="3"/>
  <c r="R54" i="3"/>
  <c r="Q54" i="3"/>
  <c r="K54" i="3"/>
  <c r="J54" i="3"/>
  <c r="I54" i="3"/>
  <c r="H54" i="3"/>
  <c r="G54" i="3"/>
  <c r="F54" i="3"/>
  <c r="E54" i="3"/>
  <c r="D54" i="3"/>
  <c r="C54" i="3"/>
  <c r="B54" i="3"/>
  <c r="A54" i="3"/>
  <c r="T53" i="3"/>
  <c r="S53" i="3"/>
  <c r="R53" i="3"/>
  <c r="Q53" i="3"/>
  <c r="J53" i="3"/>
  <c r="I53" i="3"/>
  <c r="H53" i="3"/>
  <c r="G53" i="3"/>
  <c r="F53" i="3"/>
  <c r="E53" i="3"/>
  <c r="D53" i="3"/>
  <c r="C53" i="3"/>
  <c r="B53" i="3"/>
  <c r="A53" i="3"/>
  <c r="T52" i="3"/>
  <c r="S52" i="3"/>
  <c r="R52" i="3"/>
  <c r="Q52" i="3"/>
  <c r="O52" i="3"/>
  <c r="M52" i="3"/>
  <c r="K52" i="3"/>
  <c r="J52" i="3"/>
  <c r="I52" i="3"/>
  <c r="H52" i="3"/>
  <c r="G52" i="3"/>
  <c r="F52" i="3"/>
  <c r="E52" i="3"/>
  <c r="D52" i="3"/>
  <c r="C52" i="3"/>
  <c r="B52" i="3"/>
  <c r="A52" i="3"/>
  <c r="T51" i="3"/>
  <c r="S51" i="3"/>
  <c r="R51" i="3"/>
  <c r="Q51" i="3"/>
  <c r="O51" i="3"/>
  <c r="M51" i="3"/>
  <c r="K51" i="3"/>
  <c r="J51" i="3"/>
  <c r="I51" i="3"/>
  <c r="H51" i="3"/>
  <c r="G51" i="3"/>
  <c r="F51" i="3"/>
  <c r="E51" i="3"/>
  <c r="D51" i="3"/>
  <c r="C51" i="3"/>
  <c r="B51" i="3"/>
  <c r="A51" i="3"/>
  <c r="T50" i="3"/>
  <c r="S50" i="3"/>
  <c r="R50" i="3"/>
  <c r="Q50" i="3"/>
  <c r="J50" i="3"/>
  <c r="I50" i="3"/>
  <c r="H50" i="3"/>
  <c r="G50" i="3"/>
  <c r="F50" i="3"/>
  <c r="E50" i="3"/>
  <c r="D50" i="3"/>
  <c r="C50" i="3"/>
  <c r="B50" i="3"/>
  <c r="A50" i="3"/>
  <c r="T49" i="3"/>
  <c r="S49" i="3"/>
  <c r="R49" i="3"/>
  <c r="Q49" i="3"/>
  <c r="O49" i="3"/>
  <c r="M49" i="3"/>
  <c r="K49" i="3"/>
  <c r="J49" i="3"/>
  <c r="I49" i="3"/>
  <c r="H49" i="3"/>
  <c r="G49" i="3"/>
  <c r="F49" i="3"/>
  <c r="E49" i="3"/>
  <c r="D49" i="3"/>
  <c r="C49" i="3"/>
  <c r="B49" i="3"/>
  <c r="A49" i="3"/>
  <c r="T48" i="3"/>
  <c r="S48" i="3"/>
  <c r="R48" i="3"/>
  <c r="Q48" i="3"/>
  <c r="O48" i="3"/>
  <c r="M48" i="3"/>
  <c r="K48" i="3"/>
  <c r="J48" i="3"/>
  <c r="I48" i="3"/>
  <c r="H48" i="3"/>
  <c r="G48" i="3"/>
  <c r="F48" i="3"/>
  <c r="E48" i="3"/>
  <c r="D48" i="3"/>
  <c r="C48" i="3"/>
  <c r="B48" i="3"/>
  <c r="A48" i="3"/>
  <c r="T47" i="3"/>
  <c r="S47" i="3"/>
  <c r="R47" i="3"/>
  <c r="Q47" i="3"/>
  <c r="O47" i="3"/>
  <c r="K47" i="3"/>
  <c r="J47" i="3"/>
  <c r="I47" i="3"/>
  <c r="H47" i="3"/>
  <c r="G47" i="3"/>
  <c r="F47" i="3"/>
  <c r="E47" i="3"/>
  <c r="D47" i="3"/>
  <c r="C47" i="3"/>
  <c r="B47" i="3"/>
  <c r="A47" i="3"/>
  <c r="T46" i="3"/>
  <c r="S46" i="3"/>
  <c r="R46" i="3"/>
  <c r="Q46" i="3"/>
  <c r="M46" i="3"/>
  <c r="K46" i="3"/>
  <c r="J46" i="3"/>
  <c r="I46" i="3"/>
  <c r="H46" i="3"/>
  <c r="G46" i="3"/>
  <c r="F46" i="3"/>
  <c r="E46" i="3"/>
  <c r="D46" i="3"/>
  <c r="C46" i="3"/>
  <c r="B46" i="3"/>
  <c r="A46" i="3"/>
  <c r="T45" i="3"/>
  <c r="S45" i="3"/>
  <c r="R45" i="3"/>
  <c r="Q45" i="3"/>
  <c r="J45" i="3"/>
  <c r="I45" i="3"/>
  <c r="H45" i="3"/>
  <c r="G45" i="3"/>
  <c r="F45" i="3"/>
  <c r="E45" i="3"/>
  <c r="D45" i="3"/>
  <c r="C45" i="3"/>
  <c r="B45" i="3"/>
  <c r="A45" i="3"/>
  <c r="T44" i="3"/>
  <c r="S44" i="3"/>
  <c r="R44" i="3"/>
  <c r="Q44" i="3"/>
  <c r="J44" i="3"/>
  <c r="I44" i="3"/>
  <c r="H44" i="3"/>
  <c r="G44" i="3"/>
  <c r="F44" i="3"/>
  <c r="E44" i="3"/>
  <c r="D44" i="3"/>
  <c r="C44" i="3"/>
  <c r="B44" i="3"/>
  <c r="A44" i="3"/>
  <c r="T43" i="3"/>
  <c r="S43" i="3"/>
  <c r="R43" i="3"/>
  <c r="Q43" i="3"/>
  <c r="J43" i="3"/>
  <c r="I43" i="3"/>
  <c r="H43" i="3"/>
  <c r="G43" i="3"/>
  <c r="F43" i="3"/>
  <c r="E43" i="3"/>
  <c r="D43" i="3"/>
  <c r="C43" i="3"/>
  <c r="B43" i="3"/>
  <c r="A43" i="3"/>
  <c r="T42" i="3"/>
  <c r="S42" i="3"/>
  <c r="R42" i="3"/>
  <c r="Q42" i="3"/>
  <c r="K42" i="3"/>
  <c r="J42" i="3"/>
  <c r="I42" i="3"/>
  <c r="H42" i="3"/>
  <c r="G42" i="3"/>
  <c r="F42" i="3"/>
  <c r="E42" i="3"/>
  <c r="D42" i="3"/>
  <c r="C42" i="3"/>
  <c r="B42" i="3"/>
  <c r="A42" i="3"/>
  <c r="T41" i="3"/>
  <c r="S41" i="3"/>
  <c r="R41" i="3"/>
  <c r="Q41" i="3"/>
  <c r="O41" i="3"/>
  <c r="K41" i="3"/>
  <c r="J41" i="3"/>
  <c r="I41" i="3"/>
  <c r="H41" i="3"/>
  <c r="G41" i="3"/>
  <c r="F41" i="3"/>
  <c r="E41" i="3"/>
  <c r="D41" i="3"/>
  <c r="C41" i="3"/>
  <c r="B41" i="3"/>
  <c r="A41" i="3"/>
  <c r="T40" i="3"/>
  <c r="S40" i="3"/>
  <c r="R40" i="3"/>
  <c r="Q40" i="3"/>
  <c r="O40" i="3"/>
  <c r="M40" i="3"/>
  <c r="K40" i="3"/>
  <c r="J40" i="3"/>
  <c r="I40" i="3"/>
  <c r="H40" i="3"/>
  <c r="G40" i="3"/>
  <c r="F40" i="3"/>
  <c r="E40" i="3"/>
  <c r="D40" i="3"/>
  <c r="C40" i="3"/>
  <c r="B40" i="3"/>
  <c r="A40" i="3"/>
  <c r="T39" i="3"/>
  <c r="S39" i="3"/>
  <c r="R39" i="3"/>
  <c r="Q39" i="3"/>
  <c r="O39" i="3"/>
  <c r="M39" i="3"/>
  <c r="K39" i="3"/>
  <c r="J39" i="3"/>
  <c r="I39" i="3"/>
  <c r="H39" i="3"/>
  <c r="G39" i="3"/>
  <c r="F39" i="3"/>
  <c r="E39" i="3"/>
  <c r="D39" i="3"/>
  <c r="C39" i="3"/>
  <c r="B39" i="3"/>
  <c r="A39" i="3"/>
  <c r="T38" i="3"/>
  <c r="S38" i="3"/>
  <c r="R38" i="3"/>
  <c r="Q38" i="3"/>
  <c r="O38" i="3"/>
  <c r="K38" i="3"/>
  <c r="J38" i="3"/>
  <c r="I38" i="3"/>
  <c r="H38" i="3"/>
  <c r="G38" i="3"/>
  <c r="F38" i="3"/>
  <c r="E38" i="3"/>
  <c r="D38" i="3"/>
  <c r="C38" i="3"/>
  <c r="B38" i="3"/>
  <c r="A38" i="3"/>
  <c r="T37" i="3"/>
  <c r="S37" i="3"/>
  <c r="R37" i="3"/>
  <c r="Q37" i="3"/>
  <c r="J37" i="3"/>
  <c r="I37" i="3"/>
  <c r="H37" i="3"/>
  <c r="G37" i="3"/>
  <c r="F37" i="3"/>
  <c r="E37" i="3"/>
  <c r="D37" i="3"/>
  <c r="C37" i="3"/>
  <c r="B37" i="3"/>
  <c r="A37" i="3"/>
  <c r="T36" i="3"/>
  <c r="S36" i="3"/>
  <c r="R36" i="3"/>
  <c r="Q36" i="3"/>
  <c r="O36" i="3"/>
  <c r="K36" i="3"/>
  <c r="J36" i="3"/>
  <c r="I36" i="3"/>
  <c r="H36" i="3"/>
  <c r="G36" i="3"/>
  <c r="F36" i="3"/>
  <c r="E36" i="3"/>
  <c r="D36" i="3"/>
  <c r="C36" i="3"/>
  <c r="B36" i="3"/>
  <c r="A36" i="3"/>
  <c r="T35" i="3"/>
  <c r="S35" i="3"/>
  <c r="R35" i="3"/>
  <c r="Q35" i="3"/>
  <c r="O35" i="3"/>
  <c r="M35" i="3"/>
  <c r="K35" i="3"/>
  <c r="J35" i="3"/>
  <c r="I35" i="3"/>
  <c r="H35" i="3"/>
  <c r="G35" i="3"/>
  <c r="F35" i="3"/>
  <c r="E35" i="3"/>
  <c r="D35" i="3"/>
  <c r="C35" i="3"/>
  <c r="B35" i="3"/>
  <c r="A35" i="3"/>
  <c r="T34" i="3"/>
  <c r="S34" i="3"/>
  <c r="R34" i="3"/>
  <c r="Q34" i="3"/>
  <c r="O34" i="3"/>
  <c r="M34" i="3"/>
  <c r="K34" i="3"/>
  <c r="J34" i="3"/>
  <c r="I34" i="3"/>
  <c r="H34" i="3"/>
  <c r="G34" i="3"/>
  <c r="F34" i="3"/>
  <c r="E34" i="3"/>
  <c r="D34" i="3"/>
  <c r="C34" i="3"/>
  <c r="B34" i="3"/>
  <c r="A34" i="3"/>
  <c r="T33" i="3"/>
  <c r="S33" i="3"/>
  <c r="R33" i="3"/>
  <c r="Q33" i="3"/>
  <c r="M33" i="3"/>
  <c r="K33" i="3"/>
  <c r="J33" i="3"/>
  <c r="I33" i="3"/>
  <c r="H33" i="3"/>
  <c r="G33" i="3"/>
  <c r="F33" i="3"/>
  <c r="E33" i="3"/>
  <c r="D33" i="3"/>
  <c r="C33" i="3"/>
  <c r="B33" i="3"/>
  <c r="A33" i="3"/>
  <c r="T32" i="3"/>
  <c r="S32" i="3"/>
  <c r="R32" i="3"/>
  <c r="Q32" i="3"/>
  <c r="J32" i="3"/>
  <c r="I32" i="3"/>
  <c r="H32" i="3"/>
  <c r="G32" i="3"/>
  <c r="F32" i="3"/>
  <c r="E32" i="3"/>
  <c r="D32" i="3"/>
  <c r="C32" i="3"/>
  <c r="B32" i="3"/>
  <c r="A32" i="3"/>
  <c r="T31" i="3"/>
  <c r="S31" i="3"/>
  <c r="R31" i="3"/>
  <c r="Q31" i="3"/>
  <c r="J31" i="3"/>
  <c r="I31" i="3"/>
  <c r="H31" i="3"/>
  <c r="G31" i="3"/>
  <c r="F31" i="3"/>
  <c r="E31" i="3"/>
  <c r="D31" i="3"/>
  <c r="C31" i="3"/>
  <c r="B31" i="3"/>
  <c r="A31" i="3"/>
  <c r="T30" i="3"/>
  <c r="S30" i="3"/>
  <c r="R30" i="3"/>
  <c r="Q30" i="3"/>
  <c r="K30" i="3"/>
  <c r="J30" i="3"/>
  <c r="I30" i="3"/>
  <c r="H30" i="3"/>
  <c r="G30" i="3"/>
  <c r="F30" i="3"/>
  <c r="E30" i="3"/>
  <c r="D30" i="3"/>
  <c r="C30" i="3"/>
  <c r="B30" i="3"/>
  <c r="A30" i="3"/>
  <c r="T29" i="3"/>
  <c r="S29" i="3"/>
  <c r="R29" i="3"/>
  <c r="Q29" i="3"/>
  <c r="O29" i="3"/>
  <c r="M29" i="3"/>
  <c r="K29" i="3"/>
  <c r="J29" i="3"/>
  <c r="I29" i="3"/>
  <c r="H29" i="3"/>
  <c r="G29" i="3"/>
  <c r="F29" i="3"/>
  <c r="E29" i="3"/>
  <c r="D29" i="3"/>
  <c r="C29" i="3"/>
  <c r="B29" i="3"/>
  <c r="A29" i="3"/>
  <c r="T28" i="3"/>
  <c r="S28" i="3"/>
  <c r="R28" i="3"/>
  <c r="Q28" i="3"/>
  <c r="O28" i="3"/>
  <c r="M28" i="3"/>
  <c r="K28" i="3"/>
  <c r="J28" i="3"/>
  <c r="I28" i="3"/>
  <c r="H28" i="3"/>
  <c r="G28" i="3"/>
  <c r="F28" i="3"/>
  <c r="E28" i="3"/>
  <c r="D28" i="3"/>
  <c r="C28" i="3"/>
  <c r="B28" i="3"/>
  <c r="A28" i="3"/>
  <c r="T27" i="3"/>
  <c r="S27" i="3"/>
  <c r="R27" i="3"/>
  <c r="Q27" i="3"/>
  <c r="J27" i="3"/>
  <c r="I27" i="3"/>
  <c r="H27" i="3"/>
  <c r="G27" i="3"/>
  <c r="F27" i="3"/>
  <c r="E27" i="3"/>
  <c r="D27" i="3"/>
  <c r="C27" i="3"/>
  <c r="B27" i="3"/>
  <c r="A27" i="3"/>
  <c r="T26" i="3"/>
  <c r="S26" i="3"/>
  <c r="R26" i="3"/>
  <c r="Q26" i="3"/>
  <c r="O26" i="3"/>
  <c r="K26" i="3"/>
  <c r="J26" i="3"/>
  <c r="I26" i="3"/>
  <c r="H26" i="3"/>
  <c r="G26" i="3"/>
  <c r="F26" i="3"/>
  <c r="E26" i="3"/>
  <c r="D26" i="3"/>
  <c r="C26" i="3"/>
  <c r="B26" i="3"/>
  <c r="A26" i="3"/>
  <c r="T25" i="3"/>
  <c r="S25" i="3"/>
  <c r="R25" i="3"/>
  <c r="Q25" i="3"/>
  <c r="O25" i="3"/>
  <c r="K25" i="3"/>
  <c r="J25" i="3"/>
  <c r="I25" i="3"/>
  <c r="H25" i="3"/>
  <c r="G25" i="3"/>
  <c r="F25" i="3"/>
  <c r="E25" i="3"/>
  <c r="D25" i="3"/>
  <c r="C25" i="3"/>
  <c r="B25" i="3"/>
  <c r="A25" i="3"/>
  <c r="T24" i="3"/>
  <c r="S24" i="3"/>
  <c r="R24" i="3"/>
  <c r="Q24" i="3"/>
  <c r="O24" i="3"/>
  <c r="M24" i="3"/>
  <c r="K24" i="3"/>
  <c r="J24" i="3"/>
  <c r="I24" i="3"/>
  <c r="H24" i="3"/>
  <c r="G24" i="3"/>
  <c r="F24" i="3"/>
  <c r="E24" i="3"/>
  <c r="D24" i="3"/>
  <c r="C24" i="3"/>
  <c r="B24" i="3"/>
  <c r="A24" i="3"/>
  <c r="T23" i="3"/>
  <c r="S23" i="3"/>
  <c r="R23" i="3"/>
  <c r="Q23" i="3"/>
  <c r="K23" i="3"/>
  <c r="J23" i="3"/>
  <c r="I23" i="3"/>
  <c r="H23" i="3"/>
  <c r="G23" i="3"/>
  <c r="F23" i="3"/>
  <c r="E23" i="3"/>
  <c r="D23" i="3"/>
  <c r="C23" i="3"/>
  <c r="B23" i="3"/>
  <c r="A23" i="3"/>
  <c r="T22" i="3"/>
  <c r="S22" i="3"/>
  <c r="R22" i="3"/>
  <c r="Q22" i="3"/>
  <c r="O22" i="3"/>
  <c r="M22" i="3"/>
  <c r="K22" i="3"/>
  <c r="J22" i="3"/>
  <c r="I22" i="3"/>
  <c r="H22" i="3"/>
  <c r="G22" i="3"/>
  <c r="F22" i="3"/>
  <c r="E22" i="3"/>
  <c r="D22" i="3"/>
  <c r="C22" i="3"/>
  <c r="B22" i="3"/>
  <c r="A22" i="3"/>
  <c r="T21" i="3"/>
  <c r="S21" i="3"/>
  <c r="R21" i="3"/>
  <c r="Q21" i="3"/>
  <c r="O21" i="3"/>
  <c r="M21" i="3"/>
  <c r="K21" i="3"/>
  <c r="J21" i="3"/>
  <c r="I21" i="3"/>
  <c r="H21" i="3"/>
  <c r="G21" i="3"/>
  <c r="F21" i="3"/>
  <c r="E21" i="3"/>
  <c r="D21" i="3"/>
  <c r="C21" i="3"/>
  <c r="B21" i="3"/>
  <c r="A21" i="3"/>
  <c r="T20" i="3"/>
  <c r="S20" i="3"/>
  <c r="R20" i="3"/>
  <c r="Q20" i="3"/>
  <c r="O20" i="3"/>
  <c r="M20" i="3"/>
  <c r="K20" i="3"/>
  <c r="J20" i="3"/>
  <c r="I20" i="3"/>
  <c r="H20" i="3"/>
  <c r="G20" i="3"/>
  <c r="F20" i="3"/>
  <c r="E20" i="3"/>
  <c r="D20" i="3"/>
  <c r="C20" i="3"/>
  <c r="B20" i="3"/>
  <c r="A20" i="3"/>
  <c r="T19" i="3"/>
  <c r="S19" i="3"/>
  <c r="R19" i="3"/>
  <c r="Q19" i="3"/>
  <c r="K19" i="3"/>
  <c r="J19" i="3"/>
  <c r="I19" i="3"/>
  <c r="H19" i="3"/>
  <c r="G19" i="3"/>
  <c r="F19" i="3"/>
  <c r="E19" i="3"/>
  <c r="D19" i="3"/>
  <c r="C19" i="3"/>
  <c r="B19" i="3"/>
  <c r="A19" i="3"/>
  <c r="T18" i="3"/>
  <c r="S18" i="3"/>
  <c r="R18" i="3"/>
  <c r="Q18" i="3"/>
  <c r="M18" i="3"/>
  <c r="K18" i="3"/>
  <c r="J18" i="3"/>
  <c r="I18" i="3"/>
  <c r="H18" i="3"/>
  <c r="G18" i="3"/>
  <c r="F18" i="3"/>
  <c r="E18" i="3"/>
  <c r="D18" i="3"/>
  <c r="C18" i="3"/>
  <c r="B18" i="3"/>
  <c r="A18" i="3"/>
  <c r="T17" i="3"/>
  <c r="S17" i="3"/>
  <c r="R17" i="3"/>
  <c r="Q17" i="3"/>
  <c r="J17" i="3"/>
  <c r="I17" i="3"/>
  <c r="H17" i="3"/>
  <c r="G17" i="3"/>
  <c r="F17" i="3"/>
  <c r="E17" i="3"/>
  <c r="D17" i="3"/>
  <c r="C17" i="3"/>
  <c r="B17" i="3"/>
  <c r="A17" i="3"/>
  <c r="T16" i="3"/>
  <c r="S16" i="3"/>
  <c r="R16" i="3"/>
  <c r="Q16" i="3"/>
  <c r="O16" i="3"/>
  <c r="K16" i="3"/>
  <c r="J16" i="3"/>
  <c r="I16" i="3"/>
  <c r="H16" i="3"/>
  <c r="G16" i="3"/>
  <c r="F16" i="3"/>
  <c r="E16" i="3"/>
  <c r="D16" i="3"/>
  <c r="C16" i="3"/>
  <c r="B16" i="3"/>
  <c r="A16" i="3"/>
  <c r="T15" i="3"/>
  <c r="S15" i="3"/>
  <c r="R15" i="3"/>
  <c r="Q15" i="3"/>
  <c r="J15" i="3"/>
  <c r="I15" i="3"/>
  <c r="H15" i="3"/>
  <c r="G15" i="3"/>
  <c r="F15" i="3"/>
  <c r="E15" i="3"/>
  <c r="D15" i="3"/>
  <c r="C15" i="3"/>
  <c r="B15" i="3"/>
  <c r="A15" i="3"/>
  <c r="T14" i="3"/>
  <c r="S14" i="3"/>
  <c r="R14" i="3"/>
  <c r="Q14" i="3"/>
  <c r="O14" i="3"/>
  <c r="M14" i="3"/>
  <c r="K14" i="3"/>
  <c r="J14" i="3"/>
  <c r="I14" i="3"/>
  <c r="H14" i="3"/>
  <c r="G14" i="3"/>
  <c r="F14" i="3"/>
  <c r="E14" i="3"/>
  <c r="D14" i="3"/>
  <c r="C14" i="3"/>
  <c r="B14" i="3"/>
  <c r="A14" i="3"/>
  <c r="T13" i="3"/>
  <c r="S13" i="3"/>
  <c r="R13" i="3"/>
  <c r="Q13" i="3"/>
  <c r="O13" i="3"/>
  <c r="M13" i="3"/>
  <c r="K13" i="3"/>
  <c r="J13" i="3"/>
  <c r="I13" i="3"/>
  <c r="H13" i="3"/>
  <c r="G13" i="3"/>
  <c r="F13" i="3"/>
  <c r="E13" i="3"/>
  <c r="D13" i="3"/>
  <c r="C13" i="3"/>
  <c r="B13" i="3"/>
  <c r="A13" i="3"/>
  <c r="T12" i="3"/>
  <c r="S12" i="3"/>
  <c r="R12" i="3"/>
  <c r="Q12" i="3"/>
  <c r="J12" i="3"/>
  <c r="I12" i="3"/>
  <c r="H12" i="3"/>
  <c r="G12" i="3"/>
  <c r="F12" i="3"/>
  <c r="E12" i="3"/>
  <c r="D12" i="3"/>
  <c r="C12" i="3"/>
  <c r="B12" i="3"/>
  <c r="A12" i="3"/>
  <c r="T11" i="3"/>
  <c r="S11" i="3"/>
  <c r="R11" i="3"/>
  <c r="Q11" i="3"/>
  <c r="O11" i="3"/>
  <c r="M11" i="3"/>
  <c r="K11" i="3"/>
  <c r="J11" i="3"/>
  <c r="I11" i="3"/>
  <c r="H11" i="3"/>
  <c r="G11" i="3"/>
  <c r="F11" i="3"/>
  <c r="E11" i="3"/>
  <c r="D11" i="3"/>
  <c r="C11" i="3"/>
  <c r="B11" i="3"/>
  <c r="A11" i="3"/>
  <c r="T10" i="3"/>
  <c r="S10" i="3"/>
  <c r="R10" i="3"/>
  <c r="Q10" i="3"/>
  <c r="O10" i="3"/>
  <c r="M10" i="3"/>
  <c r="K10" i="3"/>
  <c r="J10" i="3"/>
  <c r="I10" i="3"/>
  <c r="H10" i="3"/>
  <c r="G10" i="3"/>
  <c r="F10" i="3"/>
  <c r="E10" i="3"/>
  <c r="D10" i="3"/>
  <c r="C10" i="3"/>
  <c r="B10" i="3"/>
  <c r="A10" i="3"/>
  <c r="T9" i="3"/>
  <c r="S9" i="3"/>
  <c r="R9" i="3"/>
  <c r="Q9" i="3"/>
  <c r="O9" i="3"/>
  <c r="K9" i="3"/>
  <c r="J9" i="3"/>
  <c r="I9" i="3"/>
  <c r="H9" i="3"/>
  <c r="G9" i="3"/>
  <c r="F9" i="3"/>
  <c r="E9" i="3"/>
  <c r="D9" i="3"/>
  <c r="C9" i="3"/>
  <c r="B9" i="3"/>
  <c r="A9" i="3"/>
  <c r="T8" i="3"/>
  <c r="S8" i="3"/>
  <c r="R8" i="3"/>
  <c r="Q8" i="3"/>
  <c r="M8" i="3"/>
  <c r="K8" i="3"/>
  <c r="J8" i="3"/>
  <c r="I8" i="3"/>
  <c r="H8" i="3"/>
  <c r="G8" i="3"/>
  <c r="F8" i="3"/>
  <c r="E8" i="3"/>
  <c r="D8" i="3"/>
  <c r="C8" i="3"/>
  <c r="B8" i="3"/>
  <c r="A8" i="3"/>
  <c r="T7" i="3"/>
  <c r="S7" i="3"/>
  <c r="R7" i="3"/>
  <c r="Q7" i="3"/>
  <c r="O7" i="3"/>
  <c r="M7" i="3"/>
  <c r="K7" i="3"/>
  <c r="J7" i="3"/>
  <c r="I7" i="3"/>
  <c r="H7" i="3"/>
  <c r="G7" i="3"/>
  <c r="F7" i="3"/>
  <c r="E7" i="3"/>
  <c r="D7" i="3"/>
  <c r="C7" i="3"/>
  <c r="B7" i="3"/>
  <c r="A7" i="3"/>
  <c r="T6" i="3"/>
  <c r="S6" i="3"/>
  <c r="R6" i="3"/>
  <c r="Q6" i="3"/>
  <c r="O6" i="3"/>
  <c r="M6" i="3"/>
  <c r="K6" i="3"/>
  <c r="J6" i="3"/>
  <c r="I6" i="3"/>
  <c r="H6" i="3"/>
  <c r="G6" i="3"/>
  <c r="F6" i="3"/>
  <c r="E6" i="3"/>
  <c r="D6" i="3"/>
  <c r="C6" i="3"/>
  <c r="B6" i="3"/>
  <c r="A6" i="3"/>
  <c r="T5" i="3"/>
  <c r="S5" i="3"/>
  <c r="R5" i="3"/>
  <c r="Q5" i="3"/>
  <c r="O5" i="3"/>
  <c r="K5" i="3"/>
  <c r="J5" i="3"/>
  <c r="I5" i="3"/>
  <c r="H5" i="3"/>
  <c r="G5" i="3"/>
  <c r="F5" i="3"/>
  <c r="E5" i="3"/>
  <c r="D5" i="3"/>
  <c r="C5" i="3"/>
  <c r="B5" i="3"/>
  <c r="A5" i="3"/>
  <c r="T4" i="3"/>
  <c r="S4" i="3"/>
  <c r="R4" i="3"/>
  <c r="Q4" i="3"/>
  <c r="J4" i="3"/>
  <c r="I4" i="3"/>
  <c r="H4" i="3"/>
  <c r="G4" i="3"/>
  <c r="F4" i="3"/>
  <c r="E4" i="3"/>
  <c r="D4" i="3"/>
  <c r="C4" i="3"/>
  <c r="B4" i="3"/>
  <c r="A4" i="3"/>
  <c r="T3" i="3"/>
  <c r="S3" i="3"/>
  <c r="R3" i="3"/>
  <c r="Q3" i="3"/>
  <c r="O3" i="3"/>
  <c r="K3" i="3"/>
  <c r="J3" i="3"/>
  <c r="I3" i="3"/>
  <c r="H3" i="3"/>
  <c r="G3" i="3"/>
  <c r="F3" i="3"/>
  <c r="E3" i="3"/>
  <c r="D3" i="3"/>
  <c r="C3" i="3"/>
  <c r="B3" i="3"/>
  <c r="A3" i="3"/>
  <c r="O2" i="3"/>
  <c r="N2" i="3"/>
  <c r="M2" i="3"/>
  <c r="L2" i="3"/>
  <c r="K2" i="3"/>
  <c r="J2" i="3"/>
  <c r="I2" i="3"/>
  <c r="H2" i="3"/>
  <c r="G2" i="3"/>
  <c r="F2" i="3"/>
  <c r="E2" i="3"/>
  <c r="D2" i="3"/>
  <c r="C2" i="3"/>
  <c r="B2" i="3"/>
  <c r="A2" i="3"/>
  <c r="T383" i="1"/>
  <c r="S383" i="1"/>
  <c r="R383" i="1"/>
  <c r="Q383" i="1"/>
  <c r="N383" i="1"/>
  <c r="M383" i="1"/>
  <c r="L383" i="1"/>
  <c r="K383" i="1"/>
  <c r="T382" i="1"/>
  <c r="S382" i="1"/>
  <c r="R382" i="1"/>
  <c r="Q382" i="1"/>
  <c r="N382" i="1"/>
  <c r="M382" i="1"/>
  <c r="L382" i="1"/>
  <c r="K382" i="1"/>
  <c r="T381" i="1"/>
  <c r="S381" i="1"/>
  <c r="R381" i="1"/>
  <c r="Q381" i="1"/>
  <c r="N381" i="1"/>
  <c r="M381" i="1"/>
  <c r="L381" i="1"/>
  <c r="K381" i="1"/>
  <c r="T380" i="1"/>
  <c r="S380" i="1"/>
  <c r="R380" i="1"/>
  <c r="Q380" i="1"/>
  <c r="N380" i="1"/>
  <c r="M380" i="1"/>
  <c r="L380" i="1"/>
  <c r="K380" i="1"/>
  <c r="T379" i="1"/>
  <c r="S379" i="1"/>
  <c r="R379" i="1"/>
  <c r="Q379" i="1"/>
  <c r="N379" i="1"/>
  <c r="M379" i="1"/>
  <c r="L379" i="1"/>
  <c r="K379" i="1"/>
  <c r="T378" i="1"/>
  <c r="S378" i="1"/>
  <c r="R378" i="1"/>
  <c r="Q378" i="1"/>
  <c r="N378" i="1"/>
  <c r="M378" i="1"/>
  <c r="L378" i="1"/>
  <c r="K378" i="1"/>
  <c r="T377" i="1"/>
  <c r="S377" i="1"/>
  <c r="R377" i="1"/>
  <c r="Q377" i="1"/>
  <c r="N377" i="1"/>
  <c r="M377" i="1"/>
  <c r="L377" i="1"/>
  <c r="K377" i="1"/>
  <c r="T376" i="1"/>
  <c r="S376" i="1"/>
  <c r="R376" i="1"/>
  <c r="Q376" i="1"/>
  <c r="N376" i="1"/>
  <c r="M376" i="1"/>
  <c r="L376" i="1"/>
  <c r="K376" i="1"/>
  <c r="T375" i="1"/>
  <c r="S375" i="1"/>
  <c r="R375" i="1"/>
  <c r="Q375" i="1"/>
  <c r="N375" i="1"/>
  <c r="M375" i="1"/>
  <c r="L375" i="1"/>
  <c r="K375" i="1"/>
  <c r="T374" i="1"/>
  <c r="S374" i="1"/>
  <c r="R374" i="1"/>
  <c r="Q374" i="1"/>
  <c r="N374" i="1"/>
  <c r="M374" i="1"/>
  <c r="L374" i="1"/>
  <c r="K374" i="1"/>
  <c r="T373" i="1"/>
  <c r="S373" i="1"/>
  <c r="R373" i="1"/>
  <c r="Q373" i="1"/>
  <c r="N373" i="1"/>
  <c r="M373" i="1"/>
  <c r="L373" i="1"/>
  <c r="K373" i="1"/>
  <c r="T372" i="1"/>
  <c r="S372" i="1"/>
  <c r="R372" i="1"/>
  <c r="Q372" i="1"/>
  <c r="N372" i="1"/>
  <c r="M372" i="1"/>
  <c r="L372" i="1"/>
  <c r="K372" i="1"/>
  <c r="T371" i="1"/>
  <c r="S371" i="1"/>
  <c r="R371" i="1"/>
  <c r="Q371" i="1"/>
  <c r="N371" i="1"/>
  <c r="M371" i="1"/>
  <c r="L371" i="1"/>
  <c r="K371" i="1"/>
  <c r="T370" i="1"/>
  <c r="S370" i="1"/>
  <c r="R370" i="1"/>
  <c r="Q370" i="1"/>
  <c r="N370" i="1"/>
  <c r="M370" i="1"/>
  <c r="L370" i="1"/>
  <c r="K370" i="1"/>
  <c r="T369" i="1"/>
  <c r="S369" i="1"/>
  <c r="R369" i="1"/>
  <c r="Q369" i="1"/>
  <c r="N369" i="1"/>
  <c r="M369" i="1"/>
  <c r="L369" i="1"/>
  <c r="K369" i="1"/>
  <c r="T368" i="1"/>
  <c r="S368" i="1"/>
  <c r="R368" i="1"/>
  <c r="Q368" i="1"/>
  <c r="N368" i="1"/>
  <c r="M368" i="1"/>
  <c r="L368" i="1"/>
  <c r="K368" i="1"/>
  <c r="T367" i="1"/>
  <c r="S367" i="1"/>
  <c r="R367" i="1"/>
  <c r="Q367" i="1"/>
  <c r="N367" i="1"/>
  <c r="M367" i="1"/>
  <c r="L367" i="1"/>
  <c r="K367" i="1"/>
  <c r="T366" i="1"/>
  <c r="S366" i="1"/>
  <c r="R366" i="1"/>
  <c r="Q366" i="1"/>
  <c r="N366" i="1"/>
  <c r="M366" i="1"/>
  <c r="L366" i="1"/>
  <c r="K366" i="1"/>
  <c r="T365" i="1"/>
  <c r="S365" i="1"/>
  <c r="R365" i="1"/>
  <c r="Q365" i="1"/>
  <c r="N365" i="1"/>
  <c r="M365" i="1"/>
  <c r="L365" i="1"/>
  <c r="K365" i="1"/>
  <c r="T364" i="1"/>
  <c r="S364" i="1"/>
  <c r="R364" i="1"/>
  <c r="Q364" i="1"/>
  <c r="N364" i="1"/>
  <c r="M364" i="1"/>
  <c r="L364" i="1"/>
  <c r="K364" i="1"/>
  <c r="T363" i="1"/>
  <c r="S363" i="1"/>
  <c r="R363" i="1"/>
  <c r="Q363" i="1"/>
  <c r="N363" i="1"/>
  <c r="M363" i="1"/>
  <c r="L363" i="1"/>
  <c r="K363" i="1"/>
  <c r="V362" i="1"/>
  <c r="T362" i="1"/>
  <c r="S362" i="1"/>
  <c r="R362" i="1"/>
  <c r="Q362" i="1"/>
  <c r="P362" i="1"/>
  <c r="N362" i="1"/>
  <c r="M362" i="1"/>
  <c r="L362" i="1"/>
  <c r="K362" i="1"/>
  <c r="V361" i="1"/>
  <c r="T361" i="1"/>
  <c r="S361" i="1"/>
  <c r="R361" i="1"/>
  <c r="Q361" i="1"/>
  <c r="P361" i="1"/>
  <c r="N361" i="1"/>
  <c r="M361" i="1"/>
  <c r="L361" i="1"/>
  <c r="K361" i="1"/>
  <c r="V360" i="1"/>
  <c r="T360" i="1"/>
  <c r="S360" i="1"/>
  <c r="R360" i="1"/>
  <c r="Q360" i="1"/>
  <c r="P360" i="1"/>
  <c r="N360" i="1"/>
  <c r="M360" i="1"/>
  <c r="L360" i="1"/>
  <c r="K360" i="1"/>
  <c r="V359" i="1"/>
  <c r="T359" i="1"/>
  <c r="S359" i="1"/>
  <c r="R359" i="1"/>
  <c r="Q359" i="1"/>
  <c r="P359" i="1"/>
  <c r="N359" i="1"/>
  <c r="M359" i="1"/>
  <c r="L359" i="1"/>
  <c r="K359" i="1"/>
  <c r="V358" i="1"/>
  <c r="T358" i="1"/>
  <c r="S358" i="1"/>
  <c r="R358" i="1"/>
  <c r="Q358" i="1"/>
  <c r="P358" i="1"/>
  <c r="N358" i="1"/>
  <c r="M358" i="1"/>
  <c r="L358" i="1"/>
  <c r="K358" i="1"/>
  <c r="V357" i="1"/>
  <c r="T357" i="1"/>
  <c r="S357" i="1"/>
  <c r="R357" i="1"/>
  <c r="Q357" i="1"/>
  <c r="P357" i="1"/>
  <c r="N357" i="1"/>
  <c r="M357" i="1"/>
  <c r="L357" i="1"/>
  <c r="K357" i="1"/>
  <c r="V356" i="1"/>
  <c r="T356" i="1"/>
  <c r="S356" i="1"/>
  <c r="R356" i="1"/>
  <c r="Q356" i="1"/>
  <c r="P356" i="1"/>
  <c r="N356" i="1"/>
  <c r="M356" i="1"/>
  <c r="L356" i="1"/>
  <c r="K356" i="1"/>
  <c r="V355" i="1"/>
  <c r="T355" i="1"/>
  <c r="S355" i="1"/>
  <c r="R355" i="1"/>
  <c r="Q355" i="1"/>
  <c r="P355" i="1"/>
  <c r="N355" i="1"/>
  <c r="M355" i="1"/>
  <c r="L355" i="1"/>
  <c r="K355" i="1"/>
  <c r="V354" i="1"/>
  <c r="T354" i="1"/>
  <c r="S354" i="1"/>
  <c r="R354" i="1"/>
  <c r="Q354" i="1"/>
  <c r="P354" i="1"/>
  <c r="N354" i="1"/>
  <c r="M354" i="1"/>
  <c r="L354" i="1"/>
  <c r="K354" i="1"/>
  <c r="V353" i="1"/>
  <c r="T353" i="1"/>
  <c r="S353" i="1"/>
  <c r="R353" i="1"/>
  <c r="Q353" i="1"/>
  <c r="P353" i="1"/>
  <c r="N353" i="1"/>
  <c r="M353" i="1"/>
  <c r="L353" i="1"/>
  <c r="K353" i="1"/>
  <c r="V352" i="1"/>
  <c r="T352" i="1"/>
  <c r="S352" i="1"/>
  <c r="R352" i="1"/>
  <c r="Q352" i="1"/>
  <c r="P352" i="1"/>
  <c r="N352" i="1"/>
  <c r="M352" i="1"/>
  <c r="L352" i="1"/>
  <c r="K352" i="1"/>
  <c r="V351" i="1"/>
  <c r="T351" i="1"/>
  <c r="S351" i="1"/>
  <c r="R351" i="1"/>
  <c r="Q351" i="1"/>
  <c r="P351" i="1"/>
  <c r="N351" i="1"/>
  <c r="M351" i="1"/>
  <c r="L351" i="1"/>
  <c r="K351" i="1"/>
  <c r="V350" i="1"/>
  <c r="T350" i="1"/>
  <c r="S350" i="1"/>
  <c r="R350" i="1"/>
  <c r="Q350" i="1"/>
  <c r="P350" i="1"/>
  <c r="N350" i="1"/>
  <c r="M350" i="1"/>
  <c r="L350" i="1"/>
  <c r="K350" i="1"/>
  <c r="V349" i="1"/>
  <c r="T349" i="1"/>
  <c r="S349" i="1"/>
  <c r="R349" i="1"/>
  <c r="Q349" i="1"/>
  <c r="P349" i="1"/>
  <c r="N349" i="1"/>
  <c r="M349" i="1"/>
  <c r="L349" i="1"/>
  <c r="K349" i="1"/>
  <c r="V348" i="1"/>
  <c r="T348" i="1"/>
  <c r="S348" i="1"/>
  <c r="R348" i="1"/>
  <c r="Q348" i="1"/>
  <c r="P348" i="1"/>
  <c r="N348" i="1"/>
  <c r="M348" i="1"/>
  <c r="L348" i="1"/>
  <c r="K348" i="1"/>
  <c r="V347" i="1"/>
  <c r="T347" i="1"/>
  <c r="S347" i="1"/>
  <c r="R347" i="1"/>
  <c r="Q347" i="1"/>
  <c r="P347" i="1"/>
  <c r="N347" i="1"/>
  <c r="M347" i="1"/>
  <c r="L347" i="1"/>
  <c r="K347" i="1"/>
  <c r="V346" i="1"/>
  <c r="T346" i="1"/>
  <c r="S346" i="1"/>
  <c r="R346" i="1"/>
  <c r="Q346" i="1"/>
  <c r="P346" i="1"/>
  <c r="N346" i="1"/>
  <c r="M346" i="1"/>
  <c r="L346" i="1"/>
  <c r="K346" i="1"/>
  <c r="V345" i="1"/>
  <c r="T345" i="1"/>
  <c r="S345" i="1"/>
  <c r="R345" i="1"/>
  <c r="Q345" i="1"/>
  <c r="P345" i="1"/>
  <c r="N345" i="1"/>
  <c r="M345" i="1"/>
  <c r="L345" i="1"/>
  <c r="K345" i="1"/>
  <c r="V344" i="1"/>
  <c r="T344" i="1"/>
  <c r="S344" i="1"/>
  <c r="R344" i="1"/>
  <c r="Q344" i="1"/>
  <c r="P344" i="1"/>
  <c r="N344" i="1"/>
  <c r="M344" i="1"/>
  <c r="L344" i="1"/>
  <c r="K344" i="1"/>
  <c r="V343" i="1"/>
  <c r="T343" i="1"/>
  <c r="S343" i="1"/>
  <c r="R343" i="1"/>
  <c r="Q343" i="1"/>
  <c r="P343" i="1"/>
  <c r="N343" i="1"/>
  <c r="M343" i="1"/>
  <c r="L343" i="1"/>
  <c r="K343" i="1"/>
  <c r="V342" i="1"/>
  <c r="T342" i="1"/>
  <c r="S342" i="1"/>
  <c r="R342" i="1"/>
  <c r="Q342" i="1"/>
  <c r="P342" i="1"/>
  <c r="N342" i="1"/>
  <c r="M342" i="1"/>
  <c r="L342" i="1"/>
  <c r="K342" i="1"/>
  <c r="V341" i="1"/>
  <c r="T341" i="1"/>
  <c r="S341" i="1"/>
  <c r="R341" i="1"/>
  <c r="Q341" i="1"/>
  <c r="P341" i="1"/>
  <c r="N341" i="1"/>
  <c r="M341" i="1"/>
  <c r="L341" i="1"/>
  <c r="K341" i="1"/>
  <c r="V340" i="1"/>
  <c r="T340" i="1"/>
  <c r="S340" i="1"/>
  <c r="R340" i="1"/>
  <c r="Q340" i="1"/>
  <c r="P340" i="1"/>
  <c r="N340" i="1"/>
  <c r="M340" i="1"/>
  <c r="L340" i="1"/>
  <c r="K340" i="1"/>
  <c r="V339" i="1"/>
  <c r="T339" i="1"/>
  <c r="S339" i="1"/>
  <c r="R339" i="1"/>
  <c r="Q339" i="1"/>
  <c r="P339" i="1"/>
  <c r="N339" i="1"/>
  <c r="M339" i="1"/>
  <c r="L339" i="1"/>
  <c r="K339" i="1"/>
  <c r="V338" i="1"/>
  <c r="T338" i="1"/>
  <c r="S338" i="1"/>
  <c r="R338" i="1"/>
  <c r="Q338" i="1"/>
  <c r="P338" i="1"/>
  <c r="N338" i="1"/>
  <c r="M338" i="1"/>
  <c r="L338" i="1"/>
  <c r="K338" i="1"/>
  <c r="V337" i="1"/>
  <c r="T337" i="1"/>
  <c r="S337" i="1"/>
  <c r="R337" i="1"/>
  <c r="Q337" i="1"/>
  <c r="P337" i="1"/>
  <c r="N337" i="1"/>
  <c r="M337" i="1"/>
  <c r="L337" i="1"/>
  <c r="K337" i="1"/>
  <c r="V336" i="1"/>
  <c r="T336" i="1"/>
  <c r="S336" i="1"/>
  <c r="R336" i="1"/>
  <c r="Q336" i="1"/>
  <c r="P336" i="1"/>
  <c r="N336" i="1"/>
  <c r="M336" i="1"/>
  <c r="L336" i="1"/>
  <c r="K336" i="1"/>
  <c r="V335" i="1"/>
  <c r="T335" i="1"/>
  <c r="S335" i="1"/>
  <c r="R335" i="1"/>
  <c r="Q335" i="1"/>
  <c r="P335" i="1"/>
  <c r="N335" i="1"/>
  <c r="M335" i="1"/>
  <c r="L335" i="1"/>
  <c r="K335" i="1"/>
  <c r="V334" i="1"/>
  <c r="T334" i="1"/>
  <c r="S334" i="1"/>
  <c r="R334" i="1"/>
  <c r="Q334" i="1"/>
  <c r="P334" i="1"/>
  <c r="N334" i="1"/>
  <c r="M334" i="1"/>
  <c r="L334" i="1"/>
  <c r="K334" i="1"/>
  <c r="V333" i="1"/>
  <c r="T333" i="1"/>
  <c r="S333" i="1"/>
  <c r="R333" i="1"/>
  <c r="Q333" i="1"/>
  <c r="P333" i="1"/>
  <c r="N333" i="1"/>
  <c r="M333" i="1"/>
  <c r="L333" i="1"/>
  <c r="K333" i="1"/>
  <c r="V332" i="1"/>
  <c r="T332" i="1"/>
  <c r="S332" i="1"/>
  <c r="R332" i="1"/>
  <c r="Q332" i="1"/>
  <c r="P332" i="1"/>
  <c r="N332" i="1"/>
  <c r="M332" i="1"/>
  <c r="L332" i="1"/>
  <c r="K332" i="1"/>
  <c r="V331" i="1"/>
  <c r="T331" i="1"/>
  <c r="S331" i="1"/>
  <c r="R331" i="1"/>
  <c r="Q331" i="1"/>
  <c r="P331" i="1"/>
  <c r="N331" i="1"/>
  <c r="M331" i="1"/>
  <c r="L331" i="1"/>
  <c r="K331" i="1"/>
  <c r="V330" i="1"/>
  <c r="T330" i="1"/>
  <c r="S330" i="1"/>
  <c r="R330" i="1"/>
  <c r="Q330" i="1"/>
  <c r="P330" i="1"/>
  <c r="N330" i="1"/>
  <c r="M330" i="1"/>
  <c r="L330" i="1"/>
  <c r="K330" i="1"/>
  <c r="V329" i="1"/>
  <c r="T329" i="1"/>
  <c r="S329" i="1"/>
  <c r="R329" i="1"/>
  <c r="Q329" i="1"/>
  <c r="P329" i="1"/>
  <c r="N329" i="1"/>
  <c r="M329" i="1"/>
  <c r="L329" i="1"/>
  <c r="K329" i="1"/>
  <c r="V328" i="1"/>
  <c r="T328" i="1"/>
  <c r="S328" i="1"/>
  <c r="R328" i="1"/>
  <c r="Q328" i="1"/>
  <c r="P328" i="1"/>
  <c r="N328" i="1"/>
  <c r="M328" i="1"/>
  <c r="L328" i="1"/>
  <c r="K328" i="1"/>
  <c r="V327" i="1"/>
  <c r="T327" i="1"/>
  <c r="S327" i="1"/>
  <c r="R327" i="1"/>
  <c r="Q327" i="1"/>
  <c r="P327" i="1"/>
  <c r="N327" i="1"/>
  <c r="M327" i="1"/>
  <c r="L327" i="1"/>
  <c r="K327" i="1"/>
  <c r="V326" i="1"/>
  <c r="T326" i="1"/>
  <c r="S326" i="1"/>
  <c r="R326" i="1"/>
  <c r="Q326" i="1"/>
  <c r="P326" i="1"/>
  <c r="N326" i="1"/>
  <c r="M326" i="1"/>
  <c r="L326" i="1"/>
  <c r="K326" i="1"/>
  <c r="V325" i="1"/>
  <c r="T325" i="1"/>
  <c r="S325" i="1"/>
  <c r="R325" i="1"/>
  <c r="Q325" i="1"/>
  <c r="P325" i="1"/>
  <c r="N325" i="1"/>
  <c r="M325" i="1"/>
  <c r="L325" i="1"/>
  <c r="K325" i="1"/>
  <c r="V324" i="1"/>
  <c r="T324" i="1"/>
  <c r="S324" i="1"/>
  <c r="R324" i="1"/>
  <c r="Q324" i="1"/>
  <c r="P324" i="1"/>
  <c r="N324" i="1"/>
  <c r="M324" i="1"/>
  <c r="L324" i="1"/>
  <c r="K324" i="1"/>
  <c r="V323" i="1"/>
  <c r="T323" i="1"/>
  <c r="S323" i="1"/>
  <c r="R323" i="1"/>
  <c r="Q323" i="1"/>
  <c r="P323" i="1"/>
  <c r="N323" i="1"/>
  <c r="M323" i="1"/>
  <c r="L323" i="1"/>
  <c r="K323" i="1"/>
  <c r="V322" i="1"/>
  <c r="T322" i="1"/>
  <c r="S322" i="1"/>
  <c r="R322" i="1"/>
  <c r="Q322" i="1"/>
  <c r="P322" i="1"/>
  <c r="N322" i="1"/>
  <c r="M322" i="1"/>
  <c r="L322" i="1"/>
  <c r="K322" i="1"/>
  <c r="V321" i="1"/>
  <c r="T321" i="1"/>
  <c r="S321" i="1"/>
  <c r="R321" i="1"/>
  <c r="Q321" i="1"/>
  <c r="P321" i="1"/>
  <c r="N321" i="1"/>
  <c r="M321" i="1"/>
  <c r="L321" i="1"/>
  <c r="K321" i="1"/>
  <c r="V320" i="1"/>
  <c r="T320" i="1"/>
  <c r="S320" i="1"/>
  <c r="R320" i="1"/>
  <c r="Q320" i="1"/>
  <c r="P320" i="1"/>
  <c r="N320" i="1"/>
  <c r="M320" i="1"/>
  <c r="L320" i="1"/>
  <c r="K320" i="1"/>
  <c r="V319" i="1"/>
  <c r="T319" i="1"/>
  <c r="S319" i="1"/>
  <c r="R319" i="1"/>
  <c r="Q319" i="1"/>
  <c r="P319" i="1"/>
  <c r="N319" i="1"/>
  <c r="M319" i="1"/>
  <c r="L319" i="1"/>
  <c r="K319" i="1"/>
  <c r="V318" i="1"/>
  <c r="T318" i="1"/>
  <c r="S318" i="1"/>
  <c r="R318" i="1"/>
  <c r="Q318" i="1"/>
  <c r="P318" i="1"/>
  <c r="N318" i="1"/>
  <c r="M318" i="1"/>
  <c r="L318" i="1"/>
  <c r="K318" i="1"/>
  <c r="V317" i="1"/>
  <c r="T317" i="1"/>
  <c r="S317" i="1"/>
  <c r="R317" i="1"/>
  <c r="Q317" i="1"/>
  <c r="P317" i="1"/>
  <c r="N317" i="1"/>
  <c r="M317" i="1"/>
  <c r="L317" i="1"/>
  <c r="K317" i="1"/>
  <c r="V316" i="1"/>
  <c r="T316" i="1"/>
  <c r="S316" i="1"/>
  <c r="R316" i="1"/>
  <c r="Q316" i="1"/>
  <c r="P316" i="1"/>
  <c r="N316" i="1"/>
  <c r="M316" i="1"/>
  <c r="L316" i="1"/>
  <c r="K316" i="1"/>
  <c r="V315" i="1"/>
  <c r="T315" i="1"/>
  <c r="S315" i="1"/>
  <c r="R315" i="1"/>
  <c r="Q315" i="1"/>
  <c r="P315" i="1"/>
  <c r="N315" i="1"/>
  <c r="M315" i="1"/>
  <c r="L315" i="1"/>
  <c r="K315" i="1"/>
  <c r="V314" i="1"/>
  <c r="T314" i="1"/>
  <c r="S314" i="1"/>
  <c r="R314" i="1"/>
  <c r="Q314" i="1"/>
  <c r="P314" i="1"/>
  <c r="N314" i="1"/>
  <c r="M314" i="1"/>
  <c r="L314" i="1"/>
  <c r="K314" i="1"/>
  <c r="V313" i="1"/>
  <c r="T313" i="1"/>
  <c r="S313" i="1"/>
  <c r="R313" i="1"/>
  <c r="Q313" i="1"/>
  <c r="P313" i="1"/>
  <c r="N313" i="1"/>
  <c r="M313" i="1"/>
  <c r="L313" i="1"/>
  <c r="K313" i="1"/>
  <c r="A313" i="1" a="1"/>
  <c r="A357" i="1" s="1"/>
  <c r="V312" i="1"/>
  <c r="U312" i="1"/>
  <c r="T312" i="1"/>
  <c r="S312" i="1"/>
  <c r="R312" i="1"/>
  <c r="Q312" i="1"/>
  <c r="N312" i="1"/>
  <c r="M312" i="1"/>
  <c r="L312" i="1"/>
  <c r="K312" i="1"/>
  <c r="F312" i="1"/>
  <c r="T311" i="1"/>
  <c r="S311" i="1"/>
  <c r="R311" i="1"/>
  <c r="Q311" i="1"/>
  <c r="N311" i="1"/>
  <c r="M311" i="1"/>
  <c r="L311" i="1"/>
  <c r="K311" i="1"/>
  <c r="C311" i="1"/>
  <c r="T310" i="1"/>
  <c r="S310" i="1"/>
  <c r="R310" i="1"/>
  <c r="Q310" i="1"/>
  <c r="N310" i="1"/>
  <c r="M310" i="1"/>
  <c r="L310" i="1"/>
  <c r="K310" i="1"/>
  <c r="T309" i="1"/>
  <c r="S309" i="1"/>
  <c r="R309" i="1"/>
  <c r="Q309" i="1"/>
  <c r="N309" i="1"/>
  <c r="M309" i="1"/>
  <c r="L309" i="1"/>
  <c r="K309" i="1"/>
  <c r="T308" i="1"/>
  <c r="S308" i="1"/>
  <c r="R308" i="1"/>
  <c r="Q308" i="1"/>
  <c r="N308" i="1"/>
  <c r="M308" i="1"/>
  <c r="L308" i="1"/>
  <c r="K308" i="1"/>
  <c r="H308" i="1"/>
  <c r="C308" i="1"/>
  <c r="A308" i="1"/>
  <c r="T307" i="1"/>
  <c r="S307" i="1"/>
  <c r="R307" i="1"/>
  <c r="Q307" i="1"/>
  <c r="N307" i="1"/>
  <c r="M307" i="1"/>
  <c r="L307" i="1"/>
  <c r="K307" i="1"/>
  <c r="T306" i="1"/>
  <c r="S306" i="1"/>
  <c r="R306" i="1"/>
  <c r="Q306" i="1"/>
  <c r="N306" i="1"/>
  <c r="M306" i="1"/>
  <c r="L306" i="1"/>
  <c r="K306" i="1"/>
  <c r="T305" i="1"/>
  <c r="S305" i="1"/>
  <c r="R305" i="1"/>
  <c r="Q305" i="1"/>
  <c r="N305" i="1"/>
  <c r="M305" i="1"/>
  <c r="L305" i="1"/>
  <c r="K305" i="1"/>
  <c r="T304" i="1"/>
  <c r="S304" i="1"/>
  <c r="R304" i="1"/>
  <c r="Q304" i="1"/>
  <c r="N304" i="1"/>
  <c r="M304" i="1"/>
  <c r="L304" i="1"/>
  <c r="K304" i="1"/>
  <c r="T303" i="1"/>
  <c r="S303" i="1"/>
  <c r="R303" i="1"/>
  <c r="Q303" i="1"/>
  <c r="N303" i="1"/>
  <c r="M303" i="1"/>
  <c r="L303" i="1"/>
  <c r="K303" i="1"/>
  <c r="T302" i="1"/>
  <c r="S302" i="1"/>
  <c r="R302" i="1"/>
  <c r="Q302" i="1"/>
  <c r="N302" i="1"/>
  <c r="M302" i="1"/>
  <c r="L302" i="1"/>
  <c r="K302" i="1"/>
  <c r="T301" i="1"/>
  <c r="S301" i="1"/>
  <c r="R301" i="1"/>
  <c r="Q301" i="1"/>
  <c r="N301" i="1"/>
  <c r="M301" i="1"/>
  <c r="L301" i="1"/>
  <c r="K301" i="1"/>
  <c r="T300" i="1"/>
  <c r="S300" i="1"/>
  <c r="R300" i="1"/>
  <c r="Q300" i="1"/>
  <c r="N300" i="1"/>
  <c r="M300" i="1"/>
  <c r="L300" i="1"/>
  <c r="K300" i="1"/>
  <c r="T299" i="1"/>
  <c r="S299" i="1"/>
  <c r="R299" i="1"/>
  <c r="Q299" i="1"/>
  <c r="N299" i="1"/>
  <c r="M299" i="1"/>
  <c r="L299" i="1"/>
  <c r="K299" i="1"/>
  <c r="T298" i="1"/>
  <c r="S298" i="1"/>
  <c r="R298" i="1"/>
  <c r="Q298" i="1"/>
  <c r="N298" i="1"/>
  <c r="M298" i="1"/>
  <c r="L298" i="1"/>
  <c r="K298" i="1"/>
  <c r="T297" i="1"/>
  <c r="S297" i="1"/>
  <c r="R297" i="1"/>
  <c r="Q297" i="1"/>
  <c r="N297" i="1"/>
  <c r="M297" i="1"/>
  <c r="L297" i="1"/>
  <c r="K297" i="1"/>
  <c r="T296" i="1"/>
  <c r="S296" i="1"/>
  <c r="R296" i="1"/>
  <c r="Q296" i="1"/>
  <c r="N296" i="1"/>
  <c r="M296" i="1"/>
  <c r="L296" i="1"/>
  <c r="K296" i="1"/>
  <c r="T295" i="1"/>
  <c r="S295" i="1"/>
  <c r="R295" i="1"/>
  <c r="Q295" i="1"/>
  <c r="N295" i="1"/>
  <c r="M295" i="1"/>
  <c r="L295" i="1"/>
  <c r="K295" i="1"/>
  <c r="T294" i="1"/>
  <c r="S294" i="1"/>
  <c r="R294" i="1"/>
  <c r="Q294" i="1"/>
  <c r="N294" i="1"/>
  <c r="M294" i="1"/>
  <c r="L294" i="1"/>
  <c r="K294" i="1"/>
  <c r="T293" i="1"/>
  <c r="S293" i="1"/>
  <c r="R293" i="1"/>
  <c r="Q293" i="1"/>
  <c r="N293" i="1"/>
  <c r="M293" i="1"/>
  <c r="L293" i="1"/>
  <c r="K293" i="1"/>
  <c r="T292" i="1"/>
  <c r="S292" i="1"/>
  <c r="R292" i="1"/>
  <c r="Q292" i="1"/>
  <c r="N292" i="1"/>
  <c r="M292" i="1"/>
  <c r="L292" i="1"/>
  <c r="K292" i="1"/>
  <c r="T291" i="1"/>
  <c r="S291" i="1"/>
  <c r="R291" i="1"/>
  <c r="Q291" i="1"/>
  <c r="N291" i="1"/>
  <c r="M291" i="1"/>
  <c r="L291" i="1"/>
  <c r="K291" i="1"/>
  <c r="T290" i="1"/>
  <c r="S290" i="1"/>
  <c r="R290" i="1"/>
  <c r="Q290" i="1"/>
  <c r="N290" i="1"/>
  <c r="M290" i="1"/>
  <c r="L290" i="1"/>
  <c r="K290" i="1"/>
  <c r="T289" i="1"/>
  <c r="S289" i="1"/>
  <c r="R289" i="1"/>
  <c r="Q289" i="1"/>
  <c r="N289" i="1"/>
  <c r="M289" i="1"/>
  <c r="L289" i="1"/>
  <c r="K289" i="1"/>
  <c r="T288" i="1"/>
  <c r="S288" i="1"/>
  <c r="R288" i="1"/>
  <c r="Q288" i="1"/>
  <c r="N288" i="1"/>
  <c r="M288" i="1"/>
  <c r="L288" i="1"/>
  <c r="K288" i="1"/>
  <c r="T287" i="1"/>
  <c r="S287" i="1"/>
  <c r="R287" i="1"/>
  <c r="Q287" i="1"/>
  <c r="N287" i="1"/>
  <c r="M287" i="1"/>
  <c r="L287" i="1"/>
  <c r="K287" i="1"/>
  <c r="T286" i="1"/>
  <c r="S286" i="1"/>
  <c r="R286" i="1"/>
  <c r="Q286" i="1"/>
  <c r="N286" i="1"/>
  <c r="M286" i="1"/>
  <c r="L286" i="1"/>
  <c r="K286" i="1"/>
  <c r="T285" i="1"/>
  <c r="S285" i="1"/>
  <c r="R285" i="1"/>
  <c r="Q285" i="1"/>
  <c r="N285" i="1"/>
  <c r="M285" i="1"/>
  <c r="L285" i="1"/>
  <c r="K285" i="1"/>
  <c r="T284" i="1"/>
  <c r="S284" i="1"/>
  <c r="R284" i="1"/>
  <c r="Q284" i="1"/>
  <c r="N284" i="1"/>
  <c r="M284" i="1"/>
  <c r="L284" i="1"/>
  <c r="K284" i="1"/>
  <c r="T283" i="1"/>
  <c r="S283" i="1"/>
  <c r="R283" i="1"/>
  <c r="Q283" i="1"/>
  <c r="N283" i="1"/>
  <c r="M283" i="1"/>
  <c r="L283" i="1"/>
  <c r="K283" i="1"/>
  <c r="T282" i="1"/>
  <c r="S282" i="1"/>
  <c r="R282" i="1"/>
  <c r="Q282" i="1"/>
  <c r="N282" i="1"/>
  <c r="M282" i="1"/>
  <c r="L282" i="1"/>
  <c r="K282" i="1"/>
  <c r="T281" i="1"/>
  <c r="S281" i="1"/>
  <c r="R281" i="1"/>
  <c r="Q281" i="1"/>
  <c r="N281" i="1"/>
  <c r="M281" i="1"/>
  <c r="L281" i="1"/>
  <c r="K281" i="1"/>
  <c r="T280" i="1"/>
  <c r="S280" i="1"/>
  <c r="R280" i="1"/>
  <c r="Q280" i="1"/>
  <c r="N280" i="1"/>
  <c r="M280" i="1"/>
  <c r="L280" i="1"/>
  <c r="K280" i="1"/>
  <c r="T279" i="1"/>
  <c r="S279" i="1"/>
  <c r="R279" i="1"/>
  <c r="Q279" i="1"/>
  <c r="N279" i="1"/>
  <c r="M279" i="1"/>
  <c r="L279" i="1"/>
  <c r="K279" i="1"/>
  <c r="T278" i="1"/>
  <c r="S278" i="1"/>
  <c r="R278" i="1"/>
  <c r="Q278" i="1"/>
  <c r="N278" i="1"/>
  <c r="M278" i="1"/>
  <c r="L278" i="1"/>
  <c r="K278" i="1"/>
  <c r="T277" i="1"/>
  <c r="S277" i="1"/>
  <c r="R277" i="1"/>
  <c r="Q277" i="1"/>
  <c r="N277" i="1"/>
  <c r="M277" i="1"/>
  <c r="L277" i="1"/>
  <c r="K277" i="1"/>
  <c r="T276" i="1"/>
  <c r="S276" i="1"/>
  <c r="R276" i="1"/>
  <c r="Q276" i="1"/>
  <c r="N276" i="1"/>
  <c r="M276" i="1"/>
  <c r="L276" i="1"/>
  <c r="K276" i="1"/>
  <c r="T275" i="1"/>
  <c r="S275" i="1"/>
  <c r="R275" i="1"/>
  <c r="Q275" i="1"/>
  <c r="N275" i="1"/>
  <c r="M275" i="1"/>
  <c r="L275" i="1"/>
  <c r="K275" i="1"/>
  <c r="T274" i="1"/>
  <c r="S274" i="1"/>
  <c r="R274" i="1"/>
  <c r="Q274" i="1"/>
  <c r="N274" i="1"/>
  <c r="M274" i="1"/>
  <c r="L274" i="1"/>
  <c r="K274" i="1"/>
  <c r="T273" i="1"/>
  <c r="S273" i="1"/>
  <c r="R273" i="1"/>
  <c r="Q273" i="1"/>
  <c r="N273" i="1"/>
  <c r="M273" i="1"/>
  <c r="L273" i="1"/>
  <c r="K273" i="1"/>
  <c r="T272" i="1"/>
  <c r="S272" i="1"/>
  <c r="R272" i="1"/>
  <c r="Q272" i="1"/>
  <c r="N272" i="1"/>
  <c r="M272" i="1"/>
  <c r="L272" i="1"/>
  <c r="K272" i="1"/>
  <c r="T271" i="1"/>
  <c r="S271" i="1"/>
  <c r="R271" i="1"/>
  <c r="Q271" i="1"/>
  <c r="N271" i="1"/>
  <c r="M271" i="1"/>
  <c r="L271" i="1"/>
  <c r="K271" i="1"/>
  <c r="T270" i="1"/>
  <c r="S270" i="1"/>
  <c r="R270" i="1"/>
  <c r="Q270" i="1"/>
  <c r="N270" i="1"/>
  <c r="M270" i="1"/>
  <c r="L270" i="1"/>
  <c r="K270" i="1"/>
  <c r="T269" i="1"/>
  <c r="S269" i="1"/>
  <c r="R269" i="1"/>
  <c r="Q269" i="1"/>
  <c r="N269" i="1"/>
  <c r="M269" i="1"/>
  <c r="L269" i="1"/>
  <c r="K269" i="1"/>
  <c r="T268" i="1"/>
  <c r="S268" i="1"/>
  <c r="R268" i="1"/>
  <c r="Q268" i="1"/>
  <c r="N268" i="1"/>
  <c r="M268" i="1"/>
  <c r="L268" i="1"/>
  <c r="K268" i="1"/>
  <c r="T267" i="1"/>
  <c r="S267" i="1"/>
  <c r="R267" i="1"/>
  <c r="Q267" i="1"/>
  <c r="N267" i="1"/>
  <c r="M267" i="1"/>
  <c r="L267" i="1"/>
  <c r="K267" i="1"/>
  <c r="T266" i="1"/>
  <c r="S266" i="1"/>
  <c r="R266" i="1"/>
  <c r="Q266" i="1"/>
  <c r="N266" i="1"/>
  <c r="M266" i="1"/>
  <c r="L266" i="1"/>
  <c r="K266" i="1"/>
  <c r="T265" i="1"/>
  <c r="S265" i="1"/>
  <c r="R265" i="1"/>
  <c r="Q265" i="1"/>
  <c r="N265" i="1"/>
  <c r="M265" i="1"/>
  <c r="L265" i="1"/>
  <c r="K265" i="1"/>
  <c r="T264" i="1"/>
  <c r="S264" i="1"/>
  <c r="R264" i="1"/>
  <c r="Q264" i="1"/>
  <c r="N264" i="1"/>
  <c r="M264" i="1"/>
  <c r="L264" i="1"/>
  <c r="K264" i="1"/>
  <c r="T263" i="1"/>
  <c r="S263" i="1"/>
  <c r="R263" i="1"/>
  <c r="Q263" i="1"/>
  <c r="N263" i="1"/>
  <c r="M263" i="1"/>
  <c r="L263" i="1"/>
  <c r="K263" i="1"/>
  <c r="V262" i="1"/>
  <c r="T262" i="1"/>
  <c r="S262" i="1"/>
  <c r="R262" i="1"/>
  <c r="Q262" i="1"/>
  <c r="P262" i="1"/>
  <c r="N262" i="1"/>
  <c r="M262" i="1"/>
  <c r="L262" i="1"/>
  <c r="K262" i="1"/>
  <c r="V261" i="1"/>
  <c r="T261" i="1"/>
  <c r="S261" i="1"/>
  <c r="R261" i="1"/>
  <c r="Q261" i="1"/>
  <c r="P261" i="1"/>
  <c r="N261" i="1"/>
  <c r="M261" i="1"/>
  <c r="L261" i="1"/>
  <c r="K261" i="1"/>
  <c r="V260" i="1"/>
  <c r="T260" i="1"/>
  <c r="S260" i="1"/>
  <c r="R260" i="1"/>
  <c r="Q260" i="1"/>
  <c r="P260" i="1"/>
  <c r="N260" i="1"/>
  <c r="M260" i="1"/>
  <c r="L260" i="1"/>
  <c r="K260" i="1"/>
  <c r="V259" i="1"/>
  <c r="T259" i="1"/>
  <c r="S259" i="1"/>
  <c r="R259" i="1"/>
  <c r="Q259" i="1"/>
  <c r="P259" i="1"/>
  <c r="N259" i="1"/>
  <c r="M259" i="1"/>
  <c r="L259" i="1"/>
  <c r="K259" i="1"/>
  <c r="V258" i="1"/>
  <c r="T258" i="1"/>
  <c r="S258" i="1"/>
  <c r="R258" i="1"/>
  <c r="Q258" i="1"/>
  <c r="P258" i="1"/>
  <c r="N258" i="1"/>
  <c r="M258" i="1"/>
  <c r="L258" i="1"/>
  <c r="K258" i="1"/>
  <c r="V257" i="1"/>
  <c r="T257" i="1"/>
  <c r="S257" i="1"/>
  <c r="R257" i="1"/>
  <c r="Q257" i="1"/>
  <c r="P257" i="1"/>
  <c r="N257" i="1"/>
  <c r="M257" i="1"/>
  <c r="L257" i="1"/>
  <c r="K257" i="1"/>
  <c r="V256" i="1"/>
  <c r="T256" i="1"/>
  <c r="S256" i="1"/>
  <c r="R256" i="1"/>
  <c r="Q256" i="1"/>
  <c r="P256" i="1"/>
  <c r="N256" i="1"/>
  <c r="M256" i="1"/>
  <c r="L256" i="1"/>
  <c r="K256" i="1"/>
  <c r="V255" i="1"/>
  <c r="T255" i="1"/>
  <c r="S255" i="1"/>
  <c r="R255" i="1"/>
  <c r="Q255" i="1"/>
  <c r="P255" i="1"/>
  <c r="N255" i="1"/>
  <c r="M255" i="1"/>
  <c r="L255" i="1"/>
  <c r="K255" i="1"/>
  <c r="V254" i="1"/>
  <c r="T254" i="1"/>
  <c r="S254" i="1"/>
  <c r="R254" i="1"/>
  <c r="Q254" i="1"/>
  <c r="P254" i="1"/>
  <c r="N254" i="1"/>
  <c r="M254" i="1"/>
  <c r="L254" i="1"/>
  <c r="K254" i="1"/>
  <c r="V253" i="1"/>
  <c r="T253" i="1"/>
  <c r="S253" i="1"/>
  <c r="R253" i="1"/>
  <c r="Q253" i="1"/>
  <c r="P253" i="1"/>
  <c r="N253" i="1"/>
  <c r="M253" i="1"/>
  <c r="L253" i="1"/>
  <c r="K253" i="1"/>
  <c r="V252" i="1"/>
  <c r="T252" i="1"/>
  <c r="S252" i="1"/>
  <c r="R252" i="1"/>
  <c r="Q252" i="1"/>
  <c r="P252" i="1"/>
  <c r="N252" i="1"/>
  <c r="M252" i="1"/>
  <c r="L252" i="1"/>
  <c r="K252" i="1"/>
  <c r="V251" i="1"/>
  <c r="T251" i="1"/>
  <c r="S251" i="1"/>
  <c r="R251" i="1"/>
  <c r="Q251" i="1"/>
  <c r="P251" i="1"/>
  <c r="N251" i="1"/>
  <c r="M251" i="1"/>
  <c r="L251" i="1"/>
  <c r="K251" i="1"/>
  <c r="V250" i="1"/>
  <c r="T250" i="1"/>
  <c r="S250" i="1"/>
  <c r="R250" i="1"/>
  <c r="Q250" i="1"/>
  <c r="P250" i="1"/>
  <c r="N250" i="1"/>
  <c r="M250" i="1"/>
  <c r="L250" i="1"/>
  <c r="K250" i="1"/>
  <c r="V249" i="1"/>
  <c r="T249" i="1"/>
  <c r="S249" i="1"/>
  <c r="R249" i="1"/>
  <c r="Q249" i="1"/>
  <c r="P249" i="1"/>
  <c r="N249" i="1"/>
  <c r="M249" i="1"/>
  <c r="L249" i="1"/>
  <c r="K249" i="1"/>
  <c r="V248" i="1"/>
  <c r="T248" i="1"/>
  <c r="S248" i="1"/>
  <c r="R248" i="1"/>
  <c r="Q248" i="1"/>
  <c r="P248" i="1"/>
  <c r="N248" i="1"/>
  <c r="M248" i="1"/>
  <c r="L248" i="1"/>
  <c r="K248" i="1"/>
  <c r="V247" i="1"/>
  <c r="T247" i="1"/>
  <c r="S247" i="1"/>
  <c r="R247" i="1"/>
  <c r="Q247" i="1"/>
  <c r="P247" i="1"/>
  <c r="N247" i="1"/>
  <c r="M247" i="1"/>
  <c r="L247" i="1"/>
  <c r="K247" i="1"/>
  <c r="V246" i="1"/>
  <c r="T246" i="1"/>
  <c r="S246" i="1"/>
  <c r="R246" i="1"/>
  <c r="Q246" i="1"/>
  <c r="P246" i="1"/>
  <c r="N246" i="1"/>
  <c r="M246" i="1"/>
  <c r="L246" i="1"/>
  <c r="K246" i="1"/>
  <c r="V245" i="1"/>
  <c r="T245" i="1"/>
  <c r="S245" i="1"/>
  <c r="R245" i="1"/>
  <c r="Q245" i="1"/>
  <c r="P245" i="1"/>
  <c r="N245" i="1"/>
  <c r="M245" i="1"/>
  <c r="L245" i="1"/>
  <c r="K245" i="1"/>
  <c r="V244" i="1"/>
  <c r="T244" i="1"/>
  <c r="S244" i="1"/>
  <c r="R244" i="1"/>
  <c r="Q244" i="1"/>
  <c r="P244" i="1"/>
  <c r="N244" i="1"/>
  <c r="M244" i="1"/>
  <c r="L244" i="1"/>
  <c r="K244" i="1"/>
  <c r="V243" i="1"/>
  <c r="T243" i="1"/>
  <c r="S243" i="1"/>
  <c r="R243" i="1"/>
  <c r="Q243" i="1"/>
  <c r="P243" i="1"/>
  <c r="N243" i="1"/>
  <c r="M243" i="1"/>
  <c r="L243" i="1"/>
  <c r="K243" i="1"/>
  <c r="V242" i="1"/>
  <c r="T242" i="1"/>
  <c r="S242" i="1"/>
  <c r="R242" i="1"/>
  <c r="Q242" i="1"/>
  <c r="P242" i="1"/>
  <c r="N242" i="1"/>
  <c r="M242" i="1"/>
  <c r="L242" i="1"/>
  <c r="K242" i="1"/>
  <c r="V241" i="1"/>
  <c r="T241" i="1"/>
  <c r="S241" i="1"/>
  <c r="R241" i="1"/>
  <c r="Q241" i="1"/>
  <c r="P241" i="1"/>
  <c r="N241" i="1"/>
  <c r="M241" i="1"/>
  <c r="L241" i="1"/>
  <c r="K241" i="1"/>
  <c r="V240" i="1"/>
  <c r="T240" i="1"/>
  <c r="S240" i="1"/>
  <c r="R240" i="1"/>
  <c r="Q240" i="1"/>
  <c r="P240" i="1"/>
  <c r="N240" i="1"/>
  <c r="M240" i="1"/>
  <c r="L240" i="1"/>
  <c r="K240" i="1"/>
  <c r="V239" i="1"/>
  <c r="T239" i="1"/>
  <c r="S239" i="1"/>
  <c r="R239" i="1"/>
  <c r="Q239" i="1"/>
  <c r="P239" i="1"/>
  <c r="N239" i="1"/>
  <c r="M239" i="1"/>
  <c r="L239" i="1"/>
  <c r="K239" i="1"/>
  <c r="V238" i="1"/>
  <c r="T238" i="1"/>
  <c r="S238" i="1"/>
  <c r="R238" i="1"/>
  <c r="Q238" i="1"/>
  <c r="P238" i="1"/>
  <c r="N238" i="1"/>
  <c r="M238" i="1"/>
  <c r="L238" i="1"/>
  <c r="K238" i="1"/>
  <c r="V237" i="1"/>
  <c r="T237" i="1"/>
  <c r="S237" i="1"/>
  <c r="R237" i="1"/>
  <c r="Q237" i="1"/>
  <c r="P237" i="1"/>
  <c r="N237" i="1"/>
  <c r="M237" i="1"/>
  <c r="L237" i="1"/>
  <c r="K237" i="1"/>
  <c r="V236" i="1"/>
  <c r="T236" i="1"/>
  <c r="S236" i="1"/>
  <c r="R236" i="1"/>
  <c r="Q236" i="1"/>
  <c r="P236" i="1"/>
  <c r="N236" i="1"/>
  <c r="M236" i="1"/>
  <c r="L236" i="1"/>
  <c r="K236" i="1"/>
  <c r="V235" i="1"/>
  <c r="T235" i="1"/>
  <c r="S235" i="1"/>
  <c r="R235" i="1"/>
  <c r="Q235" i="1"/>
  <c r="P235" i="1"/>
  <c r="N235" i="1"/>
  <c r="M235" i="1"/>
  <c r="L235" i="1"/>
  <c r="K235" i="1"/>
  <c r="V234" i="1"/>
  <c r="T234" i="1"/>
  <c r="S234" i="1"/>
  <c r="R234" i="1"/>
  <c r="Q234" i="1"/>
  <c r="P234" i="1"/>
  <c r="N234" i="1"/>
  <c r="M234" i="1"/>
  <c r="L234" i="1"/>
  <c r="K234" i="1"/>
  <c r="V233" i="1"/>
  <c r="T233" i="1"/>
  <c r="S233" i="1"/>
  <c r="R233" i="1"/>
  <c r="Q233" i="1"/>
  <c r="P233" i="1"/>
  <c r="N233" i="1"/>
  <c r="M233" i="1"/>
  <c r="L233" i="1"/>
  <c r="K233" i="1"/>
  <c r="V232" i="1"/>
  <c r="T232" i="1"/>
  <c r="S232" i="1"/>
  <c r="R232" i="1"/>
  <c r="Q232" i="1"/>
  <c r="P232" i="1"/>
  <c r="N232" i="1"/>
  <c r="M232" i="1"/>
  <c r="L232" i="1"/>
  <c r="K232" i="1"/>
  <c r="V231" i="1"/>
  <c r="T231" i="1"/>
  <c r="S231" i="1"/>
  <c r="R231" i="1"/>
  <c r="Q231" i="1"/>
  <c r="P231" i="1"/>
  <c r="N231" i="1"/>
  <c r="M231" i="1"/>
  <c r="L231" i="1"/>
  <c r="K231" i="1"/>
  <c r="V230" i="1"/>
  <c r="T230" i="1"/>
  <c r="S230" i="1"/>
  <c r="R230" i="1"/>
  <c r="Q230" i="1"/>
  <c r="P230" i="1"/>
  <c r="N230" i="1"/>
  <c r="M230" i="1"/>
  <c r="L230" i="1"/>
  <c r="K230" i="1"/>
  <c r="V229" i="1"/>
  <c r="T229" i="1"/>
  <c r="S229" i="1"/>
  <c r="R229" i="1"/>
  <c r="Q229" i="1"/>
  <c r="P229" i="1"/>
  <c r="N229" i="1"/>
  <c r="M229" i="1"/>
  <c r="L229" i="1"/>
  <c r="K229" i="1"/>
  <c r="V228" i="1"/>
  <c r="T228" i="1"/>
  <c r="S228" i="1"/>
  <c r="R228" i="1"/>
  <c r="Q228" i="1"/>
  <c r="P228" i="1"/>
  <c r="N228" i="1"/>
  <c r="M228" i="1"/>
  <c r="L228" i="1"/>
  <c r="K228" i="1"/>
  <c r="V227" i="1"/>
  <c r="T227" i="1"/>
  <c r="S227" i="1"/>
  <c r="R227" i="1"/>
  <c r="Q227" i="1"/>
  <c r="P227" i="1"/>
  <c r="N227" i="1"/>
  <c r="M227" i="1"/>
  <c r="L227" i="1"/>
  <c r="K227" i="1"/>
  <c r="V226" i="1"/>
  <c r="T226" i="1"/>
  <c r="S226" i="1"/>
  <c r="R226" i="1"/>
  <c r="Q226" i="1"/>
  <c r="P226" i="1"/>
  <c r="N226" i="1"/>
  <c r="M226" i="1"/>
  <c r="L226" i="1"/>
  <c r="K226" i="1"/>
  <c r="V225" i="1"/>
  <c r="T225" i="1"/>
  <c r="S225" i="1"/>
  <c r="R225" i="1"/>
  <c r="Q225" i="1"/>
  <c r="P225" i="1"/>
  <c r="N225" i="1"/>
  <c r="M225" i="1"/>
  <c r="L225" i="1"/>
  <c r="K225" i="1"/>
  <c r="V224" i="1"/>
  <c r="T224" i="1"/>
  <c r="S224" i="1"/>
  <c r="R224" i="1"/>
  <c r="Q224" i="1"/>
  <c r="P224" i="1"/>
  <c r="N224" i="1"/>
  <c r="M224" i="1"/>
  <c r="L224" i="1"/>
  <c r="K224" i="1"/>
  <c r="V223" i="1"/>
  <c r="T223" i="1"/>
  <c r="S223" i="1"/>
  <c r="R223" i="1"/>
  <c r="Q223" i="1"/>
  <c r="P223" i="1"/>
  <c r="N223" i="1"/>
  <c r="M223" i="1"/>
  <c r="L223" i="1"/>
  <c r="K223" i="1"/>
  <c r="V222" i="1"/>
  <c r="T222" i="1"/>
  <c r="S222" i="1"/>
  <c r="R222" i="1"/>
  <c r="Q222" i="1"/>
  <c r="P222" i="1"/>
  <c r="N222" i="1"/>
  <c r="M222" i="1"/>
  <c r="L222" i="1"/>
  <c r="K222" i="1"/>
  <c r="V221" i="1"/>
  <c r="T221" i="1"/>
  <c r="S221" i="1"/>
  <c r="R221" i="1"/>
  <c r="Q221" i="1"/>
  <c r="P221" i="1"/>
  <c r="N221" i="1"/>
  <c r="M221" i="1"/>
  <c r="L221" i="1"/>
  <c r="K221" i="1"/>
  <c r="V220" i="1"/>
  <c r="T220" i="1"/>
  <c r="S220" i="1"/>
  <c r="R220" i="1"/>
  <c r="Q220" i="1"/>
  <c r="P220" i="1"/>
  <c r="N220" i="1"/>
  <c r="M220" i="1"/>
  <c r="L220" i="1"/>
  <c r="K220" i="1"/>
  <c r="V219" i="1"/>
  <c r="T219" i="1"/>
  <c r="S219" i="1"/>
  <c r="R219" i="1"/>
  <c r="Q219" i="1"/>
  <c r="P219" i="1"/>
  <c r="N219" i="1"/>
  <c r="M219" i="1"/>
  <c r="L219" i="1"/>
  <c r="K219" i="1"/>
  <c r="V218" i="1"/>
  <c r="T218" i="1"/>
  <c r="S218" i="1"/>
  <c r="R218" i="1"/>
  <c r="Q218" i="1"/>
  <c r="P218" i="1"/>
  <c r="N218" i="1"/>
  <c r="M218" i="1"/>
  <c r="L218" i="1"/>
  <c r="K218" i="1"/>
  <c r="V217" i="1"/>
  <c r="T217" i="1"/>
  <c r="S217" i="1"/>
  <c r="R217" i="1"/>
  <c r="Q217" i="1"/>
  <c r="P217" i="1"/>
  <c r="N217" i="1"/>
  <c r="M217" i="1"/>
  <c r="L217" i="1"/>
  <c r="K217" i="1"/>
  <c r="V216" i="1"/>
  <c r="T216" i="1"/>
  <c r="S216" i="1"/>
  <c r="R216" i="1"/>
  <c r="Q216" i="1"/>
  <c r="P216" i="1"/>
  <c r="N216" i="1"/>
  <c r="M216" i="1"/>
  <c r="L216" i="1"/>
  <c r="K216" i="1"/>
  <c r="V215" i="1"/>
  <c r="T215" i="1"/>
  <c r="S215" i="1"/>
  <c r="R215" i="1"/>
  <c r="Q215" i="1"/>
  <c r="P215" i="1"/>
  <c r="N215" i="1"/>
  <c r="M215" i="1"/>
  <c r="L215" i="1"/>
  <c r="K215" i="1"/>
  <c r="V214" i="1"/>
  <c r="T214" i="1"/>
  <c r="S214" i="1"/>
  <c r="R214" i="1"/>
  <c r="Q214" i="1"/>
  <c r="P214" i="1"/>
  <c r="N214" i="1"/>
  <c r="M214" i="1"/>
  <c r="L214" i="1"/>
  <c r="K214" i="1"/>
  <c r="V213" i="1"/>
  <c r="T213" i="1"/>
  <c r="S213" i="1"/>
  <c r="R213" i="1"/>
  <c r="Q213" i="1"/>
  <c r="P213" i="1"/>
  <c r="N213" i="1"/>
  <c r="M213" i="1"/>
  <c r="L213" i="1"/>
  <c r="K213" i="1"/>
  <c r="A213" i="1" a="1"/>
  <c r="A245" i="1" s="1"/>
  <c r="V212" i="1"/>
  <c r="U212" i="1"/>
  <c r="T212" i="1"/>
  <c r="S212" i="1"/>
  <c r="R212" i="1"/>
  <c r="Q212" i="1"/>
  <c r="N212" i="1"/>
  <c r="M212" i="1"/>
  <c r="L212" i="1"/>
  <c r="K212" i="1"/>
  <c r="T211" i="1"/>
  <c r="S211" i="1"/>
  <c r="R211" i="1"/>
  <c r="Q211" i="1"/>
  <c r="N211" i="1"/>
  <c r="M211" i="1"/>
  <c r="L211" i="1"/>
  <c r="K211" i="1"/>
  <c r="T210" i="1"/>
  <c r="S210" i="1"/>
  <c r="R210" i="1"/>
  <c r="Q210" i="1"/>
  <c r="N210" i="1"/>
  <c r="M210" i="1"/>
  <c r="L210" i="1"/>
  <c r="K210" i="1"/>
  <c r="T209" i="1"/>
  <c r="S209" i="1"/>
  <c r="R209" i="1"/>
  <c r="Q209" i="1"/>
  <c r="N209" i="1"/>
  <c r="M209" i="1"/>
  <c r="L209" i="1"/>
  <c r="K209" i="1"/>
  <c r="T208" i="1"/>
  <c r="S208" i="1"/>
  <c r="R208" i="1"/>
  <c r="Q208" i="1"/>
  <c r="N208" i="1"/>
  <c r="M208" i="1"/>
  <c r="L208" i="1"/>
  <c r="K208" i="1"/>
  <c r="H208" i="1"/>
  <c r="G208" i="1"/>
  <c r="G308" i="1" s="1"/>
  <c r="C208" i="1"/>
  <c r="A208" i="1"/>
  <c r="T207" i="1"/>
  <c r="S207" i="1"/>
  <c r="R207" i="1"/>
  <c r="Q207" i="1"/>
  <c r="N207" i="1"/>
  <c r="M207" i="1"/>
  <c r="L207" i="1"/>
  <c r="K207" i="1"/>
  <c r="T206" i="1"/>
  <c r="S206" i="1"/>
  <c r="R206" i="1"/>
  <c r="Q206" i="1"/>
  <c r="N206" i="1"/>
  <c r="M206" i="1"/>
  <c r="L206" i="1"/>
  <c r="K206" i="1"/>
  <c r="T205" i="1"/>
  <c r="S205" i="1"/>
  <c r="R205" i="1"/>
  <c r="Q205" i="1"/>
  <c r="N205" i="1"/>
  <c r="M205" i="1"/>
  <c r="L205" i="1"/>
  <c r="K205" i="1"/>
  <c r="T204" i="1"/>
  <c r="S204" i="1"/>
  <c r="R204" i="1"/>
  <c r="Q204" i="1"/>
  <c r="N204" i="1"/>
  <c r="M204" i="1"/>
  <c r="L204" i="1"/>
  <c r="K204" i="1"/>
  <c r="T203" i="1"/>
  <c r="S203" i="1"/>
  <c r="R203" i="1"/>
  <c r="Q203" i="1"/>
  <c r="N203" i="1"/>
  <c r="M203" i="1"/>
  <c r="L203" i="1"/>
  <c r="K203" i="1"/>
  <c r="T202" i="1"/>
  <c r="S202" i="1"/>
  <c r="R202" i="1"/>
  <c r="Q202" i="1"/>
  <c r="N202" i="1"/>
  <c r="M202" i="1"/>
  <c r="L202" i="1"/>
  <c r="K202" i="1"/>
  <c r="T201" i="1"/>
  <c r="S201" i="1"/>
  <c r="R201" i="1"/>
  <c r="Q201" i="1"/>
  <c r="N201" i="1"/>
  <c r="M201" i="1"/>
  <c r="L201" i="1"/>
  <c r="K201" i="1"/>
  <c r="T200" i="1"/>
  <c r="S200" i="1"/>
  <c r="R200" i="1"/>
  <c r="Q200" i="1"/>
  <c r="N200" i="1"/>
  <c r="M200" i="1"/>
  <c r="L200" i="1"/>
  <c r="K200" i="1"/>
  <c r="T199" i="1"/>
  <c r="S199" i="1"/>
  <c r="R199" i="1"/>
  <c r="Q199" i="1"/>
  <c r="N199" i="1"/>
  <c r="M199" i="1"/>
  <c r="L199" i="1"/>
  <c r="K199" i="1"/>
  <c r="T198" i="1"/>
  <c r="S198" i="1"/>
  <c r="R198" i="1"/>
  <c r="Q198" i="1"/>
  <c r="N198" i="1"/>
  <c r="M198" i="1"/>
  <c r="L198" i="1"/>
  <c r="K198" i="1"/>
  <c r="T197" i="1"/>
  <c r="S197" i="1"/>
  <c r="R197" i="1"/>
  <c r="Q197" i="1"/>
  <c r="N197" i="1"/>
  <c r="M197" i="1"/>
  <c r="L197" i="1"/>
  <c r="K197" i="1"/>
  <c r="T196" i="1"/>
  <c r="S196" i="1"/>
  <c r="R196" i="1"/>
  <c r="Q196" i="1"/>
  <c r="N196" i="1"/>
  <c r="M196" i="1"/>
  <c r="L196" i="1"/>
  <c r="K196" i="1"/>
  <c r="T195" i="1"/>
  <c r="S195" i="1"/>
  <c r="R195" i="1"/>
  <c r="Q195" i="1"/>
  <c r="N195" i="1"/>
  <c r="M195" i="1"/>
  <c r="L195" i="1"/>
  <c r="K195" i="1"/>
  <c r="T194" i="1"/>
  <c r="S194" i="1"/>
  <c r="R194" i="1"/>
  <c r="Q194" i="1"/>
  <c r="N194" i="1"/>
  <c r="M194" i="1"/>
  <c r="L194" i="1"/>
  <c r="K194" i="1"/>
  <c r="T193" i="1"/>
  <c r="S193" i="1"/>
  <c r="R193" i="1"/>
  <c r="Q193" i="1"/>
  <c r="N193" i="1"/>
  <c r="M193" i="1"/>
  <c r="L193" i="1"/>
  <c r="K193" i="1"/>
  <c r="T192" i="1"/>
  <c r="S192" i="1"/>
  <c r="R192" i="1"/>
  <c r="Q192" i="1"/>
  <c r="N192" i="1"/>
  <c r="M192" i="1"/>
  <c r="L192" i="1"/>
  <c r="K192" i="1"/>
  <c r="T191" i="1"/>
  <c r="S191" i="1"/>
  <c r="R191" i="1"/>
  <c r="Q191" i="1"/>
  <c r="N191" i="1"/>
  <c r="M191" i="1"/>
  <c r="L191" i="1"/>
  <c r="K191" i="1"/>
  <c r="T190" i="1"/>
  <c r="S190" i="1"/>
  <c r="R190" i="1"/>
  <c r="Q190" i="1"/>
  <c r="N190" i="1"/>
  <c r="M190" i="1"/>
  <c r="L190" i="1"/>
  <c r="K190" i="1"/>
  <c r="T189" i="1"/>
  <c r="S189" i="1"/>
  <c r="R189" i="1"/>
  <c r="Q189" i="1"/>
  <c r="N189" i="1"/>
  <c r="M189" i="1"/>
  <c r="L189" i="1"/>
  <c r="K189" i="1"/>
  <c r="T188" i="1"/>
  <c r="S188" i="1"/>
  <c r="R188" i="1"/>
  <c r="Q188" i="1"/>
  <c r="N188" i="1"/>
  <c r="M188" i="1"/>
  <c r="L188" i="1"/>
  <c r="K188" i="1"/>
  <c r="T187" i="1"/>
  <c r="S187" i="1"/>
  <c r="R187" i="1"/>
  <c r="Q187" i="1"/>
  <c r="N187" i="1"/>
  <c r="M187" i="1"/>
  <c r="L187" i="1"/>
  <c r="K187" i="1"/>
  <c r="T186" i="1"/>
  <c r="S186" i="1"/>
  <c r="R186" i="1"/>
  <c r="Q186" i="1"/>
  <c r="N186" i="1"/>
  <c r="M186" i="1"/>
  <c r="L186" i="1"/>
  <c r="K186" i="1"/>
  <c r="T185" i="1"/>
  <c r="S185" i="1"/>
  <c r="R185" i="1"/>
  <c r="Q185" i="1"/>
  <c r="N185" i="1"/>
  <c r="M185" i="1"/>
  <c r="L185" i="1"/>
  <c r="K185" i="1"/>
  <c r="T184" i="1"/>
  <c r="S184" i="1"/>
  <c r="R184" i="1"/>
  <c r="Q184" i="1"/>
  <c r="N184" i="1"/>
  <c r="M184" i="1"/>
  <c r="L184" i="1"/>
  <c r="K184" i="1"/>
  <c r="T183" i="1"/>
  <c r="S183" i="1"/>
  <c r="R183" i="1"/>
  <c r="Q183" i="1"/>
  <c r="N183" i="1"/>
  <c r="M183" i="1"/>
  <c r="L183" i="1"/>
  <c r="K183" i="1"/>
  <c r="T182" i="1"/>
  <c r="S182" i="1"/>
  <c r="R182" i="1"/>
  <c r="Q182" i="1"/>
  <c r="N182" i="1"/>
  <c r="M182" i="1"/>
  <c r="L182" i="1"/>
  <c r="K182" i="1"/>
  <c r="T181" i="1"/>
  <c r="S181" i="1"/>
  <c r="R181" i="1"/>
  <c r="Q181" i="1"/>
  <c r="N181" i="1"/>
  <c r="M181" i="1"/>
  <c r="L181" i="1"/>
  <c r="K181" i="1"/>
  <c r="T180" i="1"/>
  <c r="S180" i="1"/>
  <c r="R180" i="1"/>
  <c r="Q180" i="1"/>
  <c r="N180" i="1"/>
  <c r="M180" i="1"/>
  <c r="L180" i="1"/>
  <c r="K180" i="1"/>
  <c r="T179" i="1"/>
  <c r="S179" i="1"/>
  <c r="R179" i="1"/>
  <c r="Q179" i="1"/>
  <c r="N179" i="1"/>
  <c r="M179" i="1"/>
  <c r="L179" i="1"/>
  <c r="K179" i="1"/>
  <c r="T178" i="1"/>
  <c r="S178" i="1"/>
  <c r="R178" i="1"/>
  <c r="Q178" i="1"/>
  <c r="N178" i="1"/>
  <c r="M178" i="1"/>
  <c r="L178" i="1"/>
  <c r="K178" i="1"/>
  <c r="T177" i="1"/>
  <c r="S177" i="1"/>
  <c r="R177" i="1"/>
  <c r="Q177" i="1"/>
  <c r="N177" i="1"/>
  <c r="M177" i="1"/>
  <c r="L177" i="1"/>
  <c r="K177" i="1"/>
  <c r="T176" i="1"/>
  <c r="S176" i="1"/>
  <c r="R176" i="1"/>
  <c r="Q176" i="1"/>
  <c r="N176" i="1"/>
  <c r="M176" i="1"/>
  <c r="L176" i="1"/>
  <c r="K176" i="1"/>
  <c r="T175" i="1"/>
  <c r="S175" i="1"/>
  <c r="R175" i="1"/>
  <c r="Q175" i="1"/>
  <c r="N175" i="1"/>
  <c r="M175" i="1"/>
  <c r="L175" i="1"/>
  <c r="K175" i="1"/>
  <c r="T174" i="1"/>
  <c r="S174" i="1"/>
  <c r="R174" i="1"/>
  <c r="Q174" i="1"/>
  <c r="N174" i="1"/>
  <c r="M174" i="1"/>
  <c r="L174" i="1"/>
  <c r="K174" i="1"/>
  <c r="T173" i="1"/>
  <c r="S173" i="1"/>
  <c r="R173" i="1"/>
  <c r="Q173" i="1"/>
  <c r="N173" i="1"/>
  <c r="M173" i="1"/>
  <c r="L173" i="1"/>
  <c r="K173" i="1"/>
  <c r="T172" i="1"/>
  <c r="S172" i="1"/>
  <c r="R172" i="1"/>
  <c r="Q172" i="1"/>
  <c r="N172" i="1"/>
  <c r="M172" i="1"/>
  <c r="L172" i="1"/>
  <c r="K172" i="1"/>
  <c r="T171" i="1"/>
  <c r="S171" i="1"/>
  <c r="R171" i="1"/>
  <c r="Q171" i="1"/>
  <c r="N171" i="1"/>
  <c r="M171" i="1"/>
  <c r="L171" i="1"/>
  <c r="K171" i="1"/>
  <c r="T170" i="1"/>
  <c r="S170" i="1"/>
  <c r="R170" i="1"/>
  <c r="Q170" i="1"/>
  <c r="N170" i="1"/>
  <c r="M170" i="1"/>
  <c r="L170" i="1"/>
  <c r="K170" i="1"/>
  <c r="T169" i="1"/>
  <c r="S169" i="1"/>
  <c r="R169" i="1"/>
  <c r="Q169" i="1"/>
  <c r="N169" i="1"/>
  <c r="M169" i="1"/>
  <c r="L169" i="1"/>
  <c r="K169" i="1"/>
  <c r="T168" i="1"/>
  <c r="S168" i="1"/>
  <c r="R168" i="1"/>
  <c r="Q168" i="1"/>
  <c r="N168" i="1"/>
  <c r="M168" i="1"/>
  <c r="L168" i="1"/>
  <c r="K168" i="1"/>
  <c r="T167" i="1"/>
  <c r="S167" i="1"/>
  <c r="R167" i="1"/>
  <c r="Q167" i="1"/>
  <c r="N167" i="1"/>
  <c r="M167" i="1"/>
  <c r="L167" i="1"/>
  <c r="K167" i="1"/>
  <c r="T166" i="1"/>
  <c r="S166" i="1"/>
  <c r="R166" i="1"/>
  <c r="Q166" i="1"/>
  <c r="N166" i="1"/>
  <c r="M166" i="1"/>
  <c r="L166" i="1"/>
  <c r="K166" i="1"/>
  <c r="T165" i="1"/>
  <c r="S165" i="1"/>
  <c r="R165" i="1"/>
  <c r="Q165" i="1"/>
  <c r="N165" i="1"/>
  <c r="M165" i="1"/>
  <c r="L165" i="1"/>
  <c r="K165" i="1"/>
  <c r="T164" i="1"/>
  <c r="S164" i="1"/>
  <c r="R164" i="1"/>
  <c r="Q164" i="1"/>
  <c r="N164" i="1"/>
  <c r="M164" i="1"/>
  <c r="L164" i="1"/>
  <c r="K164" i="1"/>
  <c r="T163" i="1"/>
  <c r="S163" i="1"/>
  <c r="R163" i="1"/>
  <c r="Q163" i="1"/>
  <c r="N163" i="1"/>
  <c r="M163" i="1"/>
  <c r="L163" i="1"/>
  <c r="K163" i="1"/>
  <c r="V162" i="1"/>
  <c r="T162" i="1"/>
  <c r="S162" i="1"/>
  <c r="R162" i="1"/>
  <c r="Q162" i="1"/>
  <c r="P162" i="1"/>
  <c r="N162" i="1"/>
  <c r="M162" i="1"/>
  <c r="L162" i="1"/>
  <c r="K162" i="1"/>
  <c r="V161" i="1"/>
  <c r="T161" i="1"/>
  <c r="S161" i="1"/>
  <c r="R161" i="1"/>
  <c r="Q161" i="1"/>
  <c r="P161" i="1"/>
  <c r="N161" i="1"/>
  <c r="M161" i="1"/>
  <c r="L161" i="1"/>
  <c r="K161" i="1"/>
  <c r="V160" i="1"/>
  <c r="T160" i="1"/>
  <c r="S160" i="1"/>
  <c r="R160" i="1"/>
  <c r="Q160" i="1"/>
  <c r="P160" i="1"/>
  <c r="N160" i="1"/>
  <c r="M160" i="1"/>
  <c r="L160" i="1"/>
  <c r="K160" i="1"/>
  <c r="V159" i="1"/>
  <c r="T159" i="1"/>
  <c r="S159" i="1"/>
  <c r="R159" i="1"/>
  <c r="Q159" i="1"/>
  <c r="P159" i="1"/>
  <c r="N159" i="1"/>
  <c r="M159" i="1"/>
  <c r="L159" i="1"/>
  <c r="K159" i="1"/>
  <c r="V158" i="1"/>
  <c r="T158" i="1"/>
  <c r="S158" i="1"/>
  <c r="R158" i="1"/>
  <c r="Q158" i="1"/>
  <c r="P158" i="1"/>
  <c r="N158" i="1"/>
  <c r="M158" i="1"/>
  <c r="L158" i="1"/>
  <c r="K158" i="1"/>
  <c r="V157" i="1"/>
  <c r="T157" i="1"/>
  <c r="S157" i="1"/>
  <c r="R157" i="1"/>
  <c r="Q157" i="1"/>
  <c r="P157" i="1"/>
  <c r="N157" i="1"/>
  <c r="M157" i="1"/>
  <c r="L157" i="1"/>
  <c r="K157" i="1"/>
  <c r="V156" i="1"/>
  <c r="T156" i="1"/>
  <c r="S156" i="1"/>
  <c r="R156" i="1"/>
  <c r="Q156" i="1"/>
  <c r="P156" i="1"/>
  <c r="N156" i="1"/>
  <c r="M156" i="1"/>
  <c r="L156" i="1"/>
  <c r="K156" i="1"/>
  <c r="V155" i="1"/>
  <c r="T155" i="1"/>
  <c r="S155" i="1"/>
  <c r="R155" i="1"/>
  <c r="Q155" i="1"/>
  <c r="P155" i="1"/>
  <c r="N155" i="1"/>
  <c r="M155" i="1"/>
  <c r="L155" i="1"/>
  <c r="K155" i="1"/>
  <c r="V154" i="1"/>
  <c r="T154" i="1"/>
  <c r="S154" i="1"/>
  <c r="R154" i="1"/>
  <c r="Q154" i="1"/>
  <c r="P154" i="1"/>
  <c r="N154" i="1"/>
  <c r="M154" i="1"/>
  <c r="L154" i="1"/>
  <c r="K154" i="1"/>
  <c r="V153" i="1"/>
  <c r="T153" i="1"/>
  <c r="S153" i="1"/>
  <c r="R153" i="1"/>
  <c r="Q153" i="1"/>
  <c r="P153" i="1"/>
  <c r="N153" i="1"/>
  <c r="M153" i="1"/>
  <c r="L153" i="1"/>
  <c r="K153" i="1"/>
  <c r="V152" i="1"/>
  <c r="T152" i="1"/>
  <c r="S152" i="1"/>
  <c r="R152" i="1"/>
  <c r="Q152" i="1"/>
  <c r="P152" i="1"/>
  <c r="N152" i="1"/>
  <c r="M152" i="1"/>
  <c r="L152" i="1"/>
  <c r="K152" i="1"/>
  <c r="V151" i="1"/>
  <c r="T151" i="1"/>
  <c r="S151" i="1"/>
  <c r="R151" i="1"/>
  <c r="Q151" i="1"/>
  <c r="P151" i="1"/>
  <c r="N151" i="1"/>
  <c r="M151" i="1"/>
  <c r="L151" i="1"/>
  <c r="K151" i="1"/>
  <c r="V150" i="1"/>
  <c r="T150" i="1"/>
  <c r="S150" i="1"/>
  <c r="R150" i="1"/>
  <c r="Q150" i="1"/>
  <c r="P150" i="1"/>
  <c r="N150" i="1"/>
  <c r="M150" i="1"/>
  <c r="L150" i="1"/>
  <c r="K150" i="1"/>
  <c r="V149" i="1"/>
  <c r="T149" i="1"/>
  <c r="S149" i="1"/>
  <c r="R149" i="1"/>
  <c r="Q149" i="1"/>
  <c r="P149" i="1"/>
  <c r="N149" i="1"/>
  <c r="M149" i="1"/>
  <c r="L149" i="1"/>
  <c r="K149" i="1"/>
  <c r="V148" i="1"/>
  <c r="T148" i="1"/>
  <c r="S148" i="1"/>
  <c r="R148" i="1"/>
  <c r="Q148" i="1"/>
  <c r="P148" i="1"/>
  <c r="N148" i="1"/>
  <c r="M148" i="1"/>
  <c r="L148" i="1"/>
  <c r="K148" i="1"/>
  <c r="V147" i="1"/>
  <c r="T147" i="1"/>
  <c r="S147" i="1"/>
  <c r="R147" i="1"/>
  <c r="Q147" i="1"/>
  <c r="P147" i="1"/>
  <c r="N147" i="1"/>
  <c r="M147" i="1"/>
  <c r="L147" i="1"/>
  <c r="K147" i="1"/>
  <c r="V146" i="1"/>
  <c r="T146" i="1"/>
  <c r="S146" i="1"/>
  <c r="R146" i="1"/>
  <c r="Q146" i="1"/>
  <c r="P146" i="1"/>
  <c r="N146" i="1"/>
  <c r="M146" i="1"/>
  <c r="L146" i="1"/>
  <c r="K146" i="1"/>
  <c r="V145" i="1"/>
  <c r="T145" i="1"/>
  <c r="S145" i="1"/>
  <c r="R145" i="1"/>
  <c r="Q145" i="1"/>
  <c r="P145" i="1"/>
  <c r="N145" i="1"/>
  <c r="M145" i="1"/>
  <c r="L145" i="1"/>
  <c r="K145" i="1"/>
  <c r="V144" i="1"/>
  <c r="T144" i="1"/>
  <c r="S144" i="1"/>
  <c r="R144" i="1"/>
  <c r="Q144" i="1"/>
  <c r="P144" i="1"/>
  <c r="N144" i="1"/>
  <c r="M144" i="1"/>
  <c r="L144" i="1"/>
  <c r="K144" i="1"/>
  <c r="V143" i="1"/>
  <c r="T143" i="1"/>
  <c r="S143" i="1"/>
  <c r="R143" i="1"/>
  <c r="Q143" i="1"/>
  <c r="P143" i="1"/>
  <c r="N143" i="1"/>
  <c r="M143" i="1"/>
  <c r="L143" i="1"/>
  <c r="K143" i="1"/>
  <c r="V142" i="1"/>
  <c r="T142" i="1"/>
  <c r="S142" i="1"/>
  <c r="R142" i="1"/>
  <c r="Q142" i="1"/>
  <c r="P142" i="1"/>
  <c r="N142" i="1"/>
  <c r="M142" i="1"/>
  <c r="L142" i="1"/>
  <c r="K142" i="1"/>
  <c r="V141" i="1"/>
  <c r="T141" i="1"/>
  <c r="S141" i="1"/>
  <c r="R141" i="1"/>
  <c r="Q141" i="1"/>
  <c r="P141" i="1"/>
  <c r="N141" i="1"/>
  <c r="M141" i="1"/>
  <c r="L141" i="1"/>
  <c r="K141" i="1"/>
  <c r="V140" i="1"/>
  <c r="T140" i="1"/>
  <c r="S140" i="1"/>
  <c r="R140" i="1"/>
  <c r="Q140" i="1"/>
  <c r="P140" i="1"/>
  <c r="N140" i="1"/>
  <c r="M140" i="1"/>
  <c r="L140" i="1"/>
  <c r="K140" i="1"/>
  <c r="V139" i="1"/>
  <c r="T139" i="1"/>
  <c r="S139" i="1"/>
  <c r="R139" i="1"/>
  <c r="Q139" i="1"/>
  <c r="P139" i="1"/>
  <c r="N139" i="1"/>
  <c r="M139" i="1"/>
  <c r="L139" i="1"/>
  <c r="K139" i="1"/>
  <c r="V138" i="1"/>
  <c r="T138" i="1"/>
  <c r="S138" i="1"/>
  <c r="R138" i="1"/>
  <c r="Q138" i="1"/>
  <c r="P138" i="1"/>
  <c r="N138" i="1"/>
  <c r="M138" i="1"/>
  <c r="L138" i="1"/>
  <c r="K138" i="1"/>
  <c r="V137" i="1"/>
  <c r="T137" i="1"/>
  <c r="S137" i="1"/>
  <c r="R137" i="1"/>
  <c r="Q137" i="1"/>
  <c r="P137" i="1"/>
  <c r="N137" i="1"/>
  <c r="M137" i="1"/>
  <c r="L137" i="1"/>
  <c r="K137" i="1"/>
  <c r="V136" i="1"/>
  <c r="T136" i="1"/>
  <c r="S136" i="1"/>
  <c r="R136" i="1"/>
  <c r="Q136" i="1"/>
  <c r="P136" i="1"/>
  <c r="N136" i="1"/>
  <c r="M136" i="1"/>
  <c r="L136" i="1"/>
  <c r="K136" i="1"/>
  <c r="V135" i="1"/>
  <c r="T135" i="1"/>
  <c r="S135" i="1"/>
  <c r="R135" i="1"/>
  <c r="Q135" i="1"/>
  <c r="P135" i="1"/>
  <c r="N135" i="1"/>
  <c r="M135" i="1"/>
  <c r="L135" i="1"/>
  <c r="K135" i="1"/>
  <c r="V134" i="1"/>
  <c r="T134" i="1"/>
  <c r="S134" i="1"/>
  <c r="R134" i="1"/>
  <c r="Q134" i="1"/>
  <c r="P134" i="1"/>
  <c r="N134" i="1"/>
  <c r="M134" i="1"/>
  <c r="L134" i="1"/>
  <c r="K134" i="1"/>
  <c r="V133" i="1"/>
  <c r="T133" i="1"/>
  <c r="S133" i="1"/>
  <c r="R133" i="1"/>
  <c r="Q133" i="1"/>
  <c r="P133" i="1"/>
  <c r="N133" i="1"/>
  <c r="M133" i="1"/>
  <c r="L133" i="1"/>
  <c r="K133" i="1"/>
  <c r="V132" i="1"/>
  <c r="T132" i="1"/>
  <c r="S132" i="1"/>
  <c r="R132" i="1"/>
  <c r="Q132" i="1"/>
  <c r="P132" i="1"/>
  <c r="N132" i="1"/>
  <c r="M132" i="1"/>
  <c r="L132" i="1"/>
  <c r="K132" i="1"/>
  <c r="V131" i="1"/>
  <c r="T131" i="1"/>
  <c r="S131" i="1"/>
  <c r="R131" i="1"/>
  <c r="Q131" i="1"/>
  <c r="P131" i="1"/>
  <c r="N131" i="1"/>
  <c r="M131" i="1"/>
  <c r="L131" i="1"/>
  <c r="K131" i="1"/>
  <c r="V130" i="1"/>
  <c r="T130" i="1"/>
  <c r="S130" i="1"/>
  <c r="R130" i="1"/>
  <c r="Q130" i="1"/>
  <c r="P130" i="1"/>
  <c r="N130" i="1"/>
  <c r="M130" i="1"/>
  <c r="L130" i="1"/>
  <c r="K130" i="1"/>
  <c r="V129" i="1"/>
  <c r="T129" i="1"/>
  <c r="S129" i="1"/>
  <c r="R129" i="1"/>
  <c r="Q129" i="1"/>
  <c r="P129" i="1"/>
  <c r="N129" i="1"/>
  <c r="M129" i="1"/>
  <c r="L129" i="1"/>
  <c r="K129" i="1"/>
  <c r="V128" i="1"/>
  <c r="T128" i="1"/>
  <c r="S128" i="1"/>
  <c r="R128" i="1"/>
  <c r="Q128" i="1"/>
  <c r="P128" i="1"/>
  <c r="N128" i="1"/>
  <c r="M128" i="1"/>
  <c r="L128" i="1"/>
  <c r="K128" i="1"/>
  <c r="V127" i="1"/>
  <c r="T127" i="1"/>
  <c r="S127" i="1"/>
  <c r="R127" i="1"/>
  <c r="Q127" i="1"/>
  <c r="P127" i="1"/>
  <c r="N127" i="1"/>
  <c r="M127" i="1"/>
  <c r="L127" i="1"/>
  <c r="K127" i="1"/>
  <c r="V126" i="1"/>
  <c r="T126" i="1"/>
  <c r="S126" i="1"/>
  <c r="R126" i="1"/>
  <c r="Q126" i="1"/>
  <c r="P126" i="1"/>
  <c r="N126" i="1"/>
  <c r="M126" i="1"/>
  <c r="L126" i="1"/>
  <c r="K126" i="1"/>
  <c r="V125" i="1"/>
  <c r="T125" i="1"/>
  <c r="S125" i="1"/>
  <c r="R125" i="1"/>
  <c r="Q125" i="1"/>
  <c r="P125" i="1"/>
  <c r="N125" i="1"/>
  <c r="M125" i="1"/>
  <c r="L125" i="1"/>
  <c r="K125" i="1"/>
  <c r="V124" i="1"/>
  <c r="T124" i="1"/>
  <c r="S124" i="1"/>
  <c r="R124" i="1"/>
  <c r="Q124" i="1"/>
  <c r="P124" i="1"/>
  <c r="N124" i="1"/>
  <c r="M124" i="1"/>
  <c r="L124" i="1"/>
  <c r="K124" i="1"/>
  <c r="V123" i="1"/>
  <c r="T123" i="1"/>
  <c r="S123" i="1"/>
  <c r="R123" i="1"/>
  <c r="Q123" i="1"/>
  <c r="P123" i="1"/>
  <c r="N123" i="1"/>
  <c r="M123" i="1"/>
  <c r="L123" i="1"/>
  <c r="K123" i="1"/>
  <c r="V122" i="1"/>
  <c r="T122" i="1"/>
  <c r="S122" i="1"/>
  <c r="R122" i="1"/>
  <c r="Q122" i="1"/>
  <c r="P122" i="1"/>
  <c r="N122" i="1"/>
  <c r="M122" i="1"/>
  <c r="L122" i="1"/>
  <c r="K122" i="1"/>
  <c r="V121" i="1"/>
  <c r="T121" i="1"/>
  <c r="S121" i="1"/>
  <c r="R121" i="1"/>
  <c r="Q121" i="1"/>
  <c r="P121" i="1"/>
  <c r="N121" i="1"/>
  <c r="M121" i="1"/>
  <c r="L121" i="1"/>
  <c r="K121" i="1"/>
  <c r="V120" i="1"/>
  <c r="T120" i="1"/>
  <c r="S120" i="1"/>
  <c r="R120" i="1"/>
  <c r="Q120" i="1"/>
  <c r="P120" i="1"/>
  <c r="N120" i="1"/>
  <c r="M120" i="1"/>
  <c r="L120" i="1"/>
  <c r="K120" i="1"/>
  <c r="V119" i="1"/>
  <c r="T119" i="1"/>
  <c r="S119" i="1"/>
  <c r="R119" i="1"/>
  <c r="Q119" i="1"/>
  <c r="P119" i="1"/>
  <c r="N119" i="1"/>
  <c r="M119" i="1"/>
  <c r="L119" i="1"/>
  <c r="K119" i="1"/>
  <c r="V118" i="1"/>
  <c r="T118" i="1"/>
  <c r="S118" i="1"/>
  <c r="R118" i="1"/>
  <c r="Q118" i="1"/>
  <c r="P118" i="1"/>
  <c r="N118" i="1"/>
  <c r="M118" i="1"/>
  <c r="L118" i="1"/>
  <c r="K118" i="1"/>
  <c r="V117" i="1"/>
  <c r="T117" i="1"/>
  <c r="S117" i="1"/>
  <c r="R117" i="1"/>
  <c r="Q117" i="1"/>
  <c r="P117" i="1"/>
  <c r="N117" i="1"/>
  <c r="M117" i="1"/>
  <c r="L117" i="1"/>
  <c r="K117" i="1"/>
  <c r="V116" i="1"/>
  <c r="T116" i="1"/>
  <c r="S116" i="1"/>
  <c r="R116" i="1"/>
  <c r="Q116" i="1"/>
  <c r="P116" i="1"/>
  <c r="N116" i="1"/>
  <c r="M116" i="1"/>
  <c r="L116" i="1"/>
  <c r="K116" i="1"/>
  <c r="V115" i="1"/>
  <c r="T115" i="1"/>
  <c r="S115" i="1"/>
  <c r="R115" i="1"/>
  <c r="Q115" i="1"/>
  <c r="P115" i="1"/>
  <c r="N115" i="1"/>
  <c r="M115" i="1"/>
  <c r="L115" i="1"/>
  <c r="K115" i="1"/>
  <c r="V114" i="1"/>
  <c r="T114" i="1"/>
  <c r="S114" i="1"/>
  <c r="R114" i="1"/>
  <c r="Q114" i="1"/>
  <c r="P114" i="1"/>
  <c r="N114" i="1"/>
  <c r="M114" i="1"/>
  <c r="L114" i="1"/>
  <c r="K114" i="1"/>
  <c r="V113" i="1"/>
  <c r="T113" i="1"/>
  <c r="S113" i="1"/>
  <c r="R113" i="1"/>
  <c r="Q113" i="1"/>
  <c r="P113" i="1"/>
  <c r="N113" i="1"/>
  <c r="M113" i="1"/>
  <c r="L113" i="1"/>
  <c r="K113" i="1"/>
  <c r="A113" i="1" a="1"/>
  <c r="A138" i="1" s="1"/>
  <c r="V112" i="1"/>
  <c r="U112" i="1"/>
  <c r="T112" i="1"/>
  <c r="S112" i="1"/>
  <c r="R112" i="1"/>
  <c r="Q112" i="1"/>
  <c r="N112" i="1"/>
  <c r="M112" i="1"/>
  <c r="L112" i="1"/>
  <c r="K112" i="1"/>
  <c r="G112" i="1"/>
  <c r="G212" i="1" s="1"/>
  <c r="G312" i="1" s="1"/>
  <c r="F112" i="1"/>
  <c r="F212" i="1" s="1"/>
  <c r="E112" i="1"/>
  <c r="E212" i="1" s="1"/>
  <c r="E312" i="1" s="1"/>
  <c r="D112" i="1"/>
  <c r="D212" i="1" s="1"/>
  <c r="D312" i="1" s="1"/>
  <c r="C112" i="1"/>
  <c r="C212" i="1" s="1"/>
  <c r="C312" i="1" s="1"/>
  <c r="T111" i="1"/>
  <c r="S111" i="1"/>
  <c r="R111" i="1"/>
  <c r="Q111" i="1"/>
  <c r="N111" i="1"/>
  <c r="M111" i="1"/>
  <c r="L111" i="1"/>
  <c r="K111" i="1"/>
  <c r="C111" i="1"/>
  <c r="C211" i="1" s="1"/>
  <c r="T110" i="1"/>
  <c r="S110" i="1"/>
  <c r="R110" i="1"/>
  <c r="Q110" i="1"/>
  <c r="N110" i="1"/>
  <c r="M110" i="1"/>
  <c r="L110" i="1"/>
  <c r="K110" i="1"/>
  <c r="C110" i="1"/>
  <c r="C210" i="1" s="1"/>
  <c r="C310" i="1" s="1"/>
  <c r="T109" i="1"/>
  <c r="S109" i="1"/>
  <c r="R109" i="1"/>
  <c r="Q109" i="1"/>
  <c r="N109" i="1"/>
  <c r="M109" i="1"/>
  <c r="L109" i="1"/>
  <c r="K109" i="1"/>
  <c r="C109" i="1"/>
  <c r="C209" i="1" s="1"/>
  <c r="C309" i="1" s="1"/>
  <c r="T108" i="1"/>
  <c r="S108" i="1"/>
  <c r="R108" i="1"/>
  <c r="Q108" i="1"/>
  <c r="N108" i="1"/>
  <c r="M108" i="1"/>
  <c r="L108" i="1"/>
  <c r="K108" i="1"/>
  <c r="H108" i="1"/>
  <c r="G108" i="1"/>
  <c r="C108" i="1"/>
  <c r="A108" i="1"/>
  <c r="T107" i="1"/>
  <c r="S107" i="1"/>
  <c r="R107" i="1"/>
  <c r="Q107" i="1"/>
  <c r="N107" i="1"/>
  <c r="M107" i="1"/>
  <c r="L107" i="1"/>
  <c r="K107" i="1"/>
  <c r="T106" i="1"/>
  <c r="S106" i="1"/>
  <c r="R106" i="1"/>
  <c r="Q106" i="1"/>
  <c r="N106" i="1"/>
  <c r="M106" i="1"/>
  <c r="L106" i="1"/>
  <c r="K106" i="1"/>
  <c r="T105" i="1"/>
  <c r="S105" i="1"/>
  <c r="R105" i="1"/>
  <c r="Q105" i="1"/>
  <c r="N105" i="1"/>
  <c r="M105" i="1"/>
  <c r="L105" i="1"/>
  <c r="K105" i="1"/>
  <c r="T104" i="1"/>
  <c r="S104" i="1"/>
  <c r="R104" i="1"/>
  <c r="Q104" i="1"/>
  <c r="N104" i="1"/>
  <c r="M104" i="1"/>
  <c r="L104" i="1"/>
  <c r="K104" i="1"/>
  <c r="T103" i="1"/>
  <c r="S103" i="1"/>
  <c r="R103" i="1"/>
  <c r="Q103" i="1"/>
  <c r="N103" i="1"/>
  <c r="M103" i="1"/>
  <c r="L103" i="1"/>
  <c r="K103" i="1"/>
  <c r="T102" i="1"/>
  <c r="S102" i="1"/>
  <c r="R102" i="1"/>
  <c r="Q102" i="1"/>
  <c r="N102" i="1"/>
  <c r="M102" i="1"/>
  <c r="L102" i="1"/>
  <c r="K102" i="1"/>
  <c r="T101" i="1"/>
  <c r="S101" i="1"/>
  <c r="R101" i="1"/>
  <c r="Q101" i="1"/>
  <c r="N101" i="1"/>
  <c r="M101" i="1"/>
  <c r="L101" i="1"/>
  <c r="K101" i="1"/>
  <c r="T100" i="1"/>
  <c r="S100" i="1"/>
  <c r="R100" i="1"/>
  <c r="Q100" i="1"/>
  <c r="N100" i="1"/>
  <c r="M100" i="1"/>
  <c r="L100" i="1"/>
  <c r="K100" i="1"/>
  <c r="T99" i="1"/>
  <c r="S99" i="1"/>
  <c r="R99" i="1"/>
  <c r="Q99" i="1"/>
  <c r="N99" i="1"/>
  <c r="M99" i="1"/>
  <c r="L99" i="1"/>
  <c r="K99" i="1"/>
  <c r="T98" i="1"/>
  <c r="S98" i="1"/>
  <c r="R98" i="1"/>
  <c r="Q98" i="1"/>
  <c r="N98" i="1"/>
  <c r="M98" i="1"/>
  <c r="L98" i="1"/>
  <c r="K98" i="1"/>
  <c r="T97" i="1"/>
  <c r="S97" i="1"/>
  <c r="R97" i="1"/>
  <c r="Q97" i="1"/>
  <c r="N97" i="1"/>
  <c r="M97" i="1"/>
  <c r="L97" i="1"/>
  <c r="K97" i="1"/>
  <c r="T96" i="1"/>
  <c r="S96" i="1"/>
  <c r="R96" i="1"/>
  <c r="Q96" i="1"/>
  <c r="N96" i="1"/>
  <c r="M96" i="1"/>
  <c r="L96" i="1"/>
  <c r="K96" i="1"/>
  <c r="T95" i="1"/>
  <c r="S95" i="1"/>
  <c r="R95" i="1"/>
  <c r="Q95" i="1"/>
  <c r="N95" i="1"/>
  <c r="M95" i="1"/>
  <c r="L95" i="1"/>
  <c r="K95" i="1"/>
  <c r="T94" i="1"/>
  <c r="S94" i="1"/>
  <c r="R94" i="1"/>
  <c r="Q94" i="1"/>
  <c r="N94" i="1"/>
  <c r="M94" i="1"/>
  <c r="L94" i="1"/>
  <c r="K94" i="1"/>
  <c r="T93" i="1"/>
  <c r="S93" i="1"/>
  <c r="R93" i="1"/>
  <c r="Q93" i="1"/>
  <c r="N93" i="1"/>
  <c r="M93" i="1"/>
  <c r="L93" i="1"/>
  <c r="K93" i="1"/>
  <c r="T92" i="1"/>
  <c r="S92" i="1"/>
  <c r="R92" i="1"/>
  <c r="Q92" i="1"/>
  <c r="N92" i="1"/>
  <c r="M92" i="1"/>
  <c r="L92" i="1"/>
  <c r="K92" i="1"/>
  <c r="T91" i="1"/>
  <c r="S91" i="1"/>
  <c r="R91" i="1"/>
  <c r="Q91" i="1"/>
  <c r="N91" i="1"/>
  <c r="M91" i="1"/>
  <c r="L91" i="1"/>
  <c r="K91" i="1"/>
  <c r="T90" i="1"/>
  <c r="S90" i="1"/>
  <c r="R90" i="1"/>
  <c r="Q90" i="1"/>
  <c r="N90" i="1"/>
  <c r="M90" i="1"/>
  <c r="L90" i="1"/>
  <c r="K90" i="1"/>
  <c r="T89" i="1"/>
  <c r="S89" i="1"/>
  <c r="R89" i="1"/>
  <c r="Q89" i="1"/>
  <c r="N89" i="1"/>
  <c r="M89" i="1"/>
  <c r="L89" i="1"/>
  <c r="K89" i="1"/>
  <c r="T88" i="1"/>
  <c r="S88" i="1"/>
  <c r="R88" i="1"/>
  <c r="Q88" i="1"/>
  <c r="N88" i="1"/>
  <c r="M88" i="1"/>
  <c r="L88" i="1"/>
  <c r="K88" i="1"/>
  <c r="T87" i="1"/>
  <c r="S87" i="1"/>
  <c r="R87" i="1"/>
  <c r="Q87" i="1"/>
  <c r="N87" i="1"/>
  <c r="M87" i="1"/>
  <c r="L87" i="1"/>
  <c r="K87" i="1"/>
  <c r="T86" i="1"/>
  <c r="S86" i="1"/>
  <c r="R86" i="1"/>
  <c r="Q86" i="1"/>
  <c r="N86" i="1"/>
  <c r="M86" i="1"/>
  <c r="L86" i="1"/>
  <c r="K86" i="1"/>
  <c r="T85" i="1"/>
  <c r="S85" i="1"/>
  <c r="R85" i="1"/>
  <c r="Q85" i="1"/>
  <c r="N85" i="1"/>
  <c r="M85" i="1"/>
  <c r="L85" i="1"/>
  <c r="K85" i="1"/>
  <c r="T84" i="1"/>
  <c r="S84" i="1"/>
  <c r="R84" i="1"/>
  <c r="Q84" i="1"/>
  <c r="N84" i="1"/>
  <c r="M84" i="1"/>
  <c r="L84" i="1"/>
  <c r="K84" i="1"/>
  <c r="T83" i="1"/>
  <c r="S83" i="1"/>
  <c r="R83" i="1"/>
  <c r="Q83" i="1"/>
  <c r="N83" i="1"/>
  <c r="M83" i="1"/>
  <c r="L83" i="1"/>
  <c r="K83" i="1"/>
  <c r="T82" i="1"/>
  <c r="S82" i="1"/>
  <c r="R82" i="1"/>
  <c r="Q82" i="1"/>
  <c r="N82" i="1"/>
  <c r="M82" i="1"/>
  <c r="L82" i="1"/>
  <c r="K82" i="1"/>
  <c r="T81" i="1"/>
  <c r="S81" i="1"/>
  <c r="R81" i="1"/>
  <c r="Q81" i="1"/>
  <c r="N81" i="1"/>
  <c r="M81" i="1"/>
  <c r="L81" i="1"/>
  <c r="K81" i="1"/>
  <c r="T80" i="1"/>
  <c r="S80" i="1"/>
  <c r="R80" i="1"/>
  <c r="Q80" i="1"/>
  <c r="N80" i="1"/>
  <c r="M80" i="1"/>
  <c r="L80" i="1"/>
  <c r="K80" i="1"/>
  <c r="T79" i="1"/>
  <c r="S79" i="1"/>
  <c r="R79" i="1"/>
  <c r="Q79" i="1"/>
  <c r="N79" i="1"/>
  <c r="M79" i="1"/>
  <c r="L79" i="1"/>
  <c r="K79" i="1"/>
  <c r="T78" i="1"/>
  <c r="S78" i="1"/>
  <c r="R78" i="1"/>
  <c r="Q78" i="1"/>
  <c r="N78" i="1"/>
  <c r="M78" i="1"/>
  <c r="L78" i="1"/>
  <c r="K78" i="1"/>
  <c r="T77" i="1"/>
  <c r="S77" i="1"/>
  <c r="R77" i="1"/>
  <c r="Q77" i="1"/>
  <c r="N77" i="1"/>
  <c r="M77" i="1"/>
  <c r="L77" i="1"/>
  <c r="K77" i="1"/>
  <c r="T76" i="1"/>
  <c r="S76" i="1"/>
  <c r="R76" i="1"/>
  <c r="Q76" i="1"/>
  <c r="N76" i="1"/>
  <c r="M76" i="1"/>
  <c r="L76" i="1"/>
  <c r="K76" i="1"/>
  <c r="T75" i="1"/>
  <c r="S75" i="1"/>
  <c r="R75" i="1"/>
  <c r="Q75" i="1"/>
  <c r="N75" i="1"/>
  <c r="M75" i="1"/>
  <c r="L75" i="1"/>
  <c r="K75" i="1"/>
  <c r="T74" i="1"/>
  <c r="S74" i="1"/>
  <c r="R74" i="1"/>
  <c r="Q74" i="1"/>
  <c r="N74" i="1"/>
  <c r="M74" i="1"/>
  <c r="L74" i="1"/>
  <c r="K74" i="1"/>
  <c r="T73" i="1"/>
  <c r="S73" i="1"/>
  <c r="R73" i="1"/>
  <c r="Q73" i="1"/>
  <c r="N73" i="1"/>
  <c r="M73" i="1"/>
  <c r="L73" i="1"/>
  <c r="K73" i="1"/>
  <c r="T72" i="1"/>
  <c r="S72" i="1"/>
  <c r="R72" i="1"/>
  <c r="Q72" i="1"/>
  <c r="N72" i="1"/>
  <c r="M72" i="1"/>
  <c r="L72" i="1"/>
  <c r="K72" i="1"/>
  <c r="T71" i="1"/>
  <c r="S71" i="1"/>
  <c r="R71" i="1"/>
  <c r="Q71" i="1"/>
  <c r="N71" i="1"/>
  <c r="M71" i="1"/>
  <c r="L71" i="1"/>
  <c r="K71" i="1"/>
  <c r="T70" i="1"/>
  <c r="S70" i="1"/>
  <c r="R70" i="1"/>
  <c r="Q70" i="1"/>
  <c r="N70" i="1"/>
  <c r="M70" i="1"/>
  <c r="L70" i="1"/>
  <c r="K70" i="1"/>
  <c r="T69" i="1"/>
  <c r="S69" i="1"/>
  <c r="R69" i="1"/>
  <c r="Q69" i="1"/>
  <c r="N69" i="1"/>
  <c r="M69" i="1"/>
  <c r="L69" i="1"/>
  <c r="K69" i="1"/>
  <c r="T68" i="1"/>
  <c r="S68" i="1"/>
  <c r="R68" i="1"/>
  <c r="Q68" i="1"/>
  <c r="N68" i="1"/>
  <c r="M68" i="1"/>
  <c r="L68" i="1"/>
  <c r="K68" i="1"/>
  <c r="T67" i="1"/>
  <c r="S67" i="1"/>
  <c r="R67" i="1"/>
  <c r="Q67" i="1"/>
  <c r="N67" i="1"/>
  <c r="M67" i="1"/>
  <c r="L67" i="1"/>
  <c r="K67" i="1"/>
  <c r="T66" i="1"/>
  <c r="S66" i="1"/>
  <c r="R66" i="1"/>
  <c r="Q66" i="1"/>
  <c r="N66" i="1"/>
  <c r="M66" i="1"/>
  <c r="L66" i="1"/>
  <c r="K66" i="1"/>
  <c r="T65" i="1"/>
  <c r="S65" i="1"/>
  <c r="R65" i="1"/>
  <c r="Q65" i="1"/>
  <c r="N65" i="1"/>
  <c r="M65" i="1"/>
  <c r="L65" i="1"/>
  <c r="K65" i="1"/>
  <c r="T64" i="1"/>
  <c r="S64" i="1"/>
  <c r="R64" i="1"/>
  <c r="Q64" i="1"/>
  <c r="N64" i="1"/>
  <c r="M64" i="1"/>
  <c r="L64" i="1"/>
  <c r="K64" i="1"/>
  <c r="T63" i="1"/>
  <c r="S63" i="1"/>
  <c r="R63" i="1"/>
  <c r="Q63" i="1"/>
  <c r="N63" i="1"/>
  <c r="M63" i="1"/>
  <c r="L63" i="1"/>
  <c r="K63" i="1"/>
  <c r="V62" i="1"/>
  <c r="T62" i="1"/>
  <c r="S62" i="1"/>
  <c r="R62" i="1"/>
  <c r="Q62" i="1"/>
  <c r="P62" i="1"/>
  <c r="N62" i="1"/>
  <c r="M62" i="1"/>
  <c r="L62" i="1"/>
  <c r="K62" i="1"/>
  <c r="V61" i="1"/>
  <c r="T61" i="1"/>
  <c r="S61" i="1"/>
  <c r="R61" i="1"/>
  <c r="Q61" i="1"/>
  <c r="P61" i="1"/>
  <c r="N61" i="1"/>
  <c r="M61" i="1"/>
  <c r="L61" i="1"/>
  <c r="K61" i="1"/>
  <c r="V60" i="1"/>
  <c r="T60" i="1"/>
  <c r="S60" i="1"/>
  <c r="R60" i="1"/>
  <c r="Q60" i="1"/>
  <c r="P60" i="1"/>
  <c r="N60" i="1"/>
  <c r="M60" i="1"/>
  <c r="L60" i="1"/>
  <c r="K60" i="1"/>
  <c r="V59" i="1"/>
  <c r="T59" i="1"/>
  <c r="S59" i="1"/>
  <c r="R59" i="1"/>
  <c r="Q59" i="1"/>
  <c r="P59" i="1"/>
  <c r="N59" i="1"/>
  <c r="M59" i="1"/>
  <c r="L59" i="1"/>
  <c r="K59" i="1"/>
  <c r="V58" i="1"/>
  <c r="T58" i="1"/>
  <c r="S58" i="1"/>
  <c r="R58" i="1"/>
  <c r="Q58" i="1"/>
  <c r="P58" i="1"/>
  <c r="N58" i="1"/>
  <c r="M58" i="1"/>
  <c r="L58" i="1"/>
  <c r="K58" i="1"/>
  <c r="V57" i="1"/>
  <c r="T57" i="1"/>
  <c r="S57" i="1"/>
  <c r="R57" i="1"/>
  <c r="Q57" i="1"/>
  <c r="P57" i="1"/>
  <c r="N57" i="1"/>
  <c r="M57" i="1"/>
  <c r="L57" i="1"/>
  <c r="K57" i="1"/>
  <c r="V56" i="1"/>
  <c r="T56" i="1"/>
  <c r="S56" i="1"/>
  <c r="R56" i="1"/>
  <c r="Q56" i="1"/>
  <c r="P56" i="1"/>
  <c r="N56" i="1"/>
  <c r="M56" i="1"/>
  <c r="L56" i="1"/>
  <c r="K56" i="1"/>
  <c r="V55" i="1"/>
  <c r="T55" i="1"/>
  <c r="S55" i="1"/>
  <c r="R55" i="1"/>
  <c r="Q55" i="1"/>
  <c r="P55" i="1"/>
  <c r="N55" i="1"/>
  <c r="M55" i="1"/>
  <c r="L55" i="1"/>
  <c r="K55" i="1"/>
  <c r="V54" i="1"/>
  <c r="T54" i="1"/>
  <c r="S54" i="1"/>
  <c r="R54" i="1"/>
  <c r="Q54" i="1"/>
  <c r="P54" i="1"/>
  <c r="N54" i="1"/>
  <c r="M54" i="1"/>
  <c r="L54" i="1"/>
  <c r="K54" i="1"/>
  <c r="V53" i="1"/>
  <c r="T53" i="1"/>
  <c r="S53" i="1"/>
  <c r="R53" i="1"/>
  <c r="Q53" i="1"/>
  <c r="P53" i="1"/>
  <c r="N53" i="1"/>
  <c r="M53" i="1"/>
  <c r="L53" i="1"/>
  <c r="K53" i="1"/>
  <c r="V52" i="1"/>
  <c r="T52" i="1"/>
  <c r="S52" i="1"/>
  <c r="R52" i="1"/>
  <c r="Q52" i="1"/>
  <c r="P52" i="1"/>
  <c r="N52" i="1"/>
  <c r="M52" i="1"/>
  <c r="L52" i="1"/>
  <c r="K52" i="1"/>
  <c r="V51" i="1"/>
  <c r="T51" i="1"/>
  <c r="S51" i="1"/>
  <c r="R51" i="1"/>
  <c r="Q51" i="1"/>
  <c r="P51" i="1"/>
  <c r="N51" i="1"/>
  <c r="M51" i="1"/>
  <c r="L51" i="1"/>
  <c r="K51" i="1"/>
  <c r="V50" i="1"/>
  <c r="T50" i="1"/>
  <c r="S50" i="1"/>
  <c r="R50" i="1"/>
  <c r="Q50" i="1"/>
  <c r="P50" i="1"/>
  <c r="N50" i="1"/>
  <c r="M50" i="1"/>
  <c r="L50" i="1"/>
  <c r="K50" i="1"/>
  <c r="V49" i="1"/>
  <c r="T49" i="1"/>
  <c r="S49" i="1"/>
  <c r="R49" i="1"/>
  <c r="Q49" i="1"/>
  <c r="P49" i="1"/>
  <c r="N49" i="1"/>
  <c r="M49" i="1"/>
  <c r="L49" i="1"/>
  <c r="K49" i="1"/>
  <c r="V48" i="1"/>
  <c r="T48" i="1"/>
  <c r="S48" i="1"/>
  <c r="R48" i="1"/>
  <c r="Q48" i="1"/>
  <c r="P48" i="1"/>
  <c r="N48" i="1"/>
  <c r="M48" i="1"/>
  <c r="L48" i="1"/>
  <c r="K48" i="1"/>
  <c r="V47" i="1"/>
  <c r="T47" i="1"/>
  <c r="S47" i="1"/>
  <c r="R47" i="1"/>
  <c r="Q47" i="1"/>
  <c r="P47" i="1"/>
  <c r="N47" i="1"/>
  <c r="M47" i="1"/>
  <c r="L47" i="1"/>
  <c r="K47" i="1"/>
  <c r="V46" i="1"/>
  <c r="T46" i="1"/>
  <c r="S46" i="1"/>
  <c r="R46" i="1"/>
  <c r="Q46" i="1"/>
  <c r="P46" i="1"/>
  <c r="N46" i="1"/>
  <c r="M46" i="1"/>
  <c r="L46" i="1"/>
  <c r="K46" i="1"/>
  <c r="V45" i="1"/>
  <c r="T45" i="1"/>
  <c r="S45" i="1"/>
  <c r="R45" i="1"/>
  <c r="Q45" i="1"/>
  <c r="P45" i="1"/>
  <c r="N45" i="1"/>
  <c r="M45" i="1"/>
  <c r="L45" i="1"/>
  <c r="K45" i="1"/>
  <c r="V44" i="1"/>
  <c r="T44" i="1"/>
  <c r="S44" i="1"/>
  <c r="R44" i="1"/>
  <c r="Q44" i="1"/>
  <c r="P44" i="1"/>
  <c r="N44" i="1"/>
  <c r="M44" i="1"/>
  <c r="L44" i="1"/>
  <c r="K44" i="1"/>
  <c r="V43" i="1"/>
  <c r="T43" i="1"/>
  <c r="S43" i="1"/>
  <c r="R43" i="1"/>
  <c r="Q43" i="1"/>
  <c r="P43" i="1"/>
  <c r="N43" i="1"/>
  <c r="M43" i="1"/>
  <c r="L43" i="1"/>
  <c r="K43" i="1"/>
  <c r="V42" i="1"/>
  <c r="T42" i="1"/>
  <c r="S42" i="1"/>
  <c r="R42" i="1"/>
  <c r="Q42" i="1"/>
  <c r="P42" i="1"/>
  <c r="N42" i="1"/>
  <c r="M42" i="1"/>
  <c r="L42" i="1"/>
  <c r="K42" i="1"/>
  <c r="V41" i="1"/>
  <c r="T41" i="1"/>
  <c r="S41" i="1"/>
  <c r="R41" i="1"/>
  <c r="Q41" i="1"/>
  <c r="P41" i="1"/>
  <c r="N41" i="1"/>
  <c r="M41" i="1"/>
  <c r="L41" i="1"/>
  <c r="K41" i="1"/>
  <c r="V40" i="1"/>
  <c r="T40" i="1"/>
  <c r="S40" i="1"/>
  <c r="R40" i="1"/>
  <c r="Q40" i="1"/>
  <c r="P40" i="1"/>
  <c r="N40" i="1"/>
  <c r="M40" i="1"/>
  <c r="L40" i="1"/>
  <c r="K40" i="1"/>
  <c r="V39" i="1"/>
  <c r="T39" i="1"/>
  <c r="S39" i="1"/>
  <c r="R39" i="1"/>
  <c r="Q39" i="1"/>
  <c r="P39" i="1"/>
  <c r="N39" i="1"/>
  <c r="M39" i="1"/>
  <c r="L39" i="1"/>
  <c r="K39" i="1"/>
  <c r="V38" i="1"/>
  <c r="T38" i="1"/>
  <c r="S38" i="1"/>
  <c r="R38" i="1"/>
  <c r="Q38" i="1"/>
  <c r="P38" i="1"/>
  <c r="N38" i="1"/>
  <c r="M38" i="1"/>
  <c r="L38" i="1"/>
  <c r="K38" i="1"/>
  <c r="V37" i="1"/>
  <c r="T37" i="1"/>
  <c r="S37" i="1"/>
  <c r="R37" i="1"/>
  <c r="Q37" i="1"/>
  <c r="P37" i="1"/>
  <c r="N37" i="1"/>
  <c r="M37" i="1"/>
  <c r="L37" i="1"/>
  <c r="K37" i="1"/>
  <c r="V36" i="1"/>
  <c r="T36" i="1"/>
  <c r="S36" i="1"/>
  <c r="R36" i="1"/>
  <c r="Q36" i="1"/>
  <c r="P36" i="1"/>
  <c r="N36" i="1"/>
  <c r="M36" i="1"/>
  <c r="L36" i="1"/>
  <c r="K36" i="1"/>
  <c r="V35" i="1"/>
  <c r="T35" i="1"/>
  <c r="S35" i="1"/>
  <c r="R35" i="1"/>
  <c r="Q35" i="1"/>
  <c r="P35" i="1"/>
  <c r="N35" i="1"/>
  <c r="M35" i="1"/>
  <c r="L35" i="1"/>
  <c r="K35" i="1"/>
  <c r="V34" i="1"/>
  <c r="T34" i="1"/>
  <c r="S34" i="1"/>
  <c r="R34" i="1"/>
  <c r="Q34" i="1"/>
  <c r="P34" i="1"/>
  <c r="N34" i="1"/>
  <c r="M34" i="1"/>
  <c r="L34" i="1"/>
  <c r="K34" i="1"/>
  <c r="V33" i="1"/>
  <c r="T33" i="1"/>
  <c r="S33" i="1"/>
  <c r="R33" i="1"/>
  <c r="Q33" i="1"/>
  <c r="P33" i="1"/>
  <c r="N33" i="1"/>
  <c r="M33" i="1"/>
  <c r="L33" i="1"/>
  <c r="K33" i="1"/>
  <c r="V32" i="1"/>
  <c r="T32" i="1"/>
  <c r="S32" i="1"/>
  <c r="R32" i="1"/>
  <c r="Q32" i="1"/>
  <c r="P32" i="1"/>
  <c r="N32" i="1"/>
  <c r="M32" i="1"/>
  <c r="L32" i="1"/>
  <c r="K32" i="1"/>
  <c r="V31" i="1"/>
  <c r="T31" i="1"/>
  <c r="S31" i="1"/>
  <c r="R31" i="1"/>
  <c r="Q31" i="1"/>
  <c r="P31" i="1"/>
  <c r="N31" i="1"/>
  <c r="M31" i="1"/>
  <c r="L31" i="1"/>
  <c r="K31" i="1"/>
  <c r="V30" i="1"/>
  <c r="T30" i="1"/>
  <c r="S30" i="1"/>
  <c r="R30" i="1"/>
  <c r="Q30" i="1"/>
  <c r="P30" i="1"/>
  <c r="N30" i="1"/>
  <c r="M30" i="1"/>
  <c r="L30" i="1"/>
  <c r="K30" i="1"/>
  <c r="V29" i="1"/>
  <c r="T29" i="1"/>
  <c r="S29" i="1"/>
  <c r="R29" i="1"/>
  <c r="Q29" i="1"/>
  <c r="P29" i="1"/>
  <c r="N29" i="1"/>
  <c r="M29" i="1"/>
  <c r="L29" i="1"/>
  <c r="K29" i="1"/>
  <c r="V28" i="1"/>
  <c r="T28" i="1"/>
  <c r="S28" i="1"/>
  <c r="R28" i="1"/>
  <c r="Q28" i="1"/>
  <c r="P28" i="1"/>
  <c r="N28" i="1"/>
  <c r="M28" i="1"/>
  <c r="L28" i="1"/>
  <c r="K28" i="1"/>
  <c r="V27" i="1"/>
  <c r="T27" i="1"/>
  <c r="S27" i="1"/>
  <c r="R27" i="1"/>
  <c r="Q27" i="1"/>
  <c r="P27" i="1"/>
  <c r="N27" i="1"/>
  <c r="M27" i="1"/>
  <c r="L27" i="1"/>
  <c r="K27" i="1"/>
  <c r="V26" i="1"/>
  <c r="T26" i="1"/>
  <c r="S26" i="1"/>
  <c r="R26" i="1"/>
  <c r="Q26" i="1"/>
  <c r="P26" i="1"/>
  <c r="N26" i="1"/>
  <c r="M26" i="1"/>
  <c r="L26" i="1"/>
  <c r="K26" i="1"/>
  <c r="V25" i="1"/>
  <c r="T25" i="1"/>
  <c r="S25" i="1"/>
  <c r="R25" i="1"/>
  <c r="Q25" i="1"/>
  <c r="P25" i="1"/>
  <c r="N25" i="1"/>
  <c r="M25" i="1"/>
  <c r="L25" i="1"/>
  <c r="K25" i="1"/>
  <c r="V24" i="1"/>
  <c r="T24" i="1"/>
  <c r="S24" i="1"/>
  <c r="R24" i="1"/>
  <c r="Q24" i="1"/>
  <c r="P24" i="1"/>
  <c r="N24" i="1"/>
  <c r="M24" i="1"/>
  <c r="L24" i="1"/>
  <c r="K24" i="1"/>
  <c r="V23" i="1"/>
  <c r="T23" i="1"/>
  <c r="S23" i="1"/>
  <c r="R23" i="1"/>
  <c r="Q23" i="1"/>
  <c r="P23" i="1"/>
  <c r="N23" i="1"/>
  <c r="M23" i="1"/>
  <c r="L23" i="1"/>
  <c r="K23" i="1"/>
  <c r="V22" i="1"/>
  <c r="T22" i="1"/>
  <c r="S22" i="1"/>
  <c r="R22" i="1"/>
  <c r="Q22" i="1"/>
  <c r="P22" i="1"/>
  <c r="N22" i="1"/>
  <c r="M22" i="1"/>
  <c r="L22" i="1"/>
  <c r="K22" i="1"/>
  <c r="V21" i="1"/>
  <c r="T21" i="1"/>
  <c r="S21" i="1"/>
  <c r="R21" i="1"/>
  <c r="Q21" i="1"/>
  <c r="P21" i="1"/>
  <c r="N21" i="1"/>
  <c r="M21" i="1"/>
  <c r="L21" i="1"/>
  <c r="K21" i="1"/>
  <c r="V20" i="1"/>
  <c r="T20" i="1"/>
  <c r="S20" i="1"/>
  <c r="R20" i="1"/>
  <c r="Q20" i="1"/>
  <c r="P20" i="1"/>
  <c r="N20" i="1"/>
  <c r="M20" i="1"/>
  <c r="L20" i="1"/>
  <c r="K20" i="1"/>
  <c r="V19" i="1"/>
  <c r="T19" i="1"/>
  <c r="S19" i="1"/>
  <c r="R19" i="1"/>
  <c r="Q19" i="1"/>
  <c r="P19" i="1"/>
  <c r="N19" i="1"/>
  <c r="M19" i="1"/>
  <c r="L19" i="1"/>
  <c r="K19" i="1"/>
  <c r="V18" i="1"/>
  <c r="T18" i="1"/>
  <c r="S18" i="1"/>
  <c r="R18" i="1"/>
  <c r="Q18" i="1"/>
  <c r="P18" i="1"/>
  <c r="N18" i="1"/>
  <c r="M18" i="1"/>
  <c r="L18" i="1"/>
  <c r="K18" i="1"/>
  <c r="V17" i="1"/>
  <c r="T17" i="1"/>
  <c r="S17" i="1"/>
  <c r="R17" i="1"/>
  <c r="Q17" i="1"/>
  <c r="P17" i="1"/>
  <c r="N17" i="1"/>
  <c r="M17" i="1"/>
  <c r="L17" i="1"/>
  <c r="K17" i="1"/>
  <c r="V16" i="1"/>
  <c r="T16" i="1"/>
  <c r="S16" i="1"/>
  <c r="R16" i="1"/>
  <c r="Q16" i="1"/>
  <c r="P16" i="1"/>
  <c r="N16" i="1"/>
  <c r="M16" i="1"/>
  <c r="L16" i="1"/>
  <c r="K16" i="1"/>
  <c r="V15" i="1"/>
  <c r="T15" i="1"/>
  <c r="S15" i="1"/>
  <c r="R15" i="1"/>
  <c r="Q15" i="1"/>
  <c r="P15" i="1"/>
  <c r="N15" i="1"/>
  <c r="M15" i="1"/>
  <c r="L15" i="1"/>
  <c r="K15" i="1"/>
  <c r="V14" i="1"/>
  <c r="T14" i="1"/>
  <c r="S14" i="1"/>
  <c r="R14" i="1"/>
  <c r="Q14" i="1"/>
  <c r="P14" i="1"/>
  <c r="N14" i="1"/>
  <c r="M14" i="1"/>
  <c r="L14" i="1"/>
  <c r="K14" i="1"/>
  <c r="V13" i="1"/>
  <c r="T13" i="1"/>
  <c r="S13" i="1"/>
  <c r="R13" i="1"/>
  <c r="Q13" i="1"/>
  <c r="P13" i="1"/>
  <c r="N13" i="1"/>
  <c r="M13" i="1"/>
  <c r="L13" i="1"/>
  <c r="K13" i="1"/>
  <c r="A13" i="1" a="1"/>
  <c r="A51" i="1" s="1"/>
  <c r="T12" i="1"/>
  <c r="S12" i="1"/>
  <c r="R12" i="1"/>
  <c r="Q12" i="1"/>
  <c r="N12" i="1"/>
  <c r="M12" i="1"/>
  <c r="L12" i="1"/>
  <c r="K12" i="1"/>
  <c r="T11" i="1"/>
  <c r="S11" i="1"/>
  <c r="R11" i="1"/>
  <c r="Q11" i="1"/>
  <c r="N11" i="1"/>
  <c r="M11" i="1"/>
  <c r="L11" i="1"/>
  <c r="K11" i="1"/>
  <c r="H8" i="1"/>
  <c r="C8" i="1"/>
  <c r="A8" i="1"/>
  <c r="D1" i="1"/>
  <c r="A1" i="1"/>
  <c r="H4" i="1"/>
  <c r="D5" i="1"/>
  <c r="I6" i="1"/>
  <c r="G4" i="1"/>
  <c r="H6" i="1"/>
  <c r="E4" i="1"/>
  <c r="D4" i="1"/>
  <c r="H3" i="1"/>
  <c r="G6" i="1"/>
  <c r="E6" i="1"/>
  <c r="I3" i="1"/>
  <c r="D6" i="1"/>
  <c r="I5" i="1"/>
  <c r="G3" i="1"/>
  <c r="H5" i="1"/>
  <c r="E3" i="1"/>
  <c r="G5" i="1"/>
  <c r="D3" i="1"/>
  <c r="E5" i="1"/>
  <c r="I4" i="1"/>
  <c r="A336" i="1" l="1"/>
  <c r="A46" i="1"/>
  <c r="A220" i="1"/>
  <c r="A59" i="1"/>
  <c r="A244" i="1"/>
  <c r="U213" i="1" a="1"/>
  <c r="U228" i="1" s="1"/>
  <c r="A20" i="1"/>
  <c r="A32" i="1"/>
  <c r="A317" i="1"/>
  <c r="A33" i="1"/>
  <c r="A322" i="1"/>
  <c r="A29" i="1"/>
  <c r="A261" i="1"/>
  <c r="A360" i="1"/>
  <c r="A37" i="1"/>
  <c r="A121" i="1"/>
  <c r="A324" i="1"/>
  <c r="A42" i="1"/>
  <c r="A128" i="1"/>
  <c r="A329" i="1"/>
  <c r="A116" i="1"/>
  <c r="A45" i="1"/>
  <c r="A133" i="1"/>
  <c r="A334" i="1"/>
  <c r="U13" i="1" a="1"/>
  <c r="U25" i="1" s="1"/>
  <c r="A137" i="1"/>
  <c r="A50" i="1"/>
  <c r="A145" i="1"/>
  <c r="A225" i="1"/>
  <c r="A341" i="1"/>
  <c r="A16" i="1"/>
  <c r="A56" i="1"/>
  <c r="A150" i="1"/>
  <c r="A233" i="1"/>
  <c r="A346" i="1"/>
  <c r="A18" i="1"/>
  <c r="A58" i="1"/>
  <c r="A157" i="1"/>
  <c r="A242" i="1"/>
  <c r="A348" i="1"/>
  <c r="A162" i="1"/>
  <c r="A353" i="1"/>
  <c r="A24" i="1"/>
  <c r="A256" i="1"/>
  <c r="A313" i="1"/>
  <c r="A358" i="1"/>
  <c r="D7" i="1"/>
  <c r="I2" i="1"/>
  <c r="H2" i="1"/>
  <c r="A17" i="1"/>
  <c r="A30" i="1"/>
  <c r="A44" i="1"/>
  <c r="A57" i="1"/>
  <c r="A129" i="1"/>
  <c r="A161" i="1"/>
  <c r="A237" i="1"/>
  <c r="A21" i="1"/>
  <c r="A34" i="1"/>
  <c r="A47" i="1"/>
  <c r="A60" i="1"/>
  <c r="A22" i="1"/>
  <c r="A35" i="1"/>
  <c r="A48" i="1"/>
  <c r="A61" i="1"/>
  <c r="A160" i="1"/>
  <c r="A148" i="1"/>
  <c r="A136" i="1"/>
  <c r="A124" i="1"/>
  <c r="A113" i="1"/>
  <c r="A159" i="1"/>
  <c r="A147" i="1"/>
  <c r="A135" i="1"/>
  <c r="A123" i="1"/>
  <c r="A158" i="1"/>
  <c r="A146" i="1"/>
  <c r="A134" i="1"/>
  <c r="A122" i="1"/>
  <c r="A156" i="1"/>
  <c r="A144" i="1"/>
  <c r="A132" i="1"/>
  <c r="A120" i="1"/>
  <c r="A155" i="1"/>
  <c r="A143" i="1"/>
  <c r="A131" i="1"/>
  <c r="A119" i="1"/>
  <c r="A154" i="1"/>
  <c r="A142" i="1"/>
  <c r="A130" i="1"/>
  <c r="A118" i="1"/>
  <c r="A151" i="1"/>
  <c r="A139" i="1"/>
  <c r="A127" i="1"/>
  <c r="A115" i="1"/>
  <c r="A140" i="1"/>
  <c r="A253" i="1"/>
  <c r="A241" i="1"/>
  <c r="A229" i="1"/>
  <c r="A217" i="1"/>
  <c r="A252" i="1"/>
  <c r="A240" i="1"/>
  <c r="A228" i="1"/>
  <c r="A216" i="1"/>
  <c r="A251" i="1"/>
  <c r="A239" i="1"/>
  <c r="A227" i="1"/>
  <c r="A215" i="1"/>
  <c r="A262" i="1"/>
  <c r="A250" i="1"/>
  <c r="A238" i="1"/>
  <c r="A226" i="1"/>
  <c r="A214" i="1"/>
  <c r="A260" i="1"/>
  <c r="A248" i="1"/>
  <c r="A236" i="1"/>
  <c r="A224" i="1"/>
  <c r="A213" i="1"/>
  <c r="A259" i="1"/>
  <c r="A247" i="1"/>
  <c r="A235" i="1"/>
  <c r="A223" i="1"/>
  <c r="A258" i="1"/>
  <c r="A246" i="1"/>
  <c r="A234" i="1"/>
  <c r="A222" i="1"/>
  <c r="A255" i="1"/>
  <c r="A243" i="1"/>
  <c r="A231" i="1"/>
  <c r="A219" i="1"/>
  <c r="A249" i="1"/>
  <c r="A23" i="1"/>
  <c r="A36" i="1"/>
  <c r="A49" i="1"/>
  <c r="A62" i="1"/>
  <c r="A114" i="1"/>
  <c r="A141" i="1"/>
  <c r="A218" i="1"/>
  <c r="A254" i="1"/>
  <c r="A13" i="1"/>
  <c r="A25" i="1"/>
  <c r="A38" i="1"/>
  <c r="A117" i="1"/>
  <c r="A149" i="1"/>
  <c r="A221" i="1"/>
  <c r="A257" i="1"/>
  <c r="U313" i="1" a="1"/>
  <c r="A55" i="1"/>
  <c r="A43" i="1"/>
  <c r="A31" i="1"/>
  <c r="A19" i="1"/>
  <c r="A39" i="1"/>
  <c r="U113" i="1" a="1"/>
  <c r="A230" i="1"/>
  <c r="A26" i="1"/>
  <c r="A52" i="1"/>
  <c r="A14" i="1"/>
  <c r="A27" i="1"/>
  <c r="A40" i="1"/>
  <c r="A53" i="1"/>
  <c r="A125" i="1"/>
  <c r="A152" i="1"/>
  <c r="A15" i="1"/>
  <c r="A28" i="1"/>
  <c r="A41" i="1"/>
  <c r="A54" i="1"/>
  <c r="A126" i="1"/>
  <c r="A153" i="1"/>
  <c r="A232" i="1"/>
  <c r="A323" i="1"/>
  <c r="A335" i="1"/>
  <c r="A347" i="1"/>
  <c r="A359" i="1"/>
  <c r="A325" i="1"/>
  <c r="A337" i="1"/>
  <c r="A349" i="1"/>
  <c r="A361" i="1"/>
  <c r="A314" i="1"/>
  <c r="A326" i="1"/>
  <c r="A338" i="1"/>
  <c r="A350" i="1"/>
  <c r="A362" i="1"/>
  <c r="A315" i="1"/>
  <c r="A327" i="1"/>
  <c r="A339" i="1"/>
  <c r="A351" i="1"/>
  <c r="A316" i="1"/>
  <c r="A328" i="1"/>
  <c r="A340" i="1"/>
  <c r="A352" i="1"/>
  <c r="A318" i="1"/>
  <c r="A330" i="1"/>
  <c r="A342" i="1"/>
  <c r="A354" i="1"/>
  <c r="A319" i="1"/>
  <c r="A331" i="1"/>
  <c r="A343" i="1"/>
  <c r="A355" i="1"/>
  <c r="A320" i="1"/>
  <c r="A332" i="1"/>
  <c r="A344" i="1"/>
  <c r="A356" i="1"/>
  <c r="A321" i="1"/>
  <c r="A333" i="1"/>
  <c r="A345" i="1"/>
  <c r="U218" i="1" l="1"/>
  <c r="U222" i="1"/>
  <c r="U260" i="1"/>
  <c r="U240" i="1"/>
  <c r="U237" i="1"/>
  <c r="U234" i="1"/>
  <c r="U214" i="1"/>
  <c r="U242" i="1"/>
  <c r="U246" i="1"/>
  <c r="U226" i="1"/>
  <c r="U217" i="1"/>
  <c r="U244" i="1"/>
  <c r="U223" i="1"/>
  <c r="U250" i="1"/>
  <c r="U241" i="1"/>
  <c r="U253" i="1"/>
  <c r="U230" i="1"/>
  <c r="U225" i="1"/>
  <c r="U247" i="1"/>
  <c r="U245" i="1"/>
  <c r="U227" i="1"/>
  <c r="U256" i="1"/>
  <c r="U213" i="1"/>
  <c r="U220" i="1"/>
  <c r="U231" i="1"/>
  <c r="U224" i="1"/>
  <c r="U251" i="1"/>
  <c r="U259" i="1"/>
  <c r="U219" i="1"/>
  <c r="U239" i="1"/>
  <c r="U257" i="1"/>
  <c r="U249" i="1"/>
  <c r="U243" i="1"/>
  <c r="U236" i="1"/>
  <c r="U216" i="1"/>
  <c r="U252" i="1"/>
  <c r="U258" i="1"/>
  <c r="U238" i="1"/>
  <c r="U229" i="1"/>
  <c r="U233" i="1"/>
  <c r="U261" i="1"/>
  <c r="U235" i="1"/>
  <c r="U262" i="1"/>
  <c r="U215" i="1"/>
  <c r="U232" i="1"/>
  <c r="U221" i="1"/>
  <c r="U254" i="1"/>
  <c r="U255" i="1"/>
  <c r="U248" i="1"/>
  <c r="U57" i="1"/>
  <c r="U60" i="1"/>
  <c r="U35" i="1"/>
  <c r="U39" i="1"/>
  <c r="U58" i="1"/>
  <c r="U42" i="1"/>
  <c r="U49" i="1"/>
  <c r="U53" i="1"/>
  <c r="U51" i="1"/>
  <c r="U30" i="1"/>
  <c r="U19" i="1"/>
  <c r="U38" i="1"/>
  <c r="U16" i="1"/>
  <c r="U18" i="1"/>
  <c r="U31" i="1"/>
  <c r="U52" i="1"/>
  <c r="U29" i="1"/>
  <c r="U33" i="1"/>
  <c r="U43" i="1"/>
  <c r="U23" i="1"/>
  <c r="U59" i="1"/>
  <c r="U61" i="1"/>
  <c r="U32" i="1"/>
  <c r="U22" i="1"/>
  <c r="U26" i="1"/>
  <c r="U15" i="1"/>
  <c r="U20" i="1"/>
  <c r="U44" i="1"/>
  <c r="U36" i="1"/>
  <c r="U40" i="1"/>
  <c r="U37" i="1"/>
  <c r="U34" i="1"/>
  <c r="U56" i="1"/>
  <c r="U54" i="1"/>
  <c r="U45" i="1"/>
  <c r="U47" i="1"/>
  <c r="U55" i="1"/>
  <c r="U50" i="1"/>
  <c r="U14" i="1"/>
  <c r="U28" i="1"/>
  <c r="U48" i="1"/>
  <c r="U24" i="1"/>
  <c r="U27" i="1"/>
  <c r="U17" i="1"/>
  <c r="U62" i="1"/>
  <c r="U13" i="1"/>
  <c r="U41" i="1"/>
  <c r="U46" i="1"/>
  <c r="U21" i="1"/>
  <c r="U161" i="1"/>
  <c r="U149" i="1"/>
  <c r="U137" i="1"/>
  <c r="U125" i="1"/>
  <c r="U160" i="1"/>
  <c r="U148" i="1"/>
  <c r="U136" i="1"/>
  <c r="U124" i="1"/>
  <c r="U113" i="1"/>
  <c r="U159" i="1"/>
  <c r="U147" i="1"/>
  <c r="U135" i="1"/>
  <c r="U123" i="1"/>
  <c r="U158" i="1"/>
  <c r="U146" i="1"/>
  <c r="U134" i="1"/>
  <c r="U122" i="1"/>
  <c r="U156" i="1"/>
  <c r="U144" i="1"/>
  <c r="U132" i="1"/>
  <c r="U120" i="1"/>
  <c r="U155" i="1"/>
  <c r="U143" i="1"/>
  <c r="U131" i="1"/>
  <c r="U119" i="1"/>
  <c r="U154" i="1"/>
  <c r="U142" i="1"/>
  <c r="U130" i="1"/>
  <c r="U118" i="1"/>
  <c r="U151" i="1"/>
  <c r="U139" i="1"/>
  <c r="U127" i="1"/>
  <c r="U115" i="1"/>
  <c r="U150" i="1"/>
  <c r="U114" i="1"/>
  <c r="U145" i="1"/>
  <c r="U133" i="1"/>
  <c r="U117" i="1"/>
  <c r="U141" i="1"/>
  <c r="U140" i="1"/>
  <c r="U138" i="1"/>
  <c r="U129" i="1"/>
  <c r="U128" i="1"/>
  <c r="U157" i="1"/>
  <c r="U162" i="1"/>
  <c r="U126" i="1"/>
  <c r="U121" i="1"/>
  <c r="U153" i="1"/>
  <c r="U152" i="1"/>
  <c r="U116" i="1"/>
  <c r="U357" i="1"/>
  <c r="U345" i="1"/>
  <c r="U333" i="1"/>
  <c r="U321" i="1"/>
  <c r="U356" i="1"/>
  <c r="U344" i="1"/>
  <c r="U332" i="1"/>
  <c r="U320" i="1"/>
  <c r="U355" i="1"/>
  <c r="U343" i="1"/>
  <c r="U331" i="1"/>
  <c r="U319" i="1"/>
  <c r="U354" i="1"/>
  <c r="U342" i="1"/>
  <c r="U330" i="1"/>
  <c r="U318" i="1"/>
  <c r="U352" i="1"/>
  <c r="U340" i="1"/>
  <c r="U328" i="1"/>
  <c r="U316" i="1"/>
  <c r="U351" i="1"/>
  <c r="U339" i="1"/>
  <c r="U327" i="1"/>
  <c r="U315" i="1"/>
  <c r="U362" i="1"/>
  <c r="U350" i="1"/>
  <c r="U338" i="1"/>
  <c r="U326" i="1"/>
  <c r="U314" i="1"/>
  <c r="U361" i="1"/>
  <c r="U349" i="1"/>
  <c r="U337" i="1"/>
  <c r="U325" i="1"/>
  <c r="U359" i="1"/>
  <c r="U347" i="1"/>
  <c r="U335" i="1"/>
  <c r="U323" i="1"/>
  <c r="U317" i="1"/>
  <c r="U360" i="1"/>
  <c r="U313" i="1"/>
  <c r="U358" i="1"/>
  <c r="U353" i="1"/>
  <c r="U348" i="1"/>
  <c r="U346" i="1"/>
  <c r="U341" i="1"/>
  <c r="U324" i="1"/>
  <c r="U336" i="1"/>
  <c r="U334" i="1"/>
  <c r="U329" i="1"/>
  <c r="U3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7" authorId="0" shapeId="0" xr:uid="{00000000-0006-0000-0000-000001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O7" authorId="0" shapeId="0" xr:uid="{00000000-0006-0000-0000-000002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T7" authorId="0" shapeId="0" xr:uid="{00000000-0006-0000-0000-000003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U7" authorId="0" shapeId="0" xr:uid="{00000000-0006-0000-0000-000004000000}">
      <text>
        <r>
          <rPr>
            <sz val="10"/>
            <color rgb="FF000000"/>
            <rFont val="Arial"/>
          </rPr>
          <t>Not used in WM Synchro Eligibility
Used in Divisionals Eligibility</t>
        </r>
      </text>
    </comment>
    <comment ref="H12" authorId="0" shapeId="0" xr:uid="{00000000-0006-0000-0000-000005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I12" authorId="0" shapeId="0" xr:uid="{00000000-0006-0000-0000-000006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H112" authorId="0" shapeId="0" xr:uid="{00000000-0006-0000-0000-000007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I112" authorId="0" shapeId="0" xr:uid="{00000000-0006-0000-0000-000008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H212" authorId="0" shapeId="0" xr:uid="{00000000-0006-0000-0000-000009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I212" authorId="0" shapeId="0" xr:uid="{00000000-0006-0000-0000-00000A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H312" authorId="0" shapeId="0" xr:uid="{00000000-0006-0000-0000-00000B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  <comment ref="I312" authorId="0" shapeId="0" xr:uid="{00000000-0006-0000-0000-00000C000000}">
      <text>
        <r>
          <rPr>
            <sz val="10"/>
            <color rgb="FF000000"/>
            <rFont val="Arial"/>
          </rPr>
          <t>Info/Error Definitions:
- Dive Up: Diver is diving up one level, which is allowed 
- Diver-NF: Diver not found in NVSL Roster at all
- Team: Diver found on other team, but not on entered team
- Gender: Diver's Gender is incorrect for selected event
- Duplicate: Diver appears twice in entered roster for meet</t>
        </r>
      </text>
    </comment>
  </commentList>
</comments>
</file>

<file path=xl/sharedStrings.xml><?xml version="1.0" encoding="utf-8"?>
<sst xmlns="http://schemas.openxmlformats.org/spreadsheetml/2006/main" count="1876" uniqueCount="296">
  <si>
    <t>Age Group</t>
  </si>
  <si>
    <t>Cnt</t>
  </si>
  <si>
    <t>Status</t>
  </si>
  <si>
    <t>Cmnts</t>
  </si>
  <si>
    <t>1</t>
  </si>
  <si>
    <t>12 &amp; Under Girls</t>
  </si>
  <si>
    <t>2</t>
  </si>
  <si>
    <t>12 &amp; Under Boys</t>
  </si>
  <si>
    <t>3</t>
  </si>
  <si>
    <t>13 &amp; Over Girls</t>
  </si>
  <si>
    <t>Diver Lookups</t>
  </si>
  <si>
    <t>4</t>
  </si>
  <si>
    <t>13 &amp; Over Boys</t>
  </si>
  <si>
    <t>Diver 1 Info</t>
  </si>
  <si>
    <t>Diver 2 Info</t>
  </si>
  <si>
    <t>8</t>
  </si>
  <si>
    <t>Total</t>
  </si>
  <si>
    <t>D1Name</t>
  </si>
  <si>
    <t>D1Club</t>
  </si>
  <si>
    <t>D1Gend</t>
  </si>
  <si>
    <t>D1Max</t>
  </si>
  <si>
    <t>D1Limit</t>
  </si>
  <si>
    <t>D1Err</t>
  </si>
  <si>
    <t>D2Name</t>
  </si>
  <si>
    <t>D2Club</t>
  </si>
  <si>
    <t>D2Gend</t>
  </si>
  <si>
    <t>D2Max</t>
  </si>
  <si>
    <t>D2Limit</t>
  </si>
  <si>
    <t>D2Err</t>
  </si>
  <si>
    <t>Event Date:</t>
  </si>
  <si>
    <t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t>
  </si>
  <si>
    <t>* Enter Judge, Rep and any comments below Diver Details, and change "Report Status" when done
* Click "MeetResults" tab at bottom to review team scores and diver placement</t>
  </si>
  <si>
    <t>Age and Gender</t>
  </si>
  <si>
    <t>Diver 1 Name</t>
  </si>
  <si>
    <t>Diver 1 Club</t>
  </si>
  <si>
    <t>Diver 2 Name</t>
  </si>
  <si>
    <t>Diver 2 Club</t>
  </si>
  <si>
    <t>Score</t>
  </si>
  <si>
    <t/>
  </si>
  <si>
    <t>Ingrid Lander</t>
  </si>
  <si>
    <t>G</t>
  </si>
  <si>
    <t>Lacey Niedzialek</t>
  </si>
  <si>
    <t>Quinn Zahler</t>
  </si>
  <si>
    <t>RH</t>
  </si>
  <si>
    <t>Xanthy Kuehne</t>
  </si>
  <si>
    <t>Lilly Jessup</t>
  </si>
  <si>
    <t>Katelyn Thackaberry</t>
  </si>
  <si>
    <t>Artemisia Hashemi</t>
  </si>
  <si>
    <t>HSC</t>
  </si>
  <si>
    <t>Grace Wegner</t>
  </si>
  <si>
    <t>Victoria Williams</t>
  </si>
  <si>
    <t>FS</t>
  </si>
  <si>
    <t>Elizabeth Pidgeon</t>
  </si>
  <si>
    <t>Finley McDonnell</t>
  </si>
  <si>
    <t>DR</t>
  </si>
  <si>
    <t>Harper Bassler</t>
  </si>
  <si>
    <t>T</t>
  </si>
  <si>
    <t>Evelyn Sanders</t>
  </si>
  <si>
    <t>GF</t>
  </si>
  <si>
    <t>Bennett Barletta</t>
  </si>
  <si>
    <t>Hadley Miller</t>
  </si>
  <si>
    <t>PAR</t>
  </si>
  <si>
    <t>Elena Scott</t>
  </si>
  <si>
    <t>Josephine Wills</t>
  </si>
  <si>
    <t>Ally Argenta</t>
  </si>
  <si>
    <t>Emma Fricke</t>
  </si>
  <si>
    <t>Leighton Raich</t>
  </si>
  <si>
    <t>Ellie Phillips</t>
  </si>
  <si>
    <t>CSC</t>
  </si>
  <si>
    <t>Emma Magness</t>
  </si>
  <si>
    <t>Victoria Beier</t>
  </si>
  <si>
    <t>AF</t>
  </si>
  <si>
    <t>Vi Robert</t>
  </si>
  <si>
    <t>CeCe St. Jacques</t>
  </si>
  <si>
    <t>OAK</t>
  </si>
  <si>
    <t>Alice Henderson</t>
  </si>
  <si>
    <t>Sophia Blanco</t>
  </si>
  <si>
    <t>Chloe Sanglier</t>
  </si>
  <si>
    <t>Simone Wilson</t>
  </si>
  <si>
    <t>Lauren Emerick</t>
  </si>
  <si>
    <t>Holly Denniston</t>
  </si>
  <si>
    <t>KG</t>
  </si>
  <si>
    <t>Julia Denniston</t>
  </si>
  <si>
    <t>Norah Wittman</t>
  </si>
  <si>
    <t>Kira Bhasin</t>
  </si>
  <si>
    <t>Mouse Guy</t>
  </si>
  <si>
    <t>HP</t>
  </si>
  <si>
    <t>Leah Jandrain</t>
  </si>
  <si>
    <t>Cora Bellomo</t>
  </si>
  <si>
    <t>SR</t>
  </si>
  <si>
    <t>Kendall Wilson</t>
  </si>
  <si>
    <t>Payton Bennett</t>
  </si>
  <si>
    <t>HV</t>
  </si>
  <si>
    <t>Lillian Gunderson</t>
  </si>
  <si>
    <t>Mallory Brown</t>
  </si>
  <si>
    <t>OKM</t>
  </si>
  <si>
    <t>Taylor Kluger</t>
  </si>
  <si>
    <t>Bella DeSando</t>
  </si>
  <si>
    <t>DL</t>
  </si>
  <si>
    <t>Stella Baldeon Masturzo</t>
  </si>
  <si>
    <t>Clara Beatty</t>
  </si>
  <si>
    <t>Erin Martonik</t>
  </si>
  <si>
    <t>Elise Esquivel</t>
  </si>
  <si>
    <t>Carina Bosco</t>
  </si>
  <si>
    <t>Hannah Waters</t>
  </si>
  <si>
    <t>Sofia Stanley</t>
  </si>
  <si>
    <t>Ari Wiley-Jimenez</t>
  </si>
  <si>
    <t>Aletheia Wiley-Jimenez</t>
  </si>
  <si>
    <t>Report Status</t>
  </si>
  <si>
    <t>01-Awaiting Scores</t>
  </si>
  <si>
    <t>Judges</t>
  </si>
  <si>
    <t xml:space="preserve">Click ^ </t>
  </si>
  <si>
    <t>Referee</t>
  </si>
  <si>
    <t>Meet Secretary</t>
  </si>
  <si>
    <t>Home</t>
  </si>
  <si>
    <t>Visiting</t>
  </si>
  <si>
    <t>Team Secretary</t>
  </si>
  <si>
    <t>Comments</t>
  </si>
  <si>
    <t>Alex Kroely</t>
  </si>
  <si>
    <t>Pierre Kroely</t>
  </si>
  <si>
    <t>Lincoln Kemp</t>
  </si>
  <si>
    <t>Alexander Ogrodny</t>
  </si>
  <si>
    <t>Ian Thackaberry</t>
  </si>
  <si>
    <t>Curt Berry</t>
  </si>
  <si>
    <t>Matthew Robertson</t>
  </si>
  <si>
    <t>WC</t>
  </si>
  <si>
    <t>Rowen Stenberg</t>
  </si>
  <si>
    <t>DQ</t>
  </si>
  <si>
    <t>Luke Brannan</t>
  </si>
  <si>
    <t>Markus Krumins</t>
  </si>
  <si>
    <t>Jacob Stanley</t>
  </si>
  <si>
    <t>Flynn Miller</t>
  </si>
  <si>
    <t>Ravi Martinez</t>
  </si>
  <si>
    <t>Will McCool</t>
  </si>
  <si>
    <t>Nicholas Beier</t>
  </si>
  <si>
    <t>Nicholas Petruccelli</t>
  </si>
  <si>
    <t>Patrick Walsh</t>
  </si>
  <si>
    <t>Brayden Lane</t>
  </si>
  <si>
    <t>Fionn Cahill</t>
  </si>
  <si>
    <t>S</t>
  </si>
  <si>
    <t>Matthew Rempe</t>
  </si>
  <si>
    <t>Liam Cahill</t>
  </si>
  <si>
    <t>Samuel Rempe</t>
  </si>
  <si>
    <t>Cameron Cohen</t>
  </si>
  <si>
    <t>Declan Fitzsimmons</t>
  </si>
  <si>
    <t>Ben Margolis</t>
  </si>
  <si>
    <t>Julian Castro</t>
  </si>
  <si>
    <t>Cormac Henderson</t>
  </si>
  <si>
    <t>PL</t>
  </si>
  <si>
    <t>Miller Supple</t>
  </si>
  <si>
    <t>Cavan Telleen</t>
  </si>
  <si>
    <t>Chanler Majiros</t>
  </si>
  <si>
    <t>Rowan Threadgill</t>
  </si>
  <si>
    <t>Beatrice Sultanaeva</t>
  </si>
  <si>
    <t>LV</t>
  </si>
  <si>
    <t>Caroline Berry</t>
  </si>
  <si>
    <t>Edie Freeman</t>
  </si>
  <si>
    <t>Sophie Leland</t>
  </si>
  <si>
    <t>Chloe Niphadkabin</t>
  </si>
  <si>
    <t>Olivia Berik</t>
  </si>
  <si>
    <t>HS</t>
  </si>
  <si>
    <t>Julia Paukovits</t>
  </si>
  <si>
    <t>Age-12</t>
  </si>
  <si>
    <t>Karie Egan</t>
  </si>
  <si>
    <t>Soraya Lora-Pena</t>
  </si>
  <si>
    <t>Jenna Wathen</t>
  </si>
  <si>
    <t>Haley Trieu</t>
  </si>
  <si>
    <t>Ada Jordan</t>
  </si>
  <si>
    <t>Julia Green</t>
  </si>
  <si>
    <t>Ella Henderson</t>
  </si>
  <si>
    <t>Piper Guy</t>
  </si>
  <si>
    <t>Isabelle Whang</t>
  </si>
  <si>
    <t>Kayla Knight</t>
  </si>
  <si>
    <t>Kendall Arnz</t>
  </si>
  <si>
    <t>Charlotte Henderson</t>
  </si>
  <si>
    <t>Olivia Roca</t>
  </si>
  <si>
    <t>F</t>
  </si>
  <si>
    <t>Cally Codding</t>
  </si>
  <si>
    <t>Greer Dempster</t>
  </si>
  <si>
    <t>Lexi Haynie</t>
  </si>
  <si>
    <t>ZZ Arnic</t>
  </si>
  <si>
    <t>SHB</t>
  </si>
  <si>
    <t>Teagan Wielechowski</t>
  </si>
  <si>
    <t>Meredith Lawler</t>
  </si>
  <si>
    <t>Catherine Ayers</t>
  </si>
  <si>
    <t>Ziya Bhasin</t>
  </si>
  <si>
    <t>Cate Lawler</t>
  </si>
  <si>
    <t>Kathryn Fegan</t>
  </si>
  <si>
    <t>RFD</t>
  </si>
  <si>
    <t>Milla Schymanski</t>
  </si>
  <si>
    <t>Age-11</t>
  </si>
  <si>
    <t>Phoebe Guy</t>
  </si>
  <si>
    <t>Kimberly Kobus</t>
  </si>
  <si>
    <t>Mabel Margolis</t>
  </si>
  <si>
    <t>Lilly Coulby</t>
  </si>
  <si>
    <t>Shannon Stegmaier</t>
  </si>
  <si>
    <t>Samantha Kluger</t>
  </si>
  <si>
    <t>CiCi Yen</t>
  </si>
  <si>
    <t>O</t>
  </si>
  <si>
    <t>McKay Deegan</t>
  </si>
  <si>
    <t>Scarlett Waltrup</t>
  </si>
  <si>
    <t>Anna Dober</t>
  </si>
  <si>
    <t>Mary Abela</t>
  </si>
  <si>
    <t>Norah Kissinger</t>
  </si>
  <si>
    <t>Heather Calderon</t>
  </si>
  <si>
    <t>Taityn Speier</t>
  </si>
  <si>
    <t>Gabe Newtson</t>
  </si>
  <si>
    <t>Griffin Wagner</t>
  </si>
  <si>
    <t>Asher Lanthier</t>
  </si>
  <si>
    <t>WG</t>
  </si>
  <si>
    <t>Jonah Lanthier</t>
  </si>
  <si>
    <t>Ryan Mitchell</t>
  </si>
  <si>
    <t>Ryan Wells</t>
  </si>
  <si>
    <t>CCC</t>
  </si>
  <si>
    <t>Luke Havasy</t>
  </si>
  <si>
    <t>IC</t>
  </si>
  <si>
    <t>Michael Sweeney</t>
  </si>
  <si>
    <t>A</t>
  </si>
  <si>
    <t>Jacob Couchman</t>
  </si>
  <si>
    <t>Evan Vink</t>
  </si>
  <si>
    <t>Thibault Lede</t>
  </si>
  <si>
    <t>Bennett Wozny</t>
  </si>
  <si>
    <t>Brendan Doe</t>
  </si>
  <si>
    <t>Jon Anthony Montel</t>
  </si>
  <si>
    <t>Jaden Buecher</t>
  </si>
  <si>
    <t>Aidan Smith</t>
  </si>
  <si>
    <t>Alexander Stewart</t>
  </si>
  <si>
    <t>Quinn Coogen</t>
  </si>
  <si>
    <t>Cody Schneider</t>
  </si>
  <si>
    <t>Sawyer Andrews</t>
  </si>
  <si>
    <t>Sean Memon</t>
  </si>
  <si>
    <t>Lucas Moreno</t>
  </si>
  <si>
    <t>Gavan Nasr</t>
  </si>
  <si>
    <t>Landon Manwaring</t>
  </si>
  <si>
    <t>Eli Edwards</t>
  </si>
  <si>
    <t>OH</t>
  </si>
  <si>
    <t>Grant McClure</t>
  </si>
  <si>
    <t>Paxton Martinez</t>
  </si>
  <si>
    <t>Caden Guy</t>
  </si>
  <si>
    <t>Ben Blaeuer</t>
  </si>
  <si>
    <t>Mason Waterfield</t>
  </si>
  <si>
    <t>Peyton Reed</t>
  </si>
  <si>
    <t>VW</t>
  </si>
  <si>
    <t>Mount Richmond</t>
  </si>
  <si>
    <t>Henry Martin</t>
  </si>
  <si>
    <t>Raito Detten</t>
  </si>
  <si>
    <t>Nathaniel Grannis</t>
  </si>
  <si>
    <t>Ivor Brown</t>
  </si>
  <si>
    <t>Shawn Hubbard</t>
  </si>
  <si>
    <t>Ethan Hubbard</t>
  </si>
  <si>
    <t>Date</t>
  </si>
  <si>
    <t>* These results are calculated automatically and are non-editable</t>
  </si>
  <si>
    <t>Count</t>
  </si>
  <si>
    <t>Place</t>
  </si>
  <si>
    <t>Pool</t>
  </si>
  <si>
    <t>Name1</t>
  </si>
  <si>
    <t>Club1</t>
  </si>
  <si>
    <t>Name2</t>
  </si>
  <si>
    <t>Club2</t>
  </si>
  <si>
    <t>Official NVSL Diver Rosters for year of:</t>
  </si>
  <si>
    <t>1. Official NVSL Roster for 12 &amp; Under Girls
 (951 divers)</t>
  </si>
  <si>
    <t>2. Official NVSL Roster for 12 &amp; Under Boys
 (677 divers)</t>
  </si>
  <si>
    <t>3. Official NVSL Roster for 13 &amp; Over Girls
 (1267 divers)</t>
  </si>
  <si>
    <t>4. Official NVSL Roster for 13 &amp; Over Boys
 (936 divers)</t>
  </si>
  <si>
    <t>PURPOSE:</t>
  </si>
  <si>
    <t>DO NOT UPDATE DATA HERE - This information is loaded automatically from the NVSL-DIVERB-SECURE file</t>
  </si>
  <si>
    <t>NVSL-DiverDB DocID:</t>
  </si>
  <si>
    <t>https://docs.google.com/spreadsheets/d/1WvY6S-oVsh4YAeW15chzvtmxCXSLB7_I7Z-EgHKRi9c/edit?usp=drive_link</t>
  </si>
  <si>
    <t>D1 Msgs</t>
  </si>
  <si>
    <t>D2 Msgs</t>
  </si>
  <si>
    <t>NVSL WALLY MARTIN 
SYNCHRO PARTICIPANTS FOR 07/07/2024</t>
  </si>
  <si>
    <t>Age Group: 12 &amp; Under Girls</t>
  </si>
  <si>
    <t>Age Group: 12 &amp; Under Boys</t>
  </si>
  <si>
    <t>Age Group: 13 &amp; Over Girls</t>
  </si>
  <si>
    <t>Age Group: 13 &amp; Over Boys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</si>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</sst>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mmdd"/>
  </numFmts>
  <fonts count="47">
    <font>
      <sz val="10"/>
      <color rgb="FF000000"/>
      <name val="Arial"/>
    </font>
    <font>
      <sz val="10"/>
      <name val="Arial"/>
    </font>
    <font>
      <b/>
      <sz val="10"/>
      <color rgb="FFFFFFFF"/>
      <name val="Arial"/>
    </font>
    <font>
      <b/>
      <i/>
      <sz val="24"/>
      <color rgb="FFFFFFFF"/>
      <name val="Arial"/>
    </font>
    <font>
      <b/>
      <sz val="18"/>
      <color rgb="FFFFFFFF"/>
      <name val="Arial"/>
    </font>
    <font>
      <b/>
      <sz val="14"/>
      <color rgb="FFFFFFFF"/>
      <name val="Arial"/>
    </font>
    <font>
      <b/>
      <sz val="14"/>
      <color rgb="FFFFFFFF"/>
      <name val="Arial"/>
    </font>
    <font>
      <b/>
      <i/>
      <sz val="10"/>
      <color rgb="FFFFFF00"/>
      <name val="Arial"/>
    </font>
    <font>
      <b/>
      <i/>
      <sz val="10"/>
      <color rgb="FFE06666"/>
      <name val="Arial"/>
    </font>
    <font>
      <sz val="10"/>
      <color rgb="FFF3F3F3"/>
      <name val="Arial"/>
    </font>
    <font>
      <b/>
      <i/>
      <u/>
      <sz val="12"/>
      <color rgb="FFFFFFFF"/>
      <name val="Arial"/>
    </font>
    <font>
      <b/>
      <i/>
      <sz val="12"/>
      <color rgb="FFFFFFFF"/>
      <name val="Arial"/>
    </font>
    <font>
      <b/>
      <sz val="12"/>
      <color rgb="FFFFFFFF"/>
      <name val="Arial"/>
    </font>
    <font>
      <b/>
      <sz val="10"/>
      <name val="Arial"/>
    </font>
    <font>
      <sz val="10"/>
      <color rgb="FFFFFFFF"/>
      <name val="Arial"/>
    </font>
    <font>
      <b/>
      <i/>
      <sz val="12"/>
      <color rgb="FFFFFFFF"/>
      <name val="Arial"/>
    </font>
    <font>
      <sz val="10"/>
      <name val="Arial"/>
    </font>
    <font>
      <i/>
      <sz val="12"/>
      <color rgb="FFFFFFFF"/>
      <name val="Arial"/>
    </font>
    <font>
      <b/>
      <sz val="12"/>
      <name val="Arial"/>
    </font>
    <font>
      <sz val="6"/>
      <color rgb="FF6FA8DC"/>
      <name val="Arial"/>
    </font>
    <font>
      <b/>
      <i/>
      <sz val="10"/>
      <color rgb="FFFF0000"/>
      <name val="Arial"/>
    </font>
    <font>
      <sz val="6"/>
      <color rgb="FF6D9EEB"/>
      <name val="Arial"/>
    </font>
    <font>
      <sz val="10"/>
      <color rgb="FF000000"/>
      <name val="Arial"/>
    </font>
    <font>
      <i/>
      <sz val="10"/>
      <name val="Arial"/>
    </font>
    <font>
      <b/>
      <i/>
      <sz val="10"/>
      <color rgb="FF6FA8DC"/>
      <name val="Arial"/>
    </font>
    <font>
      <b/>
      <i/>
      <sz val="10"/>
      <name val="Arial"/>
    </font>
    <font>
      <i/>
      <sz val="10"/>
      <color rgb="FF000000"/>
      <name val="Arial"/>
    </font>
    <font>
      <b/>
      <sz val="10"/>
      <name val="Arial"/>
    </font>
    <font>
      <i/>
      <sz val="12"/>
      <color rgb="FFFFFFFF"/>
      <name val="Arial"/>
    </font>
    <font>
      <sz val="12"/>
      <name val="Arial"/>
    </font>
    <font>
      <sz val="10"/>
      <color rgb="FFFFFFFF"/>
      <name val="Arial"/>
    </font>
    <font>
      <b/>
      <i/>
      <u/>
      <sz val="12"/>
      <color rgb="FFFFFFFF"/>
      <name val="Arial"/>
    </font>
    <font>
      <b/>
      <sz val="10"/>
      <color rgb="FFFFFFFF"/>
      <name val="Arial"/>
    </font>
    <font>
      <u/>
      <sz val="10"/>
      <color rgb="FFFFFFFF"/>
      <name val="Arial"/>
    </font>
    <font>
      <b/>
      <u/>
      <sz val="10"/>
      <color rgb="FFFFFFFF"/>
      <name val="Arial"/>
    </font>
    <font>
      <b/>
      <sz val="10"/>
      <color rgb="FFFFFFFF"/>
      <name val="Arial"/>
    </font>
    <font>
      <b/>
      <i/>
      <sz val="12"/>
      <name val="Arial"/>
    </font>
    <font>
      <b/>
      <i/>
      <sz val="10"/>
      <name val="Arial"/>
    </font>
    <font>
      <sz val="12"/>
      <color rgb="FFFFFFFF"/>
      <name val="Arial"/>
    </font>
    <font>
      <b/>
      <u/>
      <sz val="10"/>
      <color rgb="FF000000"/>
      <name val="Arial"/>
    </font>
    <font>
      <sz val="11"/>
      <color rgb="FF000000"/>
      <name val="Arial"/>
    </font>
    <font>
      <sz val="10"/>
      <color rgb="FF000000"/>
      <name val="Arial"/>
    </font>
    <font>
      <u/>
      <sz val="10"/>
      <color rgb="FFFFFFFF"/>
      <name val="Arial"/>
    </font>
    <font>
      <u/>
      <sz val="10"/>
      <color rgb="FF000000"/>
      <name val="Arial"/>
    </font>
    <font>
      <b/>
      <sz val="14"/>
      <color rgb="FF00AAAA"/>
      <name val="Itc_officina_sansregular"/>
    </font>
    <font>
      <u/>
      <sz val="10"/>
      <color rgb="FFFFFFFF"/>
      <name val="Arial"/>
    </font>
    <font>
      <sz val="8"/>
      <name val="Arial"/>
    </font>
  </fonts>
  <fills count="21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E6B8AF"/>
        <bgColor rgb="FFE6B8AF"/>
      </patternFill>
    </fill>
    <fill>
      <patternFill patternType="solid">
        <fgColor rgb="FF000000"/>
        <bgColor rgb="FF000000"/>
      </patternFill>
    </fill>
    <fill>
      <patternFill patternType="solid">
        <fgColor rgb="FFB7B7B7"/>
        <bgColor rgb="FFB7B7B7"/>
      </patternFill>
    </fill>
    <fill>
      <patternFill patternType="solid">
        <fgColor rgb="FFFF0000"/>
        <bgColor rgb="FFFF0000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F46524"/>
        <bgColor rgb="FFF46524"/>
      </patternFill>
    </fill>
    <fill>
      <patternFill patternType="solid">
        <fgColor rgb="FFFFF2CC"/>
        <bgColor rgb="FFFFF2CC"/>
      </patternFill>
    </fill>
    <fill>
      <patternFill patternType="solid">
        <fgColor rgb="FFB45F06"/>
        <bgColor rgb="FFB45F06"/>
      </patternFill>
    </fill>
    <fill>
      <patternFill patternType="solid">
        <fgColor rgb="FFFFE6DD"/>
        <bgColor rgb="FFFFE6DD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1">
    <xf numFmtId="0" fontId="0" fillId="0" borderId="0"/>
  </cellStyleXfs>
  <cellXfs count="222">
    <xf numFmtId="0" fontId="0" fillId="0" borderId="0" xfId="0"/>
    <xf numFmtId="49" fontId="1" fillId="0" borderId="0" xfId="0" applyNumberFormat="1" applyFont="1"/>
    <xf numFmtId="49" fontId="2" fillId="2" borderId="0" xfId="0" applyNumberFormat="1" applyFont="1" applyFill="1" applyAlignment="1">
      <alignment horizontal="center"/>
    </xf>
    <xf numFmtId="14" fontId="3" fillId="3" borderId="1" xfId="0" applyNumberFormat="1" applyFont="1" applyFill="1" applyBorder="1" applyAlignment="1">
      <alignment horizontal="center" vertical="center"/>
    </xf>
    <xf numFmtId="4" fontId="1" fillId="4" borderId="0" xfId="0" applyNumberFormat="1" applyFont="1" applyFill="1"/>
    <xf numFmtId="4" fontId="1" fillId="5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center"/>
    </xf>
    <xf numFmtId="49" fontId="6" fillId="2" borderId="0" xfId="0" applyNumberFormat="1" applyFont="1" applyFill="1" applyAlignment="1">
      <alignment horizontal="left"/>
    </xf>
    <xf numFmtId="4" fontId="7" fillId="2" borderId="0" xfId="0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/>
    </xf>
    <xf numFmtId="49" fontId="9" fillId="0" borderId="0" xfId="0" applyNumberFormat="1" applyFont="1" applyAlignment="1">
      <alignment horizontal="center"/>
    </xf>
    <xf numFmtId="49" fontId="10" fillId="6" borderId="1" xfId="0" applyNumberFormat="1" applyFont="1" applyFill="1" applyBorder="1" applyAlignment="1">
      <alignment horizontal="center"/>
    </xf>
    <xf numFmtId="49" fontId="11" fillId="6" borderId="1" xfId="0" applyNumberFormat="1" applyFont="1" applyFill="1" applyBorder="1" applyAlignment="1">
      <alignment horizontal="center"/>
    </xf>
    <xf numFmtId="49" fontId="12" fillId="2" borderId="0" xfId="0" applyNumberFormat="1" applyFont="1" applyFill="1" applyAlignment="1">
      <alignment horizontal="left"/>
    </xf>
    <xf numFmtId="49" fontId="5" fillId="2" borderId="2" xfId="0" applyNumberFormat="1" applyFont="1" applyFill="1" applyBorder="1" applyAlignment="1">
      <alignment horizontal="right"/>
    </xf>
    <xf numFmtId="49" fontId="12" fillId="2" borderId="2" xfId="0" applyNumberFormat="1" applyFont="1" applyFill="1" applyBorder="1" applyAlignment="1">
      <alignment horizontal="center"/>
    </xf>
    <xf numFmtId="4" fontId="8" fillId="2" borderId="0" xfId="0" applyNumberFormat="1" applyFont="1" applyFill="1" applyAlignment="1">
      <alignment horizontal="center"/>
    </xf>
    <xf numFmtId="4" fontId="13" fillId="4" borderId="0" xfId="0" applyNumberFormat="1" applyFont="1" applyFill="1" applyAlignment="1">
      <alignment horizontal="center"/>
    </xf>
    <xf numFmtId="49" fontId="14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15" fillId="2" borderId="0" xfId="0" applyNumberFormat="1" applyFont="1" applyFill="1" applyAlignment="1">
      <alignment horizontal="left"/>
    </xf>
    <xf numFmtId="49" fontId="16" fillId="2" borderId="0" xfId="0" applyNumberFormat="1" applyFont="1" applyFill="1"/>
    <xf numFmtId="49" fontId="12" fillId="2" borderId="0" xfId="0" applyNumberFormat="1" applyFont="1" applyFill="1" applyAlignment="1">
      <alignment horizontal="right"/>
    </xf>
    <xf numFmtId="4" fontId="13" fillId="5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left"/>
    </xf>
    <xf numFmtId="4" fontId="16" fillId="2" borderId="0" xfId="0" applyNumberFormat="1" applyFont="1" applyFill="1"/>
    <xf numFmtId="49" fontId="13" fillId="6" borderId="3" xfId="0" applyNumberFormat="1" applyFont="1" applyFill="1" applyBorder="1" applyAlignment="1">
      <alignment horizontal="right"/>
    </xf>
    <xf numFmtId="49" fontId="18" fillId="6" borderId="3" xfId="0" applyNumberFormat="1" applyFont="1" applyFill="1" applyBorder="1" applyAlignment="1">
      <alignment horizontal="right"/>
    </xf>
    <xf numFmtId="4" fontId="1" fillId="4" borderId="0" xfId="0" applyNumberFormat="1" applyFont="1" applyFill="1" applyAlignment="1">
      <alignment horizontal="center"/>
    </xf>
    <xf numFmtId="49" fontId="19" fillId="6" borderId="1" xfId="0" applyNumberFormat="1" applyFont="1" applyFill="1" applyBorder="1"/>
    <xf numFmtId="49" fontId="18" fillId="6" borderId="1" xfId="0" applyNumberFormat="1" applyFont="1" applyFill="1" applyBorder="1"/>
    <xf numFmtId="49" fontId="18" fillId="6" borderId="1" xfId="0" applyNumberFormat="1" applyFont="1" applyFill="1" applyBorder="1" applyAlignment="1">
      <alignment horizontal="center"/>
    </xf>
    <xf numFmtId="4" fontId="18" fillId="6" borderId="1" xfId="0" applyNumberFormat="1" applyFont="1" applyFill="1" applyBorder="1" applyAlignment="1">
      <alignment horizontal="center"/>
    </xf>
    <xf numFmtId="49" fontId="20" fillId="6" borderId="5" xfId="0" applyNumberFormat="1" applyFont="1" applyFill="1" applyBorder="1" applyAlignment="1">
      <alignment horizontal="center" vertical="center"/>
    </xf>
    <xf numFmtId="49" fontId="21" fillId="6" borderId="1" xfId="0" applyNumberFormat="1" applyFont="1" applyFill="1" applyBorder="1"/>
    <xf numFmtId="49" fontId="22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22" fillId="0" borderId="1" xfId="0" applyFont="1" applyBorder="1"/>
    <xf numFmtId="4" fontId="23" fillId="0" borderId="1" xfId="0" applyNumberFormat="1" applyFont="1" applyBorder="1"/>
    <xf numFmtId="49" fontId="20" fillId="7" borderId="5" xfId="0" applyNumberFormat="1" applyFont="1" applyFill="1" applyBorder="1" applyAlignment="1">
      <alignment horizontal="center"/>
    </xf>
    <xf numFmtId="4" fontId="1" fillId="5" borderId="0" xfId="0" applyNumberFormat="1" applyFont="1" applyFill="1" applyAlignment="1">
      <alignment horizontal="left"/>
    </xf>
    <xf numFmtId="4" fontId="1" fillId="0" borderId="1" xfId="0" applyNumberFormat="1" applyFont="1" applyBorder="1"/>
    <xf numFmtId="0" fontId="1" fillId="0" borderId="0" xfId="0" applyFont="1"/>
    <xf numFmtId="49" fontId="16" fillId="8" borderId="1" xfId="0" applyNumberFormat="1" applyFont="1" applyFill="1" applyBorder="1"/>
    <xf numFmtId="49" fontId="16" fillId="8" borderId="6" xfId="0" applyNumberFormat="1" applyFont="1" applyFill="1" applyBorder="1" applyAlignment="1">
      <alignment horizontal="center"/>
    </xf>
    <xf numFmtId="4" fontId="16" fillId="8" borderId="6" xfId="0" applyNumberFormat="1" applyFont="1" applyFill="1" applyBorder="1"/>
    <xf numFmtId="0" fontId="16" fillId="8" borderId="6" xfId="0" applyFont="1" applyFill="1" applyBorder="1"/>
    <xf numFmtId="49" fontId="22" fillId="4" borderId="1" xfId="0" applyNumberFormat="1" applyFont="1" applyFill="1" applyBorder="1"/>
    <xf numFmtId="49" fontId="1" fillId="4" borderId="1" xfId="0" applyNumberFormat="1" applyFont="1" applyFill="1" applyBorder="1" applyAlignment="1">
      <alignment horizontal="center"/>
    </xf>
    <xf numFmtId="0" fontId="22" fillId="4" borderId="1" xfId="0" applyFont="1" applyFill="1" applyBorder="1"/>
    <xf numFmtId="4" fontId="1" fillId="4" borderId="1" xfId="0" applyNumberFormat="1" applyFont="1" applyFill="1" applyBorder="1"/>
    <xf numFmtId="49" fontId="24" fillId="6" borderId="3" xfId="0" applyNumberFormat="1" applyFont="1" applyFill="1" applyBorder="1"/>
    <xf numFmtId="49" fontId="25" fillId="6" borderId="4" xfId="0" applyNumberFormat="1" applyFont="1" applyFill="1" applyBorder="1"/>
    <xf numFmtId="49" fontId="25" fillId="6" borderId="4" xfId="0" applyNumberFormat="1" applyFont="1" applyFill="1" applyBorder="1" applyAlignment="1">
      <alignment horizontal="center"/>
    </xf>
    <xf numFmtId="49" fontId="25" fillId="7" borderId="4" xfId="0" applyNumberFormat="1" applyFont="1" applyFill="1" applyBorder="1"/>
    <xf numFmtId="4" fontId="25" fillId="7" borderId="4" xfId="0" applyNumberFormat="1" applyFont="1" applyFill="1" applyBorder="1"/>
    <xf numFmtId="49" fontId="25" fillId="7" borderId="6" xfId="0" applyNumberFormat="1" applyFont="1" applyFill="1" applyBorder="1"/>
    <xf numFmtId="49" fontId="1" fillId="0" borderId="0" xfId="0" applyNumberFormat="1" applyFont="1" applyAlignment="1">
      <alignment horizontal="center"/>
    </xf>
    <xf numFmtId="4" fontId="1" fillId="0" borderId="0" xfId="0" applyNumberFormat="1" applyFont="1"/>
    <xf numFmtId="49" fontId="16" fillId="0" borderId="7" xfId="0" applyNumberFormat="1" applyFont="1" applyBorder="1"/>
    <xf numFmtId="49" fontId="16" fillId="8" borderId="1" xfId="0" applyNumberFormat="1" applyFont="1" applyFill="1" applyBorder="1" applyAlignment="1">
      <alignment horizontal="left"/>
    </xf>
    <xf numFmtId="49" fontId="16" fillId="0" borderId="0" xfId="0" applyNumberFormat="1" applyFont="1"/>
    <xf numFmtId="0" fontId="26" fillId="10" borderId="0" xfId="0" applyFont="1" applyFill="1" applyAlignment="1">
      <alignment horizontal="right"/>
    </xf>
    <xf numFmtId="49" fontId="16" fillId="0" borderId="0" xfId="0" applyNumberFormat="1" applyFont="1" applyAlignment="1">
      <alignment horizontal="center"/>
    </xf>
    <xf numFmtId="4" fontId="16" fillId="0" borderId="0" xfId="0" applyNumberFormat="1" applyFont="1"/>
    <xf numFmtId="49" fontId="27" fillId="0" borderId="0" xfId="0" applyNumberFormat="1" applyFont="1"/>
    <xf numFmtId="49" fontId="16" fillId="0" borderId="8" xfId="0" applyNumberFormat="1" applyFont="1" applyBorder="1" applyAlignment="1">
      <alignment horizontal="center"/>
    </xf>
    <xf numFmtId="49" fontId="16" fillId="0" borderId="8" xfId="0" applyNumberFormat="1" applyFont="1" applyBorder="1"/>
    <xf numFmtId="4" fontId="16" fillId="0" borderId="8" xfId="0" applyNumberFormat="1" applyFont="1" applyBorder="1"/>
    <xf numFmtId="49" fontId="1" fillId="8" borderId="1" xfId="0" applyNumberFormat="1" applyFont="1" applyFill="1" applyBorder="1" applyAlignment="1">
      <alignment horizontal="center"/>
    </xf>
    <xf numFmtId="4" fontId="2" fillId="2" borderId="0" xfId="0" applyNumberFormat="1" applyFont="1" applyFill="1" applyAlignment="1">
      <alignment horizontal="right"/>
    </xf>
    <xf numFmtId="49" fontId="16" fillId="8" borderId="6" xfId="0" applyNumberFormat="1" applyFont="1" applyFill="1" applyBorder="1"/>
    <xf numFmtId="49" fontId="29" fillId="2" borderId="0" xfId="0" applyNumberFormat="1" applyFont="1" applyFill="1"/>
    <xf numFmtId="49" fontId="2" fillId="2" borderId="0" xfId="0" applyNumberFormat="1" applyFont="1" applyFill="1"/>
    <xf numFmtId="49" fontId="30" fillId="2" borderId="0" xfId="0" applyNumberFormat="1" applyFont="1" applyFill="1" applyAlignment="1">
      <alignment horizontal="right"/>
    </xf>
    <xf numFmtId="4" fontId="1" fillId="0" borderId="0" xfId="0" applyNumberFormat="1" applyFont="1" applyAlignment="1">
      <alignment horizontal="left"/>
    </xf>
    <xf numFmtId="49" fontId="5" fillId="2" borderId="0" xfId="0" applyNumberFormat="1" applyFont="1" applyFill="1" applyAlignment="1">
      <alignment horizontal="left"/>
    </xf>
    <xf numFmtId="49" fontId="7" fillId="2" borderId="0" xfId="0" applyNumberFormat="1" applyFont="1" applyFill="1" applyAlignment="1">
      <alignment horizontal="center"/>
    </xf>
    <xf numFmtId="4" fontId="8" fillId="2" borderId="0" xfId="0" applyNumberFormat="1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49" fontId="11" fillId="6" borderId="3" xfId="0" applyNumberFormat="1" applyFont="1" applyFill="1" applyBorder="1" applyAlignment="1">
      <alignment horizontal="center"/>
    </xf>
    <xf numFmtId="49" fontId="32" fillId="2" borderId="0" xfId="0" applyNumberFormat="1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49" fontId="33" fillId="2" borderId="0" xfId="0" applyNumberFormat="1" applyFont="1" applyFill="1" applyAlignment="1">
      <alignment horizontal="center"/>
    </xf>
    <xf numFmtId="49" fontId="17" fillId="2" borderId="0" xfId="0" applyNumberFormat="1" applyFont="1" applyFill="1" applyAlignment="1">
      <alignment horizontal="left"/>
    </xf>
    <xf numFmtId="49" fontId="34" fillId="2" borderId="0" xfId="0" applyNumberFormat="1" applyFont="1" applyFill="1" applyAlignment="1">
      <alignment horizontal="center"/>
    </xf>
    <xf numFmtId="4" fontId="17" fillId="2" borderId="0" xfId="0" applyNumberFormat="1" applyFont="1" applyFill="1" applyAlignment="1">
      <alignment horizontal="left"/>
    </xf>
    <xf numFmtId="49" fontId="35" fillId="2" borderId="0" xfId="0" applyNumberFormat="1" applyFont="1" applyFill="1"/>
    <xf numFmtId="49" fontId="12" fillId="2" borderId="8" xfId="0" applyNumberFormat="1" applyFont="1" applyFill="1" applyBorder="1" applyAlignment="1">
      <alignment horizontal="right"/>
    </xf>
    <xf numFmtId="4" fontId="13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center"/>
    </xf>
    <xf numFmtId="4" fontId="13" fillId="0" borderId="0" xfId="0" applyNumberFormat="1" applyFont="1" applyAlignment="1">
      <alignment horizontal="center"/>
    </xf>
    <xf numFmtId="4" fontId="13" fillId="0" borderId="0" xfId="0" applyNumberFormat="1" applyFont="1"/>
    <xf numFmtId="49" fontId="25" fillId="6" borderId="1" xfId="0" applyNumberFormat="1" applyFont="1" applyFill="1" applyBorder="1"/>
    <xf numFmtId="49" fontId="16" fillId="11" borderId="1" xfId="0" applyNumberFormat="1" applyFont="1" applyFill="1" applyBorder="1"/>
    <xf numFmtId="49" fontId="37" fillId="11" borderId="6" xfId="0" applyNumberFormat="1" applyFont="1" applyFill="1" applyBorder="1" applyAlignment="1">
      <alignment horizontal="right"/>
    </xf>
    <xf numFmtId="49" fontId="37" fillId="11" borderId="1" xfId="0" applyNumberFormat="1" applyFont="1" applyFill="1" applyBorder="1"/>
    <xf numFmtId="49" fontId="37" fillId="11" borderId="6" xfId="0" applyNumberFormat="1" applyFont="1" applyFill="1" applyBorder="1" applyAlignment="1">
      <alignment horizontal="center" vertical="top"/>
    </xf>
    <xf numFmtId="4" fontId="37" fillId="11" borderId="6" xfId="0" applyNumberFormat="1" applyFont="1" applyFill="1" applyBorder="1" applyAlignment="1">
      <alignment horizontal="center" vertical="top"/>
    </xf>
    <xf numFmtId="49" fontId="16" fillId="11" borderId="6" xfId="0" applyNumberFormat="1" applyFont="1" applyFill="1" applyBorder="1"/>
    <xf numFmtId="49" fontId="16" fillId="11" borderId="1" xfId="0" applyNumberFormat="1" applyFont="1" applyFill="1" applyBorder="1" applyAlignment="1">
      <alignment horizontal="center"/>
    </xf>
    <xf numFmtId="49" fontId="16" fillId="0" borderId="13" xfId="0" applyNumberFormat="1" applyFont="1" applyBorder="1" applyAlignment="1">
      <alignment horizontal="center" vertical="top"/>
    </xf>
    <xf numFmtId="49" fontId="16" fillId="0" borderId="1" xfId="0" applyNumberFormat="1" applyFont="1" applyBorder="1" applyAlignment="1">
      <alignment horizontal="center" vertical="top"/>
    </xf>
    <xf numFmtId="4" fontId="16" fillId="0" borderId="13" xfId="0" applyNumberFormat="1" applyFont="1" applyBorder="1" applyAlignment="1">
      <alignment horizontal="center" vertical="top"/>
    </xf>
    <xf numFmtId="49" fontId="16" fillId="11" borderId="13" xfId="0" applyNumberFormat="1" applyFont="1" applyFill="1" applyBorder="1"/>
    <xf numFmtId="3" fontId="1" fillId="0" borderId="0" xfId="0" applyNumberFormat="1" applyFont="1" applyAlignment="1">
      <alignment horizontal="center"/>
    </xf>
    <xf numFmtId="4" fontId="1" fillId="4" borderId="0" xfId="0" applyNumberFormat="1" applyFont="1" applyFill="1" applyAlignment="1">
      <alignment horizontal="left"/>
    </xf>
    <xf numFmtId="0" fontId="38" fillId="12" borderId="0" xfId="0" applyFont="1" applyFill="1" applyAlignment="1">
      <alignment horizontal="left"/>
    </xf>
    <xf numFmtId="0" fontId="2" fillId="12" borderId="0" xfId="0" applyFont="1" applyFill="1" applyAlignment="1">
      <alignment horizontal="center"/>
    </xf>
    <xf numFmtId="0" fontId="2" fillId="12" borderId="0" xfId="0" applyFont="1" applyFill="1" applyAlignment="1">
      <alignment horizontal="center" wrapText="1"/>
    </xf>
    <xf numFmtId="0" fontId="12" fillId="12" borderId="0" xfId="0" applyFont="1" applyFill="1" applyAlignment="1">
      <alignment horizontal="center" wrapText="1"/>
    </xf>
    <xf numFmtId="0" fontId="14" fillId="12" borderId="0" xfId="0" applyFont="1" applyFill="1"/>
    <xf numFmtId="0" fontId="27" fillId="0" borderId="14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7" fillId="13" borderId="0" xfId="0" applyFont="1" applyFill="1" applyAlignment="1">
      <alignment horizontal="center" wrapText="1"/>
    </xf>
    <xf numFmtId="0" fontId="39" fillId="13" borderId="0" xfId="0" applyFont="1" applyFill="1" applyAlignment="1">
      <alignment horizontal="center" wrapText="1"/>
    </xf>
    <xf numFmtId="0" fontId="16" fillId="0" borderId="0" xfId="0" applyFont="1" applyAlignment="1">
      <alignment horizontal="center"/>
    </xf>
    <xf numFmtId="0" fontId="40" fillId="0" borderId="0" xfId="0" applyFont="1"/>
    <xf numFmtId="2" fontId="16" fillId="0" borderId="0" xfId="0" applyNumberFormat="1" applyFont="1" applyAlignment="1">
      <alignment horizontal="center"/>
    </xf>
    <xf numFmtId="0" fontId="16" fillId="0" borderId="0" xfId="0" applyFont="1"/>
    <xf numFmtId="0" fontId="16" fillId="13" borderId="0" xfId="0" applyFont="1" applyFill="1" applyAlignment="1">
      <alignment horizontal="center"/>
    </xf>
    <xf numFmtId="0" fontId="22" fillId="1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/>
    <xf numFmtId="0" fontId="1" fillId="13" borderId="0" xfId="0" applyFont="1" applyFill="1"/>
    <xf numFmtId="0" fontId="41" fillId="13" borderId="0" xfId="0" applyFont="1" applyFill="1"/>
    <xf numFmtId="0" fontId="14" fillId="12" borderId="0" xfId="0" applyFont="1" applyFill="1" applyAlignment="1">
      <alignment horizontal="right"/>
    </xf>
    <xf numFmtId="0" fontId="35" fillId="12" borderId="0" xfId="0" applyFont="1" applyFill="1" applyAlignment="1">
      <alignment horizontal="right"/>
    </xf>
    <xf numFmtId="0" fontId="14" fillId="12" borderId="0" xfId="0" applyFont="1" applyFill="1" applyAlignment="1">
      <alignment horizontal="left"/>
    </xf>
    <xf numFmtId="0" fontId="35" fillId="12" borderId="0" xfId="0" applyFont="1" applyFill="1" applyAlignment="1">
      <alignment horizontal="left"/>
    </xf>
    <xf numFmtId="0" fontId="35" fillId="12" borderId="0" xfId="0" applyFont="1" applyFill="1" applyAlignment="1">
      <alignment horizontal="left" wrapText="1"/>
    </xf>
    <xf numFmtId="14" fontId="35" fillId="12" borderId="0" xfId="0" applyNumberFormat="1" applyFont="1" applyFill="1" applyAlignment="1">
      <alignment horizontal="left"/>
    </xf>
    <xf numFmtId="0" fontId="42" fillId="12" borderId="0" xfId="0" applyFont="1" applyFill="1" applyAlignment="1">
      <alignment horizontal="left"/>
    </xf>
    <xf numFmtId="0" fontId="13" fillId="14" borderId="14" xfId="0" applyFont="1" applyFill="1" applyBorder="1" applyAlignment="1">
      <alignment horizontal="center"/>
    </xf>
    <xf numFmtId="0" fontId="13" fillId="0" borderId="0" xfId="0" applyFont="1"/>
    <xf numFmtId="0" fontId="13" fillId="5" borderId="0" xfId="0" applyFont="1" applyFill="1"/>
    <xf numFmtId="0" fontId="13" fillId="11" borderId="0" xfId="0" applyFont="1" applyFill="1" applyAlignment="1">
      <alignment horizontal="center"/>
    </xf>
    <xf numFmtId="0" fontId="13" fillId="15" borderId="0" xfId="0" applyFont="1" applyFill="1" applyAlignment="1">
      <alignment horizontal="center" wrapText="1"/>
    </xf>
    <xf numFmtId="0" fontId="13" fillId="16" borderId="0" xfId="0" applyFont="1" applyFill="1" applyAlignment="1">
      <alignment wrapText="1"/>
    </xf>
    <xf numFmtId="0" fontId="13" fillId="16" borderId="0" xfId="0" applyFont="1" applyFill="1"/>
    <xf numFmtId="0" fontId="14" fillId="14" borderId="0" xfId="0" applyFont="1" applyFill="1"/>
    <xf numFmtId="0" fontId="13" fillId="17" borderId="0" xfId="0" applyFont="1" applyFill="1"/>
    <xf numFmtId="164" fontId="13" fillId="17" borderId="0" xfId="0" applyNumberFormat="1" applyFont="1" applyFill="1"/>
    <xf numFmtId="0" fontId="1" fillId="18" borderId="0" xfId="0" applyFont="1" applyFill="1"/>
    <xf numFmtId="0" fontId="35" fillId="12" borderId="0" xfId="0" applyFont="1" applyFill="1"/>
    <xf numFmtId="0" fontId="35" fillId="19" borderId="0" xfId="0" applyFont="1" applyFill="1" applyAlignment="1">
      <alignment horizontal="center" wrapText="1"/>
    </xf>
    <xf numFmtId="0" fontId="13" fillId="17" borderId="0" xfId="0" applyFont="1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15" borderId="0" xfId="0" applyFont="1" applyFill="1" applyAlignment="1">
      <alignment horizontal="center"/>
    </xf>
    <xf numFmtId="164" fontId="1" fillId="16" borderId="0" xfId="0" applyNumberFormat="1" applyFont="1" applyFill="1"/>
    <xf numFmtId="0" fontId="1" fillId="16" borderId="0" xfId="0" applyFont="1" applyFill="1"/>
    <xf numFmtId="0" fontId="41" fillId="14" borderId="0" xfId="0" applyFont="1" applyFill="1"/>
    <xf numFmtId="14" fontId="1" fillId="10" borderId="0" xfId="0" applyNumberFormat="1" applyFont="1" applyFill="1"/>
    <xf numFmtId="164" fontId="1" fillId="10" borderId="0" xfId="0" applyNumberFormat="1" applyFont="1" applyFill="1"/>
    <xf numFmtId="0" fontId="1" fillId="10" borderId="0" xfId="0" applyFont="1" applyFill="1"/>
    <xf numFmtId="0" fontId="1" fillId="10" borderId="0" xfId="0" applyFont="1" applyFill="1" applyAlignment="1">
      <alignment horizontal="center"/>
    </xf>
    <xf numFmtId="0" fontId="43" fillId="14" borderId="0" xfId="0" applyFont="1" applyFill="1"/>
    <xf numFmtId="14" fontId="1" fillId="20" borderId="0" xfId="0" applyNumberFormat="1" applyFont="1" applyFill="1"/>
    <xf numFmtId="164" fontId="1" fillId="20" borderId="0" xfId="0" applyNumberFormat="1" applyFont="1" applyFill="1"/>
    <xf numFmtId="0" fontId="1" fillId="20" borderId="0" xfId="0" applyFont="1" applyFill="1"/>
    <xf numFmtId="14" fontId="13" fillId="20" borderId="0" xfId="0" applyNumberFormat="1" applyFont="1" applyFill="1" applyAlignment="1">
      <alignment horizontal="left"/>
    </xf>
    <xf numFmtId="0" fontId="13" fillId="20" borderId="0" xfId="0" applyFont="1" applyFill="1"/>
    <xf numFmtId="0" fontId="13" fillId="18" borderId="0" xfId="0" applyFont="1" applyFill="1"/>
    <xf numFmtId="0" fontId="13" fillId="20" borderId="0" xfId="0" applyFont="1" applyFill="1" applyAlignment="1">
      <alignment horizontal="center"/>
    </xf>
    <xf numFmtId="14" fontId="44" fillId="18" borderId="0" xfId="0" applyNumberFormat="1" applyFont="1" applyFill="1" applyAlignment="1">
      <alignment horizontal="left"/>
    </xf>
    <xf numFmtId="14" fontId="1" fillId="20" borderId="0" xfId="0" applyNumberFormat="1" applyFont="1" applyFill="1" applyAlignment="1">
      <alignment horizontal="left"/>
    </xf>
    <xf numFmtId="18" fontId="1" fillId="20" borderId="0" xfId="0" applyNumberFormat="1" applyFont="1" applyFill="1"/>
    <xf numFmtId="0" fontId="1" fillId="20" borderId="0" xfId="0" applyFont="1" applyFill="1" applyAlignment="1">
      <alignment horizontal="center"/>
    </xf>
    <xf numFmtId="164" fontId="16" fillId="20" borderId="0" xfId="0" applyNumberFormat="1" applyFont="1" applyFill="1"/>
    <xf numFmtId="0" fontId="16" fillId="20" borderId="0" xfId="0" applyFont="1" applyFill="1"/>
    <xf numFmtId="164" fontId="1" fillId="20" borderId="0" xfId="0" applyNumberFormat="1" applyFont="1" applyFill="1" applyAlignment="1">
      <alignment horizontal="center"/>
    </xf>
    <xf numFmtId="14" fontId="1" fillId="10" borderId="0" xfId="0" applyNumberFormat="1" applyFont="1" applyFill="1" applyAlignment="1">
      <alignment horizontal="left"/>
    </xf>
    <xf numFmtId="18" fontId="1" fillId="10" borderId="0" xfId="0" applyNumberFormat="1" applyFont="1" applyFill="1"/>
    <xf numFmtId="164" fontId="16" fillId="10" borderId="0" xfId="0" applyNumberFormat="1" applyFont="1" applyFill="1"/>
    <xf numFmtId="0" fontId="16" fillId="10" borderId="0" xfId="0" applyFont="1" applyFill="1"/>
    <xf numFmtId="164" fontId="1" fillId="10" borderId="0" xfId="0" applyNumberFormat="1" applyFont="1" applyFill="1" applyAlignment="1">
      <alignment horizontal="center"/>
    </xf>
    <xf numFmtId="0" fontId="1" fillId="5" borderId="0" xfId="0" applyFont="1" applyFill="1"/>
    <xf numFmtId="0" fontId="45" fillId="14" borderId="0" xfId="0" applyFont="1" applyFill="1"/>
    <xf numFmtId="14" fontId="16" fillId="20" borderId="0" xfId="0" applyNumberFormat="1" applyFont="1" applyFill="1"/>
    <xf numFmtId="14" fontId="16" fillId="10" borderId="0" xfId="0" applyNumberFormat="1" applyFont="1" applyFill="1"/>
    <xf numFmtId="14" fontId="35" fillId="20" borderId="0" xfId="0" applyNumberFormat="1" applyFont="1" applyFill="1" applyAlignment="1">
      <alignment horizontal="center" wrapText="1"/>
    </xf>
    <xf numFmtId="0" fontId="35" fillId="20" borderId="0" xfId="0" applyFont="1" applyFill="1" applyAlignment="1">
      <alignment horizontal="center" wrapText="1"/>
    </xf>
    <xf numFmtId="0" fontId="13" fillId="20" borderId="0" xfId="0" applyFont="1" applyFill="1" applyAlignment="1">
      <alignment horizontal="center" wrapText="1"/>
    </xf>
    <xf numFmtId="14" fontId="44" fillId="10" borderId="0" xfId="0" applyNumberFormat="1" applyFont="1" applyFill="1" applyAlignment="1">
      <alignment horizontal="left"/>
    </xf>
    <xf numFmtId="49" fontId="16" fillId="9" borderId="3" xfId="0" applyNumberFormat="1" applyFont="1" applyFill="1" applyBorder="1"/>
    <xf numFmtId="0" fontId="1" fillId="0" borderId="6" xfId="0" applyFont="1" applyBorder="1"/>
    <xf numFmtId="49" fontId="1" fillId="8" borderId="3" xfId="0" applyNumberFormat="1" applyFont="1" applyFill="1" applyBorder="1"/>
    <xf numFmtId="49" fontId="16" fillId="8" borderId="9" xfId="0" applyNumberFormat="1" applyFont="1" applyFill="1" applyBorder="1" applyAlignment="1">
      <alignment wrapText="1"/>
    </xf>
    <xf numFmtId="0" fontId="1" fillId="0" borderId="2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0" xfId="0"/>
    <xf numFmtId="0" fontId="1" fillId="0" borderId="7" xfId="0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13" xfId="0" applyFont="1" applyBorder="1"/>
    <xf numFmtId="14" fontId="28" fillId="2" borderId="0" xfId="0" applyNumberFormat="1" applyFont="1" applyFill="1" applyAlignment="1">
      <alignment horizontal="center"/>
    </xf>
    <xf numFmtId="49" fontId="11" fillId="6" borderId="3" xfId="0" applyNumberFormat="1" applyFont="1" applyFill="1" applyBorder="1" applyAlignment="1">
      <alignment horizontal="center" vertical="center"/>
    </xf>
    <xf numFmtId="0" fontId="1" fillId="0" borderId="4" xfId="0" applyFont="1" applyBorder="1"/>
    <xf numFmtId="49" fontId="4" fillId="2" borderId="0" xfId="0" applyNumberFormat="1" applyFont="1" applyFill="1" applyAlignment="1">
      <alignment horizontal="center" vertical="center" wrapText="1"/>
    </xf>
    <xf numFmtId="4" fontId="1" fillId="5" borderId="0" xfId="0" applyNumberFormat="1" applyFont="1" applyFill="1" applyAlignment="1">
      <alignment horizontal="center"/>
    </xf>
    <xf numFmtId="14" fontId="17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49" fontId="31" fillId="6" borderId="3" xfId="0" applyNumberFormat="1" applyFont="1" applyFill="1" applyBorder="1" applyAlignment="1">
      <alignment horizontal="center"/>
    </xf>
    <xf numFmtId="49" fontId="14" fillId="2" borderId="0" xfId="0" applyNumberFormat="1" applyFont="1" applyFill="1" applyAlignment="1">
      <alignment wrapText="1"/>
    </xf>
    <xf numFmtId="49" fontId="18" fillId="6" borderId="3" xfId="0" applyNumberFormat="1" applyFont="1" applyFill="1" applyBorder="1" applyAlignment="1">
      <alignment horizontal="right"/>
    </xf>
    <xf numFmtId="4" fontId="13" fillId="0" borderId="0" xfId="0" applyNumberFormat="1" applyFont="1" applyAlignment="1">
      <alignment horizontal="left"/>
    </xf>
    <xf numFmtId="49" fontId="12" fillId="2" borderId="0" xfId="0" applyNumberFormat="1" applyFont="1" applyFill="1" applyAlignment="1">
      <alignment horizontal="left"/>
    </xf>
    <xf numFmtId="49" fontId="36" fillId="6" borderId="3" xfId="0" applyNumberFormat="1" applyFont="1" applyFill="1" applyBorder="1" applyAlignment="1">
      <alignment horizontal="right"/>
    </xf>
    <xf numFmtId="49" fontId="11" fillId="6" borderId="4" xfId="0" applyNumberFormat="1" applyFont="1" applyFill="1" applyBorder="1" applyAlignment="1">
      <alignment horizontal="center"/>
    </xf>
    <xf numFmtId="49" fontId="37" fillId="11" borderId="4" xfId="0" applyNumberFormat="1" applyFont="1" applyFill="1" applyBorder="1"/>
    <xf numFmtId="49" fontId="16" fillId="0" borderId="8" xfId="0" applyNumberFormat="1" applyFont="1" applyBorder="1" applyAlignment="1">
      <alignment horizontal="left" vertical="top" wrapText="1"/>
    </xf>
    <xf numFmtId="49" fontId="14" fillId="2" borderId="0" xfId="0" applyNumberFormat="1" applyFont="1" applyFill="1"/>
    <xf numFmtId="14" fontId="35" fillId="19" borderId="0" xfId="0" applyNumberFormat="1" applyFont="1" applyFill="1" applyAlignment="1">
      <alignment horizontal="center" wrapText="1"/>
    </xf>
    <xf numFmtId="0" fontId="35" fillId="19" borderId="0" xfId="0" applyFont="1" applyFill="1" applyAlignment="1">
      <alignment horizontal="center" wrapText="1"/>
    </xf>
    <xf numFmtId="14" fontId="35" fillId="10" borderId="0" xfId="0" applyNumberFormat="1" applyFont="1" applyFill="1" applyAlignment="1">
      <alignment horizontal="center" wrapText="1"/>
    </xf>
    <xf numFmtId="0" fontId="35" fillId="10" borderId="0" xfId="0" applyFont="1" applyFill="1" applyAlignment="1">
      <alignment horizontal="center" wrapText="1"/>
    </xf>
    <xf numFmtId="49" fontId="1" fillId="0" borderId="13" xfId="0" applyNumberFormat="1" applyFont="1" applyBorder="1" applyAlignment="1">
      <alignment horizontal="center" vertical="top"/>
    </xf>
  </cellXfs>
  <cellStyles count="1">
    <cellStyle name="Normal" xfId="0" builtinId="0"/>
  </cellStyles>
  <dxfs count="43">
    <dxf>
      <font>
        <b/>
      </font>
      <fill>
        <patternFill patternType="solid">
          <fgColor rgb="FFF9CB9C"/>
          <bgColor rgb="FFF9CB9C"/>
        </patternFill>
      </fill>
    </dxf>
    <dxf>
      <font>
        <b/>
        <color rgb="FFFFFFFF"/>
      </font>
      <fill>
        <patternFill patternType="solid">
          <fgColor rgb="FFFF9900"/>
          <bgColor rgb="FFFF9900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color rgb="FF0B5394"/>
      </font>
      <fill>
        <patternFill patternType="solid">
          <fgColor rgb="FF0B5394"/>
          <bgColor rgb="FF0B5394"/>
        </patternFill>
      </fill>
    </dxf>
    <dxf>
      <font>
        <color rgb="FF0B5394"/>
      </font>
      <fill>
        <patternFill patternType="solid">
          <fgColor rgb="FF0B5394"/>
          <bgColor rgb="FF0B5394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CE8B2"/>
          <bgColor rgb="FFFCE8B2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8E7FC"/>
          <bgColor rgb="FFE8E7F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989EB"/>
          <bgColor rgb="FF8989EB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F8F2EB"/>
          <bgColor rgb="FFF8F2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CCA677"/>
          <bgColor rgb="FFCCA677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8BC34A"/>
          <bgColor rgb="FF8BC34A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10">
    <tableStyle name="Lookup-DiverRoster-style" pivot="0" count="3" xr9:uid="{00000000-0011-0000-FFFF-FFFF00000000}">
      <tableStyleElement type="headerRow" dxfId="42"/>
      <tableStyleElement type="firstRowStripe" dxfId="41"/>
      <tableStyleElement type="secondRowStripe" dxfId="40"/>
    </tableStyle>
    <tableStyle name="Lookup-DiverRoster-style 2" pivot="0" count="3" xr9:uid="{00000000-0011-0000-FFFF-FFFF01000000}">
      <tableStyleElement type="headerRow" dxfId="39"/>
      <tableStyleElement type="firstRowStripe" dxfId="38"/>
      <tableStyleElement type="secondRowStripe" dxfId="37"/>
    </tableStyle>
    <tableStyle name="Lookup-DiverRoster-style 3" pivot="0" count="3" xr9:uid="{00000000-0011-0000-FFFF-FFFF02000000}">
      <tableStyleElement type="headerRow" dxfId="36"/>
      <tableStyleElement type="firstRowStripe" dxfId="35"/>
      <tableStyleElement type="secondRowStripe" dxfId="34"/>
    </tableStyle>
    <tableStyle name="Lookup-Generic-style" pivot="0" count="3" xr9:uid="{00000000-0011-0000-FFFF-FFFF03000000}">
      <tableStyleElement type="headerRow" dxfId="33"/>
      <tableStyleElement type="firstRowStripe" dxfId="32"/>
      <tableStyleElement type="secondRowStripe" dxfId="31"/>
    </tableStyle>
    <tableStyle name="Lookup-Generic-style 2" pivot="0" count="3" xr9:uid="{00000000-0011-0000-FFFF-FFFF04000000}">
      <tableStyleElement type="headerRow" dxfId="30"/>
      <tableStyleElement type="firstRowStripe" dxfId="29"/>
      <tableStyleElement type="secondRowStripe" dxfId="28"/>
    </tableStyle>
    <tableStyle name="Lookup-Generic-style 3" pivot="0" count="3" xr9:uid="{00000000-0011-0000-FFFF-FFFF05000000}">
      <tableStyleElement type="headerRow" dxfId="27"/>
      <tableStyleElement type="firstRowStripe" dxfId="26"/>
      <tableStyleElement type="secondRowStripe" dxfId="25"/>
    </tableStyle>
    <tableStyle name="Lookup-Generic-style 4" pivot="0" count="3" xr9:uid="{00000000-0011-0000-FFFF-FFFF06000000}">
      <tableStyleElement type="headerRow" dxfId="24"/>
      <tableStyleElement type="firstRowStripe" dxfId="23"/>
      <tableStyleElement type="secondRowStripe" dxfId="22"/>
    </tableStyle>
    <tableStyle name="Lookup-Generic-style 5" pivot="0" count="3" xr9:uid="{00000000-0011-0000-FFFF-FFFF07000000}">
      <tableStyleElement type="headerRow" dxfId="21"/>
      <tableStyleElement type="firstRowStripe" dxfId="20"/>
      <tableStyleElement type="secondRowStripe" dxfId="19"/>
    </tableStyle>
    <tableStyle name="Lookup-Generic-style 6" pivot="0" count="3" xr9:uid="{00000000-0011-0000-FFFF-FFFF08000000}">
      <tableStyleElement type="headerRow" dxfId="18"/>
      <tableStyleElement type="firstRowStripe" dxfId="17"/>
      <tableStyleElement type="secondRowStripe" dxfId="16"/>
    </tableStyle>
    <tableStyle name="Lookup-Generic-style 7" pivot="0" count="3" xr9:uid="{00000000-0011-0000-FFFF-FFFF09000000}">
      <tableStyleElement type="headerRow" dxfId="15"/>
      <tableStyleElement type="firstRowStripe" dxfId="14"/>
      <tableStyleElement type="second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I2401">
  <tableColumns count="9">
    <tableColumn id="1" xr3:uid="{00000000-0010-0000-0000-000001000000}" name="!2024_x000a_ DiverTeam: _x000a_2204 Entries"/>
    <tableColumn id="2" xr3:uid="{00000000-0010-0000-0000-000002000000}" name="!2024_x000a_ DiverName: _x000a_2204 Entries"/>
    <tableColumn id="3" xr3:uid="{00000000-0010-0000-0000-000003000000}" name="!2024_x000a_ DiverAgeOn61: _x000a_2203 Entries"/>
    <tableColumn id="4" xr3:uid="{00000000-0010-0000-0000-000004000000}" name="!2024_x000a_ DiverGender: _x000a_2203 Entries_x000a_G:1267 B:936"/>
    <tableColumn id="5" xr3:uid="{00000000-0010-0000-0000-000005000000}" name="!Calculated DiverEvent_x000a_F:1103 J:525 I:312 S:263"/>
    <tableColumn id="6" xr3:uid="{00000000-0010-0000-0000-000006000000}" name="Calculated DiveUpEvent"/>
    <tableColumn id="7" xr3:uid="{00000000-0010-0000-0000-000007000000}" name="Division Lookup"/>
    <tableColumn id="8" xr3:uid="{00000000-0010-0000-0000-000008000000}" name="Club Lookup"/>
    <tableColumn id="9" xr3:uid="{00000000-0010-0000-0000-000009000000}" name="Event Sort Order"/>
  </tableColumns>
  <tableStyleInfo name="Lookup-DiverRoster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J2:P2401" headerRowCount="0">
  <tableColumns count="7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  <tableColumn id="5" xr3:uid="{00000000-0010-0000-0100-000005000000}" name="Column5"/>
    <tableColumn id="6" xr3:uid="{00000000-0010-0000-0100-000006000000}" name="Column6"/>
    <tableColumn id="7" xr3:uid="{00000000-0010-0000-0100-000007000000}" name="Column7"/>
  </tableColumns>
  <tableStyleInfo name="Lookup-DiverRoster-style 2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Q2:T2401">
  <tableColumns count="4">
    <tableColumn id="1" xr3:uid="{00000000-0010-0000-0200-000001000000}" name="1. Official NVSL Roster for 12 &amp; Under Girls_x000a_ (951 divers)"/>
    <tableColumn id="2" xr3:uid="{00000000-0010-0000-0200-000002000000}" name="2. Official NVSL Roster for 12 &amp; Under Boys_x000a_ (677 divers)"/>
    <tableColumn id="3" xr3:uid="{00000000-0010-0000-0200-000003000000}" name="3. Official NVSL Roster for 13 &amp; Over Girls_x000a_ (1267 divers)"/>
    <tableColumn id="4" xr3:uid="{00000000-0010-0000-0200-000004000000}" name="4. Official NVSL Roster for 13 &amp; Over Boys_x000a_ (936 divers)"/>
  </tableColumns>
  <tableStyleInfo name="Lookup-DiverRoster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3:D500">
  <tableColumns count="4">
    <tableColumn id="1" xr3:uid="{00000000-0010-0000-0300-000001000000}" name="Division"/>
    <tableColumn id="2" xr3:uid="{00000000-0010-0000-0300-000002000000}" name="EventCode"/>
    <tableColumn id="3" xr3:uid="{00000000-0010-0000-0300-000003000000}" name="EventName"/>
    <tableColumn id="4" xr3:uid="{00000000-0010-0000-0300-000004000000}" name="ScoreRandomizer"/>
  </tableColumns>
  <tableStyleInfo name="Lookup-Generic-style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E3:F500">
  <tableColumns count="2">
    <tableColumn id="1" xr3:uid="{00000000-0010-0000-0400-000001000000}" name="PlaceLookup"/>
    <tableColumn id="2" xr3:uid="{00000000-0010-0000-0400-000002000000}" name="PointsAwarded"/>
  </tableColumns>
  <tableStyleInfo name="Lookup-Generic-style 2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G3:H500">
  <tableColumns count="2">
    <tableColumn id="1" xr3:uid="{00000000-0010-0000-0500-000001000000}" name="EventAge"/>
    <tableColumn id="2" xr3:uid="{00000000-0010-0000-0500-000002000000}" name="Event"/>
  </tableColumns>
  <tableStyleInfo name="Lookup-Generic-style 3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7" displayName="Table_7" ref="I3:J500">
  <tableColumns count="2">
    <tableColumn id="1" xr3:uid="{00000000-0010-0000-0600-000001000000}" name="Current EventLevel"/>
    <tableColumn id="2" xr3:uid="{00000000-0010-0000-0600-000002000000}" name="Allowed EventLevel"/>
  </tableColumns>
  <tableStyleInfo name="Lookup-Generic-style 4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8" displayName="Table_8" ref="K3:L500">
  <tableColumns count="2">
    <tableColumn id="1" xr3:uid="{00000000-0010-0000-0700-000001000000}" name="2024 Dual Meet Dates"/>
    <tableColumn id="2" xr3:uid="{00000000-0010-0000-0700-000002000000}" name="Report Status"/>
  </tableColumns>
  <tableStyleInfo name="Lookup-Generic-style 5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9" displayName="Table_9" ref="M3:N500">
  <tableColumns count="2">
    <tableColumn id="1" xr3:uid="{00000000-0010-0000-0800-000001000000}" name="CJ Event Level"/>
    <tableColumn id="2" xr3:uid="{00000000-0010-0000-0800-000002000000}" name="CJ Max Score"/>
  </tableColumns>
  <tableStyleInfo name="Lookup-Generic-style 6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_10" displayName="Table_10" ref="O3:P500">
  <tableColumns count="2">
    <tableColumn id="1" xr3:uid="{00000000-0010-0000-0900-000001000000}" name="Key Config Info"/>
    <tableColumn id="2" xr3:uid="{00000000-0010-0000-0900-000002000000}" name="File LInk"/>
  </tableColumns>
  <tableStyleInfo name="Lookup-Generic-style 7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spreadsheets/d/1W3zI5cqcDhVkWiodNRp7NBin5OpjC7krawyYM8YvCz4/edit?usp=drive_link" TargetMode="External"/><Relationship Id="rId13" Type="http://schemas.openxmlformats.org/officeDocument/2006/relationships/table" Target="../tables/table7.xml"/><Relationship Id="rId3" Type="http://schemas.openxmlformats.org/officeDocument/2006/relationships/hyperlink" Target="https://docs.google.com/spreadsheets/d/1nWRr0iPvCqjOZZfQ0W_dsVOnIVQGWExi8c0GPs3bs7o" TargetMode="External"/><Relationship Id="rId7" Type="http://schemas.openxmlformats.org/officeDocument/2006/relationships/hyperlink" Target="http://dive.mynvsl.com/contacts/team-reps" TargetMode="External"/><Relationship Id="rId12" Type="http://schemas.openxmlformats.org/officeDocument/2006/relationships/table" Target="../tables/table6.xml"/><Relationship Id="rId2" Type="http://schemas.openxmlformats.org/officeDocument/2006/relationships/hyperlink" Target="https://docs.google.com/spreadsheets/d/1Ho0Oa3KecgLH3GVPRCCVMrWJe9d7ha83ba9I5dF8qmg" TargetMode="External"/><Relationship Id="rId16" Type="http://schemas.openxmlformats.org/officeDocument/2006/relationships/table" Target="../tables/table10.xml"/><Relationship Id="rId1" Type="http://schemas.openxmlformats.org/officeDocument/2006/relationships/hyperlink" Target="https://docs.google.com/spreadsheets/d/1WvY6S-oVsh4YAeW15chzvtmxCXSLB7_I7Z-EgHKRi9c/edit?usp=drive_link" TargetMode="External"/><Relationship Id="rId6" Type="http://schemas.openxmlformats.org/officeDocument/2006/relationships/hyperlink" Target="https://dive.mynvsl.com/documents?folder_id=26941" TargetMode="External"/><Relationship Id="rId11" Type="http://schemas.openxmlformats.org/officeDocument/2006/relationships/table" Target="../tables/table5.xml"/><Relationship Id="rId5" Type="http://schemas.openxmlformats.org/officeDocument/2006/relationships/hyperlink" Target="https://docs.google.com/document/d/1x9nXuXcDRG-KBHcaYIxv7seoRzwlefo0-zRuE9Zvp5s/edit?usp=sharing" TargetMode="External"/><Relationship Id="rId15" Type="http://schemas.openxmlformats.org/officeDocument/2006/relationships/table" Target="../tables/table9.xml"/><Relationship Id="rId10" Type="http://schemas.openxmlformats.org/officeDocument/2006/relationships/table" Target="../tables/table4.xml"/><Relationship Id="rId4" Type="http://schemas.openxmlformats.org/officeDocument/2006/relationships/hyperlink" Target="https://docs.google.com/spreadsheets/d/1WvY6S-oVsh4YAeW15chzvtmxCXSLB7_I7Z-EgHKRi9c" TargetMode="External"/><Relationship Id="rId9" Type="http://schemas.openxmlformats.org/officeDocument/2006/relationships/hyperlink" Target="https://docs.google.com/spreadsheets/d/1H8gkPudX0LzTFYEmo8IVf65KWTHtBa41j4FC6jc-6j0/edit?usp=drive_link" TargetMode="External"/><Relationship Id="rId1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D85C6"/>
    <outlinePr summaryBelow="0" summaryRight="0"/>
    <pageSetUpPr fitToPage="1"/>
  </sheetPr>
  <dimension ref="A1:V383"/>
  <sheetViews>
    <sheetView workbookViewId="0">
      <pane ySplit="7" topLeftCell="A8" activePane="bottomLeft" state="frozen"/>
      <selection pane="bottomLeft" activeCell="B9" sqref="B9"/>
    </sheetView>
  </sheetViews>
  <sheetFormatPr defaultColWidth="12.6640625" defaultRowHeight="15.75" customHeight="1"/>
  <cols>
    <col min="1" max="1" width="3" customWidth="1"/>
    <col min="2" max="2" width="3.77734375" customWidth="1"/>
    <col min="3" max="3" width="19.44140625" customWidth="1"/>
    <col min="4" max="4" width="15.44140625" customWidth="1"/>
    <col min="5" max="5" width="19.44140625" customWidth="1"/>
    <col min="6" max="6" width="15.44140625" customWidth="1"/>
    <col min="7" max="7" width="7.88671875" customWidth="1"/>
    <col min="8" max="9" width="11.109375" customWidth="1"/>
    <col min="10" max="10" width="2.77734375" hidden="1" customWidth="1"/>
    <col min="11" max="15" width="8" hidden="1" customWidth="1"/>
    <col min="16" max="16" width="10.33203125" hidden="1" customWidth="1"/>
    <col min="17" max="21" width="9.109375" hidden="1" customWidth="1"/>
    <col min="22" max="22" width="10.6640625" hidden="1" customWidth="1"/>
  </cols>
  <sheetData>
    <row r="1" spans="1:22" ht="15.75" customHeight="1">
      <c r="A1" s="1">
        <f>'Lookup-DiverRoster'!$T:$T</f>
        <v>0</v>
      </c>
      <c r="B1" s="2"/>
      <c r="C1" s="3">
        <v>45480</v>
      </c>
      <c r="D1" s="202" t="str">
        <f>"NVSL WALLY MARTIN 
SYNCHRO PARTICIPANTS FOR " &amp; TEXT( C1, "MM/DD/YYYY" )</f>
        <v>NVSL WALLY MARTIN 
SYNCHRO PARTICIPANTS FOR 07/07/2024</v>
      </c>
      <c r="E1" s="194"/>
      <c r="F1" s="194"/>
      <c r="G1" s="194"/>
      <c r="H1" s="194"/>
      <c r="I1" s="194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>
      <c r="A2" s="1"/>
      <c r="B2" s="2"/>
      <c r="C2" s="6" t="s">
        <v>0</v>
      </c>
      <c r="D2" s="7" t="s">
        <v>1</v>
      </c>
      <c r="E2" s="8" t="s">
        <v>2</v>
      </c>
      <c r="F2" s="8"/>
      <c r="G2" s="9" t="s">
        <v>3</v>
      </c>
      <c r="H2" s="10" t="str">
        <f ca="1">IF(SUM(H3:H7)&gt;0,"D1 Msgs","")</f>
        <v>D1 Msgs</v>
      </c>
      <c r="I2" s="10" t="str">
        <f ca="1">IF(SUM(I3:I7)&gt;0,"D2 Msgs","")</f>
        <v>D2 Msgs</v>
      </c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>
      <c r="A3" s="11" t="s">
        <v>4</v>
      </c>
      <c r="B3" s="2"/>
      <c r="C3" s="12" t="s">
        <v>5</v>
      </c>
      <c r="D3" s="13">
        <f t="shared" ref="D3:D6" ca="1" si="0">COUNTIF(INDIRECT("$c$"&amp;VALUE(($A3-1)*100+13)&amp;":"&amp;"$c$"&amp;VALUE(($A3-1)*100+62)),"&gt;''")</f>
        <v>26</v>
      </c>
      <c r="E3" s="14" t="str">
        <f t="shared" ref="E3:E6" ca="1" si="1">INDIRECT("D"&amp;VALUE((A3-1)*100+65))</f>
        <v>01-Awaiting Scores</v>
      </c>
      <c r="F3" s="10"/>
      <c r="G3" s="9" t="str">
        <f t="shared" ref="G3:G6" ca="1" si="2">IF(INDIRECT("$c$"&amp;VALUE(($A3-1)*100+80))="","","YES")</f>
        <v/>
      </c>
      <c r="H3" s="10">
        <f t="shared" ref="H3:H6" ca="1" si="3">COUNTIF(INDIRECT("$h$"&amp;VALUE(($A3-1)*100+13)&amp;":"&amp;"$h$"&amp;VALUE(($A3-1)*100+62)),"&gt;''")</f>
        <v>0</v>
      </c>
      <c r="I3" s="10">
        <f t="shared" ref="I3:I6" ca="1" si="4">COUNTIF(INDIRECT("$i$"&amp;VALUE(($A3-1)*100+13)&amp;":"&amp;"$i$"&amp;VALUE(($A3-1)*100+62)),"&gt;''")</f>
        <v>0</v>
      </c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>
      <c r="A4" s="11" t="s">
        <v>6</v>
      </c>
      <c r="B4" s="2"/>
      <c r="C4" s="12" t="s">
        <v>7</v>
      </c>
      <c r="D4" s="13">
        <f t="shared" ca="1" si="0"/>
        <v>15</v>
      </c>
      <c r="E4" s="14" t="str">
        <f t="shared" ca="1" si="1"/>
        <v>01-Awaiting Scores</v>
      </c>
      <c r="F4" s="10"/>
      <c r="G4" s="9" t="str">
        <f t="shared" ca="1" si="2"/>
        <v/>
      </c>
      <c r="H4" s="10">
        <f t="shared" ca="1" si="3"/>
        <v>0</v>
      </c>
      <c r="I4" s="10">
        <f t="shared" ca="1" si="4"/>
        <v>0</v>
      </c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>
      <c r="A5" s="11" t="s">
        <v>8</v>
      </c>
      <c r="B5" s="2"/>
      <c r="C5" s="12" t="s">
        <v>9</v>
      </c>
      <c r="D5" s="13">
        <f t="shared" ca="1" si="0"/>
        <v>23</v>
      </c>
      <c r="E5" s="14" t="str">
        <f t="shared" ca="1" si="1"/>
        <v>01-Awaiting Scores</v>
      </c>
      <c r="F5" s="10"/>
      <c r="G5" s="9" t="str">
        <f t="shared" ca="1" si="2"/>
        <v/>
      </c>
      <c r="H5" s="10">
        <f t="shared" ca="1" si="3"/>
        <v>1</v>
      </c>
      <c r="I5" s="10">
        <f t="shared" ca="1" si="4"/>
        <v>3</v>
      </c>
      <c r="J5" s="4"/>
      <c r="K5" s="203" t="s">
        <v>10</v>
      </c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</row>
    <row r="6" spans="1:22">
      <c r="A6" s="11" t="s">
        <v>11</v>
      </c>
      <c r="B6" s="2"/>
      <c r="C6" s="12" t="s">
        <v>12</v>
      </c>
      <c r="D6" s="13">
        <f t="shared" ca="1" si="0"/>
        <v>19</v>
      </c>
      <c r="E6" s="14" t="str">
        <f t="shared" ca="1" si="1"/>
        <v>01-Awaiting Scores</v>
      </c>
      <c r="F6" s="10"/>
      <c r="G6" s="9" t="str">
        <f t="shared" ca="1" si="2"/>
        <v/>
      </c>
      <c r="H6" s="10">
        <f t="shared" ca="1" si="3"/>
        <v>3</v>
      </c>
      <c r="I6" s="10">
        <f t="shared" ca="1" si="4"/>
        <v>1</v>
      </c>
      <c r="J6" s="4"/>
      <c r="K6" s="203" t="s">
        <v>13</v>
      </c>
      <c r="L6" s="194"/>
      <c r="M6" s="194"/>
      <c r="N6" s="194"/>
      <c r="O6" s="194"/>
      <c r="P6" s="194"/>
      <c r="Q6" s="203" t="s">
        <v>14</v>
      </c>
      <c r="R6" s="194"/>
      <c r="S6" s="194"/>
      <c r="T6" s="194"/>
      <c r="U6" s="194"/>
      <c r="V6" s="194"/>
    </row>
    <row r="7" spans="1:22">
      <c r="A7" s="11" t="s">
        <v>15</v>
      </c>
      <c r="B7" s="10"/>
      <c r="C7" s="15" t="s">
        <v>16</v>
      </c>
      <c r="D7" s="16">
        <f ca="1">SUM(D3:D6)</f>
        <v>83</v>
      </c>
      <c r="E7" s="10"/>
      <c r="F7" s="10"/>
      <c r="G7" s="17"/>
      <c r="H7" s="10"/>
      <c r="I7" s="10"/>
      <c r="J7" s="4"/>
      <c r="K7" s="18" t="s">
        <v>17</v>
      </c>
      <c r="L7" s="18" t="s">
        <v>18</v>
      </c>
      <c r="M7" s="18" t="s">
        <v>19</v>
      </c>
      <c r="N7" s="18" t="s">
        <v>20</v>
      </c>
      <c r="O7" s="18" t="s">
        <v>21</v>
      </c>
      <c r="P7" s="18" t="s">
        <v>22</v>
      </c>
      <c r="Q7" s="18" t="s">
        <v>23</v>
      </c>
      <c r="R7" s="18" t="s">
        <v>24</v>
      </c>
      <c r="S7" s="18" t="s">
        <v>25</v>
      </c>
      <c r="T7" s="18" t="s">
        <v>26</v>
      </c>
      <c r="U7" s="18" t="s">
        <v>27</v>
      </c>
      <c r="V7" s="18" t="s">
        <v>28</v>
      </c>
    </row>
    <row r="8" spans="1:22">
      <c r="A8" s="19" t="str">
        <f>LEFT($D11,2)&amp;"g"</f>
        <v>12g</v>
      </c>
      <c r="B8" s="20"/>
      <c r="C8" s="14" t="str">
        <f>"Age Group: " &amp; D11</f>
        <v>Age Group: 12 &amp; Under Girls</v>
      </c>
      <c r="D8" s="21"/>
      <c r="E8" s="20"/>
      <c r="F8" s="22"/>
      <c r="G8" s="23" t="s">
        <v>29</v>
      </c>
      <c r="H8" s="204">
        <f>C$1</f>
        <v>45480</v>
      </c>
      <c r="I8" s="194"/>
      <c r="J8" s="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ht="15.75" customHeight="1">
      <c r="A9" s="1"/>
      <c r="B9" s="20"/>
      <c r="C9" s="25" t="s">
        <v>30</v>
      </c>
      <c r="D9" s="2"/>
      <c r="E9" s="22"/>
      <c r="F9" s="22"/>
      <c r="G9" s="26"/>
      <c r="H9" s="22"/>
      <c r="I9" s="22"/>
      <c r="J9" s="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ht="15.75" customHeight="1">
      <c r="A10" s="1"/>
      <c r="B10" s="20"/>
      <c r="C10" s="25" t="s">
        <v>31</v>
      </c>
      <c r="D10" s="2"/>
      <c r="E10" s="22"/>
      <c r="F10" s="22"/>
      <c r="G10" s="26"/>
      <c r="H10" s="22"/>
      <c r="I10" s="22"/>
      <c r="J10" s="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>
      <c r="A11" s="1"/>
      <c r="B11" s="27"/>
      <c r="C11" s="28" t="s">
        <v>32</v>
      </c>
      <c r="D11" s="200" t="s">
        <v>5</v>
      </c>
      <c r="E11" s="201"/>
      <c r="F11" s="201"/>
      <c r="G11" s="201"/>
      <c r="H11" s="27"/>
      <c r="I11" s="27"/>
      <c r="J11" s="4"/>
      <c r="K11" s="18" t="str">
        <f ca="1">IFERROR(__xludf.DUMMYFUNCTION("ARRAYFORMULA( IF( (   (NOT(ISNUMBER( $A11:$A383 )))+($C11:$C383="""")   ), """", SPLIT( VLOOKUP( $C11:$C383, {'Lookup-DiverRoster'!$B:$B
,  'Lookup-DiverRoster'!$B:$B 
&amp; ""|"" &amp; 'Lookup-DiverRoster'!$A:$A
&amp; ""|"" &amp; 'Lookup-DiverRoster'!$D:$D &amp; 'Lookup-Div"&amp;"erRoster'!$C:$C
&amp; ""|"" &amp; 'Lookup-DiverRoster'!$J:$J
}, 2, 0), ""|"", true)))"),"")</f>
        <v/>
      </c>
      <c r="L11" s="18" t="str">
        <f ca="1">IFERROR(__xludf.DUMMYFUNCTION("""COMPUTED_VALUE"""),"")</f>
        <v/>
      </c>
      <c r="M11" s="18" t="str">
        <f ca="1">IFERROR(__xludf.DUMMYFUNCTION("""COMPUTED_VALUE"""),"")</f>
        <v/>
      </c>
      <c r="N11" s="18" t="str">
        <f ca="1">IFERROR(__xludf.DUMMYFUNCTION("""COMPUTED_VALUE"""),"")</f>
        <v/>
      </c>
      <c r="O11" s="18"/>
      <c r="P11" s="18"/>
      <c r="Q11" s="18" t="str">
        <f ca="1">IFERROR(__xludf.DUMMYFUNCTION("ARRAYFORMULA( IF( (   (NOT(ISNUMBER( $A11:$A383 )))+($E11:$E383="""")   ), """", SPLIT( VLOOKUP( $E11:$E383, {'Lookup-DiverRoster'!$B:$B
,  'Lookup-DiverRoster'!$B:$B 
&amp; ""|"" &amp; 'Lookup-DiverRoster'!$A:$A
&amp; ""|"" &amp; 'Lookup-DiverRoster'!$D:$D &amp; 'Lookup-Div"&amp;"erRoster'!$C:$C
&amp; ""|"" &amp; 'Lookup-DiverRoster'!$J:$J
}, 2, 0), ""|"", true)))"),"")</f>
        <v/>
      </c>
      <c r="R11" s="18" t="str">
        <f ca="1">IFERROR(__xludf.DUMMYFUNCTION("""COMPUTED_VALUE"""),"")</f>
        <v/>
      </c>
      <c r="S11" s="29" t="str">
        <f ca="1">IFERROR(__xludf.DUMMYFUNCTION("""COMPUTED_VALUE"""),"")</f>
        <v/>
      </c>
      <c r="T11" s="29" t="str">
        <f ca="1">IFERROR(__xludf.DUMMYFUNCTION("""COMPUTED_VALUE"""),"")</f>
        <v/>
      </c>
      <c r="U11" s="29"/>
      <c r="V11" s="29"/>
    </row>
    <row r="12" spans="1:22">
      <c r="A12" s="1"/>
      <c r="B12" s="30"/>
      <c r="C12" s="31" t="s">
        <v>33</v>
      </c>
      <c r="D12" s="32" t="s">
        <v>34</v>
      </c>
      <c r="E12" s="31" t="s">
        <v>35</v>
      </c>
      <c r="F12" s="32" t="s">
        <v>36</v>
      </c>
      <c r="G12" s="33" t="s">
        <v>37</v>
      </c>
      <c r="H12" s="34" t="s">
        <v>268</v>
      </c>
      <c r="I12" s="34" t="s">
        <v>269</v>
      </c>
      <c r="J12" s="4"/>
      <c r="K12" s="24" t="str">
        <f ca="1">IFERROR(__xludf.DUMMYFUNCTION("""COMPUTED_VALUE"""),"")</f>
        <v/>
      </c>
      <c r="L12" s="24" t="str">
        <f ca="1">IFERROR(__xludf.DUMMYFUNCTION("""COMPUTED_VALUE"""),"")</f>
        <v/>
      </c>
      <c r="M12" s="24" t="str">
        <f ca="1">IFERROR(__xludf.DUMMYFUNCTION("""COMPUTED_VALUE"""),"")</f>
        <v/>
      </c>
      <c r="N12" s="24" t="str">
        <f ca="1">IFERROR(__xludf.DUMMYFUNCTION("""COMPUTED_VALUE"""),"")</f>
        <v/>
      </c>
      <c r="O12" s="24" t="s">
        <v>38</v>
      </c>
      <c r="P12" s="24"/>
      <c r="Q12" s="24" t="str">
        <f ca="1">IFERROR(__xludf.DUMMYFUNCTION("""COMPUTED_VALUE"""),"")</f>
        <v/>
      </c>
      <c r="R12" s="24" t="str">
        <f ca="1">IFERROR(__xludf.DUMMYFUNCTION("""COMPUTED_VALUE"""),"")</f>
        <v/>
      </c>
      <c r="S12" s="24" t="str">
        <f ca="1">IFERROR(__xludf.DUMMYFUNCTION("""COMPUTED_VALUE"""),"")</f>
        <v/>
      </c>
      <c r="T12" s="24" t="str">
        <f ca="1">IFERROR(__xludf.DUMMYFUNCTION("""COMPUTED_VALUE"""),"")</f>
        <v/>
      </c>
      <c r="U12" s="24" t="s">
        <v>38</v>
      </c>
      <c r="V12" s="24"/>
    </row>
    <row r="13" spans="1:22" ht="15.75" customHeight="1">
      <c r="A13" s="1" t="e">
        <f t="array" aca="1" ref="A13:A62" ca="1">_xludf.SEQUENCE( 50 )</f>
        <v>#NAME?</v>
      </c>
      <c r="B13" s="35">
        <v>143</v>
      </c>
      <c r="C13" s="36" t="s">
        <v>39</v>
      </c>
      <c r="D13" s="37" t="s">
        <v>40</v>
      </c>
      <c r="E13" s="38" t="s">
        <v>41</v>
      </c>
      <c r="F13" s="37" t="s">
        <v>40</v>
      </c>
      <c r="G13" s="39">
        <v>37.619999999999997</v>
      </c>
      <c r="H13" s="40" t="s">
        <v>38</v>
      </c>
      <c r="I13" s="40" t="s">
        <v>38</v>
      </c>
      <c r="J13" s="4"/>
      <c r="K13" s="41" t="str">
        <f ca="1">IFERROR(__xludf.DUMMYFUNCTION("""COMPUTED_VALUE"""),"Ingrid Lander")</f>
        <v>Ingrid Lander</v>
      </c>
      <c r="L13" s="5" t="str">
        <f ca="1">IFERROR(__xludf.DUMMYFUNCTION("""COMPUTED_VALUE"""),"G")</f>
        <v>G</v>
      </c>
      <c r="M13" s="5" t="str">
        <f ca="1">IFERROR(__xludf.DUMMYFUNCTION("""COMPUTED_VALUE"""),"G8")</f>
        <v>G8</v>
      </c>
      <c r="N13" s="5">
        <f ca="1">IFERROR(__xludf.DUMMYFUNCTION("""COMPUTED_VALUE"""),5)</f>
        <v>5</v>
      </c>
      <c r="O13" s="5"/>
      <c r="P13" s="41" t="str">
        <f ca="1">IFERROR(__xludf.DUMMYFUNCTION("ARRAYFORMULA( IF(  (   NOT( ISNUMBER( VALUE($A13:$A62)) )+(   ( $C13:$C62="""" )*( $E13:$E62="""" )   )   ), """", 
 IF( ISNA( K13:K62 ), ""Diver-NF"", 
 IF( ($K13:$K62 = """") * ($Q13:$Q62 &lt;&gt; """"), ""Diver-NF"", 
 IF( (   ( ISNA( L13:L62 ))+( D13:D62 &lt;&gt;"&amp;" L13:L62 )   ), ""Club-""&amp;L13:L62,
 IF( VLOOKUP( K13:K62&amp;L13:L62, QUERY( { $C:$C&amp;$D:$D; $E:$E&amp;$F:$F }, ""SELECT Col1, COUNT(Col1) GROUP BY Col1 LABEL COUNT(Col1) ''""),2,0 ) &gt; 1, ""Duplicate"",
 IF( UPPER( LEFT( M13:M62,1))&lt;&gt; UPPER( RIGHT( $A8, 1)),""Gend"&amp;"er"",
 IF( VALUE( MID( M13:M62,2,2)) &gt; VALUE( TRIM( LEFT( $D11,2))),""Age-"" &amp; MID( M13:M62,2,2),""""))))
))))"),"")</f>
        <v/>
      </c>
      <c r="Q13" s="41" t="str">
        <f ca="1">IFERROR(__xludf.DUMMYFUNCTION("""COMPUTED_VALUE"""),"Lacey Niedzialek")</f>
        <v>Lacey Niedzialek</v>
      </c>
      <c r="R13" s="5" t="str">
        <f ca="1">IFERROR(__xludf.DUMMYFUNCTION("""COMPUTED_VALUE"""),"G")</f>
        <v>G</v>
      </c>
      <c r="S13" s="5" t="str">
        <f ca="1">IFERROR(__xludf.DUMMYFUNCTION("""COMPUTED_VALUE"""),"G8")</f>
        <v>G8</v>
      </c>
      <c r="T13" s="5">
        <f ca="1">IFERROR(__xludf.DUMMYFUNCTION("""COMPUTED_VALUE"""),1)</f>
        <v>1</v>
      </c>
      <c r="U13" s="5">
        <f t="array" aca="1" ref="U13:U62" ca="1">IF($E13:$E62="","", VLOOKUP(VLOOKUP(VALUE(MID(S13:S62,2,2)),'Lookup-Generic'!$G:$H,2,0)&amp;LEFT(S13:S62,1),'Lookup-Generic'!$M:$N,2,0))</f>
        <v>67</v>
      </c>
      <c r="V13" s="5" t="str">
        <f ca="1">IFERROR(__xludf.DUMMYFUNCTION("ARRAYFORMULA( IF(  (   NOT( ISNUMBER( VALUE($A13:$A62)) )+(   ( $C13:$C62="""" )*( $E13:$E62="""" )   )   ), """",  
 IF( ISNA( Q13:Q62 ), ""Diver-NF"", 
 IF( ($K13:$K62 &lt;&gt; """") * ($Q13:$Q62 = """"), ""Diver-NF"", 
 IF( (   ( ISNA( R13:R62 ))+( F13:F62 &lt;"&amp;"&gt; R13:R62 )   ), ""Club-""&amp;R13:R62,
 IF( VLOOKUP( Q13:Q62&amp;R13:R62, QUERY( { $C:$C&amp;$D:$D; $E:$E&amp;$F:$F }, ""SELECT Col1, COUNT(Col1) GROUP BY Col1 LABEL COUNT(Col1) ''""),2,0 ) &gt; 1, ""Duplicate"",
 IF( UPPER( LEFT( S13:S62,1))&lt;&gt; UPPER( RIGHT( $A8, 1)),""Gen"&amp;"der"",
 IF( VALUE( MID( S13:S62,2,2)) &gt; VALUE( TRIM( LEFT( $D11,2))),""Age-"" &amp; MID( S13:S62,2,2),""""))))
))))"),"")</f>
        <v/>
      </c>
    </row>
    <row r="14" spans="1:22" ht="15.75" customHeight="1">
      <c r="A14" s="1" t="e">
        <f ca="1"/>
        <v>#NAME?</v>
      </c>
      <c r="B14" s="30">
        <v>385</v>
      </c>
      <c r="C14" s="36" t="s">
        <v>42</v>
      </c>
      <c r="D14" s="37" t="s">
        <v>43</v>
      </c>
      <c r="E14" s="38" t="s">
        <v>44</v>
      </c>
      <c r="F14" s="37" t="s">
        <v>43</v>
      </c>
      <c r="G14" s="39">
        <v>70.56</v>
      </c>
      <c r="H14" s="40" t="s">
        <v>38</v>
      </c>
      <c r="I14" s="40" t="s">
        <v>38</v>
      </c>
      <c r="J14" s="4"/>
      <c r="K14" s="41" t="str">
        <f ca="1">IFERROR(__xludf.DUMMYFUNCTION("""COMPUTED_VALUE"""),"Quinn Zahler")</f>
        <v>Quinn Zahler</v>
      </c>
      <c r="L14" s="5" t="str">
        <f ca="1">IFERROR(__xludf.DUMMYFUNCTION("""COMPUTED_VALUE"""),"RH")</f>
        <v>RH</v>
      </c>
      <c r="M14" s="5" t="str">
        <f ca="1">IFERROR(__xludf.DUMMYFUNCTION("""COMPUTED_VALUE"""),"G11")</f>
        <v>G11</v>
      </c>
      <c r="N14" s="5">
        <f ca="1">IFERROR(__xludf.DUMMYFUNCTION("""COMPUTED_VALUE"""),4)</f>
        <v>4</v>
      </c>
      <c r="O14" s="5"/>
      <c r="P14" s="41" t="str">
        <f ca="1">IFERROR(__xludf.DUMMYFUNCTION("""COMPUTED_VALUE"""),"")</f>
        <v/>
      </c>
      <c r="Q14" s="41" t="str">
        <f ca="1">IFERROR(__xludf.DUMMYFUNCTION("""COMPUTED_VALUE"""),"Xanthy Kuehne")</f>
        <v>Xanthy Kuehne</v>
      </c>
      <c r="R14" s="5" t="str">
        <f ca="1">IFERROR(__xludf.DUMMYFUNCTION("""COMPUTED_VALUE"""),"RH")</f>
        <v>RH</v>
      </c>
      <c r="S14" s="5" t="str">
        <f ca="1">IFERROR(__xludf.DUMMYFUNCTION("""COMPUTED_VALUE"""),"G11")</f>
        <v>G11</v>
      </c>
      <c r="T14" s="5">
        <f ca="1">IFERROR(__xludf.DUMMYFUNCTION("""COMPUTED_VALUE"""),4)</f>
        <v>4</v>
      </c>
      <c r="U14" s="5">
        <f ca="1"/>
        <v>99</v>
      </c>
      <c r="V14" s="5" t="str">
        <f ca="1">IFERROR(__xludf.DUMMYFUNCTION("""COMPUTED_VALUE"""),"")</f>
        <v/>
      </c>
    </row>
    <row r="15" spans="1:22" ht="15.75" customHeight="1">
      <c r="A15" s="1" t="e">
        <f ca="1"/>
        <v>#NAME?</v>
      </c>
      <c r="B15" s="30">
        <v>470</v>
      </c>
      <c r="C15" s="36" t="s">
        <v>45</v>
      </c>
      <c r="D15" s="37" t="s">
        <v>43</v>
      </c>
      <c r="E15" s="38" t="s">
        <v>46</v>
      </c>
      <c r="F15" s="37" t="s">
        <v>43</v>
      </c>
      <c r="G15" s="42">
        <v>67.650000000000006</v>
      </c>
      <c r="H15" s="40" t="s">
        <v>38</v>
      </c>
      <c r="I15" s="40" t="s">
        <v>38</v>
      </c>
      <c r="J15" s="4"/>
      <c r="K15" s="41" t="str">
        <f ca="1">IFERROR(__xludf.DUMMYFUNCTION("""COMPUTED_VALUE"""),"Lilly Jessup")</f>
        <v>Lilly Jessup</v>
      </c>
      <c r="L15" s="5" t="str">
        <f ca="1">IFERROR(__xludf.DUMMYFUNCTION("""COMPUTED_VALUE"""),"RH")</f>
        <v>RH</v>
      </c>
      <c r="M15" s="5" t="str">
        <f ca="1">IFERROR(__xludf.DUMMYFUNCTION("""COMPUTED_VALUE"""),"G12")</f>
        <v>G12</v>
      </c>
      <c r="N15" s="5">
        <f ca="1">IFERROR(__xludf.DUMMYFUNCTION("""COMPUTED_VALUE"""),4)</f>
        <v>4</v>
      </c>
      <c r="O15" s="5"/>
      <c r="P15" s="41" t="str">
        <f ca="1">IFERROR(__xludf.DUMMYFUNCTION("""COMPUTED_VALUE"""),"")</f>
        <v/>
      </c>
      <c r="Q15" s="41" t="str">
        <f ca="1">IFERROR(__xludf.DUMMYFUNCTION("""COMPUTED_VALUE"""),"Katelyn Thackaberry")</f>
        <v>Katelyn Thackaberry</v>
      </c>
      <c r="R15" s="5" t="str">
        <f ca="1">IFERROR(__xludf.DUMMYFUNCTION("""COMPUTED_VALUE"""),"RH")</f>
        <v>RH</v>
      </c>
      <c r="S15" s="5" t="str">
        <f ca="1">IFERROR(__xludf.DUMMYFUNCTION("""COMPUTED_VALUE"""),"G12")</f>
        <v>G12</v>
      </c>
      <c r="T15" s="5">
        <f ca="1">IFERROR(__xludf.DUMMYFUNCTION("""COMPUTED_VALUE"""),5)</f>
        <v>5</v>
      </c>
      <c r="U15" s="5">
        <f ca="1"/>
        <v>99</v>
      </c>
      <c r="V15" s="5" t="str">
        <f ca="1">IFERROR(__xludf.DUMMYFUNCTION("""COMPUTED_VALUE"""),"")</f>
        <v/>
      </c>
    </row>
    <row r="16" spans="1:22" ht="15.75" customHeight="1">
      <c r="A16" s="1" t="e">
        <f ca="1"/>
        <v>#NAME?</v>
      </c>
      <c r="B16" s="30">
        <v>512</v>
      </c>
      <c r="C16" s="36" t="s">
        <v>47</v>
      </c>
      <c r="D16" s="37" t="s">
        <v>48</v>
      </c>
      <c r="E16" s="38" t="s">
        <v>49</v>
      </c>
      <c r="F16" s="37" t="s">
        <v>48</v>
      </c>
      <c r="G16" s="42">
        <v>53.67</v>
      </c>
      <c r="H16" s="40" t="s">
        <v>38</v>
      </c>
      <c r="I16" s="40" t="s">
        <v>38</v>
      </c>
      <c r="J16" s="4"/>
      <c r="K16" s="41" t="str">
        <f ca="1">IFERROR(__xludf.DUMMYFUNCTION("""COMPUTED_VALUE"""),"Artemisia Hashemi")</f>
        <v>Artemisia Hashemi</v>
      </c>
      <c r="L16" s="5" t="str">
        <f ca="1">IFERROR(__xludf.DUMMYFUNCTION("""COMPUTED_VALUE"""),"HSC")</f>
        <v>HSC</v>
      </c>
      <c r="M16" s="5" t="str">
        <f ca="1">IFERROR(__xludf.DUMMYFUNCTION("""COMPUTED_VALUE"""),"G11")</f>
        <v>G11</v>
      </c>
      <c r="N16" s="5">
        <f ca="1">IFERROR(__xludf.DUMMYFUNCTION("""COMPUTED_VALUE"""),5)</f>
        <v>5</v>
      </c>
      <c r="O16" s="5"/>
      <c r="P16" s="41" t="str">
        <f ca="1">IFERROR(__xludf.DUMMYFUNCTION("""COMPUTED_VALUE"""),"")</f>
        <v/>
      </c>
      <c r="Q16" s="41" t="str">
        <f ca="1">IFERROR(__xludf.DUMMYFUNCTION("""COMPUTED_VALUE"""),"Grace Wegner")</f>
        <v>Grace Wegner</v>
      </c>
      <c r="R16" s="5" t="str">
        <f ca="1">IFERROR(__xludf.DUMMYFUNCTION("""COMPUTED_VALUE"""),"HSC")</f>
        <v>HSC</v>
      </c>
      <c r="S16" s="5" t="str">
        <f ca="1">IFERROR(__xludf.DUMMYFUNCTION("""COMPUTED_VALUE"""),"G10")</f>
        <v>G10</v>
      </c>
      <c r="T16" s="5">
        <f ca="1">IFERROR(__xludf.DUMMYFUNCTION("""COMPUTED_VALUE"""),5)</f>
        <v>5</v>
      </c>
      <c r="U16" s="5">
        <f ca="1"/>
        <v>67</v>
      </c>
      <c r="V16" s="5" t="str">
        <f ca="1">IFERROR(__xludf.DUMMYFUNCTION("""COMPUTED_VALUE"""),"")</f>
        <v/>
      </c>
    </row>
    <row r="17" spans="1:22" ht="15.75" customHeight="1">
      <c r="A17" s="1" t="e">
        <f ca="1"/>
        <v>#NAME?</v>
      </c>
      <c r="B17" s="30">
        <v>757</v>
      </c>
      <c r="C17" s="36" t="s">
        <v>50</v>
      </c>
      <c r="D17" s="37" t="s">
        <v>51</v>
      </c>
      <c r="E17" s="38" t="s">
        <v>52</v>
      </c>
      <c r="F17" s="37" t="s">
        <v>51</v>
      </c>
      <c r="G17" s="42">
        <v>62.82</v>
      </c>
      <c r="H17" s="40" t="s">
        <v>38</v>
      </c>
      <c r="I17" s="40" t="s">
        <v>38</v>
      </c>
      <c r="J17" s="4"/>
      <c r="K17" s="41" t="str">
        <f ca="1">IFERROR(__xludf.DUMMYFUNCTION("""COMPUTED_VALUE"""),"Victoria Williams")</f>
        <v>Victoria Williams</v>
      </c>
      <c r="L17" s="5" t="str">
        <f ca="1">IFERROR(__xludf.DUMMYFUNCTION("""COMPUTED_VALUE"""),"FS")</f>
        <v>FS</v>
      </c>
      <c r="M17" s="5" t="str">
        <f ca="1">IFERROR(__xludf.DUMMYFUNCTION("""COMPUTED_VALUE"""),"G10")</f>
        <v>G10</v>
      </c>
      <c r="N17" s="5">
        <f ca="1">IFERROR(__xludf.DUMMYFUNCTION("""COMPUTED_VALUE"""),4)</f>
        <v>4</v>
      </c>
      <c r="O17" s="5"/>
      <c r="P17" s="41" t="str">
        <f ca="1">IFERROR(__xludf.DUMMYFUNCTION("""COMPUTED_VALUE"""),"")</f>
        <v/>
      </c>
      <c r="Q17" s="41" t="str">
        <f ca="1">IFERROR(__xludf.DUMMYFUNCTION("""COMPUTED_VALUE"""),"Elizabeth Pidgeon")</f>
        <v>Elizabeth Pidgeon</v>
      </c>
      <c r="R17" s="5" t="str">
        <f ca="1">IFERROR(__xludf.DUMMYFUNCTION("""COMPUTED_VALUE"""),"FS")</f>
        <v>FS</v>
      </c>
      <c r="S17" s="5" t="str">
        <f ca="1">IFERROR(__xludf.DUMMYFUNCTION("""COMPUTED_VALUE"""),"G11")</f>
        <v>G11</v>
      </c>
      <c r="T17" s="5">
        <f ca="1">IFERROR(__xludf.DUMMYFUNCTION("""COMPUTED_VALUE"""),5)</f>
        <v>5</v>
      </c>
      <c r="U17" s="5">
        <f ca="1"/>
        <v>99</v>
      </c>
      <c r="V17" s="5" t="str">
        <f ca="1">IFERROR(__xludf.DUMMYFUNCTION("""COMPUTED_VALUE"""),"")</f>
        <v/>
      </c>
    </row>
    <row r="18" spans="1:22" ht="15.75" customHeight="1">
      <c r="A18" s="1" t="e">
        <f ca="1"/>
        <v>#NAME?</v>
      </c>
      <c r="B18" s="30">
        <v>811</v>
      </c>
      <c r="C18" s="36" t="s">
        <v>53</v>
      </c>
      <c r="D18" s="37" t="s">
        <v>54</v>
      </c>
      <c r="E18" s="38" t="s">
        <v>55</v>
      </c>
      <c r="F18" s="37" t="s">
        <v>56</v>
      </c>
      <c r="G18" s="42">
        <v>50.73</v>
      </c>
      <c r="H18" s="40" t="s">
        <v>38</v>
      </c>
      <c r="I18" s="40" t="s">
        <v>38</v>
      </c>
      <c r="J18" s="4"/>
      <c r="K18" s="41" t="str">
        <f ca="1">IFERROR(__xludf.DUMMYFUNCTION("""COMPUTED_VALUE"""),"Finley McDonnell")</f>
        <v>Finley McDonnell</v>
      </c>
      <c r="L18" s="5" t="str">
        <f ca="1">IFERROR(__xludf.DUMMYFUNCTION("""COMPUTED_VALUE"""),"DR")</f>
        <v>DR</v>
      </c>
      <c r="M18" s="5" t="str">
        <f ca="1">IFERROR(__xludf.DUMMYFUNCTION("""COMPUTED_VALUE"""),"G10")</f>
        <v>G10</v>
      </c>
      <c r="N18" s="5">
        <f ca="1">IFERROR(__xludf.DUMMYFUNCTION("""COMPUTED_VALUE"""),5)</f>
        <v>5</v>
      </c>
      <c r="O18" s="5"/>
      <c r="P18" s="41" t="str">
        <f ca="1">IFERROR(__xludf.DUMMYFUNCTION("""COMPUTED_VALUE"""),"")</f>
        <v/>
      </c>
      <c r="Q18" s="41" t="str">
        <f ca="1">IFERROR(__xludf.DUMMYFUNCTION("""COMPUTED_VALUE"""),"Harper Bassler")</f>
        <v>Harper Bassler</v>
      </c>
      <c r="R18" s="5" t="str">
        <f ca="1">IFERROR(__xludf.DUMMYFUNCTION("""COMPUTED_VALUE"""),"T")</f>
        <v>T</v>
      </c>
      <c r="S18" s="5" t="str">
        <f ca="1">IFERROR(__xludf.DUMMYFUNCTION("""COMPUTED_VALUE"""),"G10")</f>
        <v>G10</v>
      </c>
      <c r="T18" s="5">
        <f ca="1">IFERROR(__xludf.DUMMYFUNCTION("""COMPUTED_VALUE"""),4)</f>
        <v>4</v>
      </c>
      <c r="U18" s="5">
        <f ca="1"/>
        <v>67</v>
      </c>
      <c r="V18" s="5" t="str">
        <f ca="1">IFERROR(__xludf.DUMMYFUNCTION("""COMPUTED_VALUE"""),"")</f>
        <v/>
      </c>
    </row>
    <row r="19" spans="1:22" ht="15.75" customHeight="1">
      <c r="A19" s="1" t="e">
        <f ca="1"/>
        <v>#NAME?</v>
      </c>
      <c r="B19" s="30">
        <v>958</v>
      </c>
      <c r="C19" s="36" t="s">
        <v>57</v>
      </c>
      <c r="D19" s="37" t="s">
        <v>58</v>
      </c>
      <c r="E19" s="38" t="s">
        <v>59</v>
      </c>
      <c r="F19" s="37" t="s">
        <v>58</v>
      </c>
      <c r="G19" s="42">
        <v>60.03</v>
      </c>
      <c r="H19" s="40" t="s">
        <v>38</v>
      </c>
      <c r="I19" s="40" t="s">
        <v>38</v>
      </c>
      <c r="J19" s="4"/>
      <c r="K19" s="41" t="str">
        <f ca="1">IFERROR(__xludf.DUMMYFUNCTION("""COMPUTED_VALUE"""),"Evelyn Sanders")</f>
        <v>Evelyn Sanders</v>
      </c>
      <c r="L19" s="5" t="str">
        <f ca="1">IFERROR(__xludf.DUMMYFUNCTION("""COMPUTED_VALUE"""),"GF")</f>
        <v>GF</v>
      </c>
      <c r="M19" s="5" t="str">
        <f ca="1">IFERROR(__xludf.DUMMYFUNCTION("""COMPUTED_VALUE"""),"G12")</f>
        <v>G12</v>
      </c>
      <c r="N19" s="5">
        <f ca="1">IFERROR(__xludf.DUMMYFUNCTION("""COMPUTED_VALUE"""),5)</f>
        <v>5</v>
      </c>
      <c r="O19" s="5"/>
      <c r="P19" s="41" t="str">
        <f ca="1">IFERROR(__xludf.DUMMYFUNCTION("""COMPUTED_VALUE"""),"")</f>
        <v/>
      </c>
      <c r="Q19" s="41" t="str">
        <f ca="1">IFERROR(__xludf.DUMMYFUNCTION("""COMPUTED_VALUE"""),"Bennett Barletta")</f>
        <v>Bennett Barletta</v>
      </c>
      <c r="R19" s="5" t="str">
        <f ca="1">IFERROR(__xludf.DUMMYFUNCTION("""COMPUTED_VALUE"""),"GF")</f>
        <v>GF</v>
      </c>
      <c r="S19" s="5" t="str">
        <f ca="1">IFERROR(__xludf.DUMMYFUNCTION("""COMPUTED_VALUE"""),"G12")</f>
        <v>G12</v>
      </c>
      <c r="T19" s="5">
        <f ca="1">IFERROR(__xludf.DUMMYFUNCTION("""COMPUTED_VALUE"""),4)</f>
        <v>4</v>
      </c>
      <c r="U19" s="5">
        <f ca="1"/>
        <v>99</v>
      </c>
      <c r="V19" s="5" t="str">
        <f ca="1">IFERROR(__xludf.DUMMYFUNCTION("""COMPUTED_VALUE"""),"")</f>
        <v/>
      </c>
    </row>
    <row r="20" spans="1:22" ht="15.75" customHeight="1">
      <c r="A20" s="1" t="e">
        <f ca="1"/>
        <v>#NAME?</v>
      </c>
      <c r="B20" s="30">
        <v>1325</v>
      </c>
      <c r="C20" s="36" t="s">
        <v>60</v>
      </c>
      <c r="D20" s="37" t="s">
        <v>61</v>
      </c>
      <c r="E20" s="43" t="s">
        <v>62</v>
      </c>
      <c r="F20" s="37" t="s">
        <v>61</v>
      </c>
      <c r="G20" s="42">
        <v>42.18</v>
      </c>
      <c r="H20" s="40" t="s">
        <v>38</v>
      </c>
      <c r="I20" s="40" t="s">
        <v>38</v>
      </c>
      <c r="J20" s="4"/>
      <c r="K20" s="41" t="str">
        <f ca="1">IFERROR(__xludf.DUMMYFUNCTION("""COMPUTED_VALUE"""),"Hadley Miller")</f>
        <v>Hadley Miller</v>
      </c>
      <c r="L20" s="5" t="str">
        <f ca="1">IFERROR(__xludf.DUMMYFUNCTION("""COMPUTED_VALUE"""),"PAR")</f>
        <v>PAR</v>
      </c>
      <c r="M20" s="5" t="str">
        <f ca="1">IFERROR(__xludf.DUMMYFUNCTION("""COMPUTED_VALUE"""),"G9")</f>
        <v>G9</v>
      </c>
      <c r="N20" s="5">
        <f ca="1">IFERROR(__xludf.DUMMYFUNCTION("""COMPUTED_VALUE"""),5)</f>
        <v>5</v>
      </c>
      <c r="O20" s="5"/>
      <c r="P20" s="41" t="str">
        <f ca="1">IFERROR(__xludf.DUMMYFUNCTION("""COMPUTED_VALUE"""),"")</f>
        <v/>
      </c>
      <c r="Q20" s="41" t="str">
        <f ca="1">IFERROR(__xludf.DUMMYFUNCTION("""COMPUTED_VALUE"""),"Elena Scott")</f>
        <v>Elena Scott</v>
      </c>
      <c r="R20" s="5" t="str">
        <f ca="1">IFERROR(__xludf.DUMMYFUNCTION("""COMPUTED_VALUE"""),"PAR")</f>
        <v>PAR</v>
      </c>
      <c r="S20" s="5" t="str">
        <f ca="1">IFERROR(__xludf.DUMMYFUNCTION("""COMPUTED_VALUE"""),"G9")</f>
        <v>G9</v>
      </c>
      <c r="T20" s="5">
        <f ca="1">IFERROR(__xludf.DUMMYFUNCTION("""COMPUTED_VALUE"""),5)</f>
        <v>5</v>
      </c>
      <c r="U20" s="5">
        <f ca="1"/>
        <v>67</v>
      </c>
      <c r="V20" s="5" t="str">
        <f ca="1">IFERROR(__xludf.DUMMYFUNCTION("""COMPUTED_VALUE"""),"")</f>
        <v/>
      </c>
    </row>
    <row r="21" spans="1:22" ht="15.75" customHeight="1">
      <c r="A21" s="1" t="e">
        <f ca="1"/>
        <v>#NAME?</v>
      </c>
      <c r="B21" s="30">
        <v>1427</v>
      </c>
      <c r="C21" s="44" t="s">
        <v>63</v>
      </c>
      <c r="D21" s="45" t="s">
        <v>61</v>
      </c>
      <c r="E21" s="38" t="s">
        <v>64</v>
      </c>
      <c r="F21" s="45" t="s">
        <v>61</v>
      </c>
      <c r="G21" s="46">
        <v>51.09</v>
      </c>
      <c r="H21" s="40" t="s">
        <v>38</v>
      </c>
      <c r="I21" s="40" t="s">
        <v>38</v>
      </c>
      <c r="J21" s="4"/>
      <c r="K21" s="41" t="str">
        <f ca="1">IFERROR(__xludf.DUMMYFUNCTION("""COMPUTED_VALUE"""),"Josephine Wills")</f>
        <v>Josephine Wills</v>
      </c>
      <c r="L21" s="5" t="str">
        <f ca="1">IFERROR(__xludf.DUMMYFUNCTION("""COMPUTED_VALUE"""),"PAR")</f>
        <v>PAR</v>
      </c>
      <c r="M21" s="5" t="str">
        <f ca="1">IFERROR(__xludf.DUMMYFUNCTION("""COMPUTED_VALUE"""),"G10")</f>
        <v>G10</v>
      </c>
      <c r="N21" s="5">
        <f ca="1">IFERROR(__xludf.DUMMYFUNCTION("""COMPUTED_VALUE"""),4)</f>
        <v>4</v>
      </c>
      <c r="O21" s="5"/>
      <c r="P21" s="41" t="str">
        <f ca="1">IFERROR(__xludf.DUMMYFUNCTION("""COMPUTED_VALUE"""),"")</f>
        <v/>
      </c>
      <c r="Q21" s="41" t="str">
        <f ca="1">IFERROR(__xludf.DUMMYFUNCTION("""COMPUTED_VALUE"""),"Ally Argenta")</f>
        <v>Ally Argenta</v>
      </c>
      <c r="R21" s="5" t="str">
        <f ca="1">IFERROR(__xludf.DUMMYFUNCTION("""COMPUTED_VALUE"""),"PAR")</f>
        <v>PAR</v>
      </c>
      <c r="S21" s="5" t="str">
        <f ca="1">IFERROR(__xludf.DUMMYFUNCTION("""COMPUTED_VALUE"""),"G9")</f>
        <v>G9</v>
      </c>
      <c r="T21" s="5">
        <f ca="1">IFERROR(__xludf.DUMMYFUNCTION("""COMPUTED_VALUE"""),4)</f>
        <v>4</v>
      </c>
      <c r="U21" s="5">
        <f ca="1"/>
        <v>67</v>
      </c>
      <c r="V21" s="5" t="str">
        <f ca="1">IFERROR(__xludf.DUMMYFUNCTION("""COMPUTED_VALUE"""),"")</f>
        <v/>
      </c>
    </row>
    <row r="22" spans="1:22" ht="15.75" customHeight="1">
      <c r="A22" s="1" t="e">
        <f ca="1"/>
        <v>#NAME?</v>
      </c>
      <c r="B22" s="30">
        <v>1605</v>
      </c>
      <c r="C22" s="44" t="s">
        <v>65</v>
      </c>
      <c r="D22" s="45" t="s">
        <v>40</v>
      </c>
      <c r="E22" s="47" t="s">
        <v>66</v>
      </c>
      <c r="F22" s="45" t="s">
        <v>40</v>
      </c>
      <c r="G22" s="46">
        <v>65.28</v>
      </c>
      <c r="H22" s="40" t="s">
        <v>38</v>
      </c>
      <c r="I22" s="40" t="s">
        <v>38</v>
      </c>
      <c r="J22" s="4"/>
      <c r="K22" s="41" t="str">
        <f ca="1">IFERROR(__xludf.DUMMYFUNCTION("""COMPUTED_VALUE"""),"Emma Fricke")</f>
        <v>Emma Fricke</v>
      </c>
      <c r="L22" s="5" t="str">
        <f ca="1">IFERROR(__xludf.DUMMYFUNCTION("""COMPUTED_VALUE"""),"G")</f>
        <v>G</v>
      </c>
      <c r="M22" s="5" t="str">
        <f ca="1">IFERROR(__xludf.DUMMYFUNCTION("""COMPUTED_VALUE"""),"G12")</f>
        <v>G12</v>
      </c>
      <c r="N22" s="5">
        <f ca="1">IFERROR(__xludf.DUMMYFUNCTION("""COMPUTED_VALUE"""),4)</f>
        <v>4</v>
      </c>
      <c r="O22" s="5"/>
      <c r="P22" s="41" t="str">
        <f ca="1">IFERROR(__xludf.DUMMYFUNCTION("""COMPUTED_VALUE"""),"")</f>
        <v/>
      </c>
      <c r="Q22" s="41" t="str">
        <f ca="1">IFERROR(__xludf.DUMMYFUNCTION("""COMPUTED_VALUE"""),"Leighton Raich")</f>
        <v>Leighton Raich</v>
      </c>
      <c r="R22" s="5" t="str">
        <f ca="1">IFERROR(__xludf.DUMMYFUNCTION("""COMPUTED_VALUE"""),"G")</f>
        <v>G</v>
      </c>
      <c r="S22" s="5" t="str">
        <f ca="1">IFERROR(__xludf.DUMMYFUNCTION("""COMPUTED_VALUE"""),"G12")</f>
        <v>G12</v>
      </c>
      <c r="T22" s="5">
        <f ca="1">IFERROR(__xludf.DUMMYFUNCTION("""COMPUTED_VALUE"""),5)</f>
        <v>5</v>
      </c>
      <c r="U22" s="5">
        <f ca="1"/>
        <v>99</v>
      </c>
      <c r="V22" s="5" t="str">
        <f ca="1">IFERROR(__xludf.DUMMYFUNCTION("""COMPUTED_VALUE"""),"")</f>
        <v/>
      </c>
    </row>
    <row r="23" spans="1:22" ht="15.75" customHeight="1">
      <c r="A23" s="1" t="e">
        <f ca="1"/>
        <v>#NAME?</v>
      </c>
      <c r="B23" s="30">
        <v>1791</v>
      </c>
      <c r="C23" s="44" t="s">
        <v>67</v>
      </c>
      <c r="D23" s="45" t="s">
        <v>68</v>
      </c>
      <c r="E23" s="47" t="s">
        <v>69</v>
      </c>
      <c r="F23" s="45" t="s">
        <v>68</v>
      </c>
      <c r="G23" s="46">
        <v>53.82</v>
      </c>
      <c r="H23" s="40" t="s">
        <v>38</v>
      </c>
      <c r="I23" s="40" t="s">
        <v>38</v>
      </c>
      <c r="J23" s="4"/>
      <c r="K23" s="41" t="str">
        <f ca="1">IFERROR(__xludf.DUMMYFUNCTION("""COMPUTED_VALUE"""),"Ellie Phillips")</f>
        <v>Ellie Phillips</v>
      </c>
      <c r="L23" s="5" t="str">
        <f ca="1">IFERROR(__xludf.DUMMYFUNCTION("""COMPUTED_VALUE"""),"CSC")</f>
        <v>CSC</v>
      </c>
      <c r="M23" s="5" t="str">
        <f ca="1">IFERROR(__xludf.DUMMYFUNCTION("""COMPUTED_VALUE"""),"G9")</f>
        <v>G9</v>
      </c>
      <c r="N23" s="5">
        <f ca="1">IFERROR(__xludf.DUMMYFUNCTION("""COMPUTED_VALUE"""),5)</f>
        <v>5</v>
      </c>
      <c r="O23" s="5"/>
      <c r="P23" s="41" t="str">
        <f ca="1">IFERROR(__xludf.DUMMYFUNCTION("""COMPUTED_VALUE"""),"")</f>
        <v/>
      </c>
      <c r="Q23" s="41" t="str">
        <f ca="1">IFERROR(__xludf.DUMMYFUNCTION("""COMPUTED_VALUE"""),"Emma Magness")</f>
        <v>Emma Magness</v>
      </c>
      <c r="R23" s="5" t="str">
        <f ca="1">IFERROR(__xludf.DUMMYFUNCTION("""COMPUTED_VALUE"""),"CSC")</f>
        <v>CSC</v>
      </c>
      <c r="S23" s="5" t="str">
        <f ca="1">IFERROR(__xludf.DUMMYFUNCTION("""COMPUTED_VALUE"""),"G11")</f>
        <v>G11</v>
      </c>
      <c r="T23" s="5">
        <f ca="1">IFERROR(__xludf.DUMMYFUNCTION("""COMPUTED_VALUE"""),5)</f>
        <v>5</v>
      </c>
      <c r="U23" s="5">
        <f ca="1"/>
        <v>99</v>
      </c>
      <c r="V23" s="5" t="str">
        <f ca="1">IFERROR(__xludf.DUMMYFUNCTION("""COMPUTED_VALUE"""),"")</f>
        <v/>
      </c>
    </row>
    <row r="24" spans="1:22" ht="15.75" customHeight="1">
      <c r="A24" s="1" t="e">
        <f ca="1"/>
        <v>#NAME?</v>
      </c>
      <c r="B24" s="30">
        <v>2061</v>
      </c>
      <c r="C24" s="44" t="s">
        <v>70</v>
      </c>
      <c r="D24" s="45" t="s">
        <v>71</v>
      </c>
      <c r="E24" s="47" t="s">
        <v>72</v>
      </c>
      <c r="F24" s="45" t="s">
        <v>71</v>
      </c>
      <c r="G24" s="46">
        <v>39.450000000000003</v>
      </c>
      <c r="H24" s="40" t="s">
        <v>38</v>
      </c>
      <c r="I24" s="40" t="s">
        <v>38</v>
      </c>
      <c r="J24" s="4"/>
      <c r="K24" s="41" t="str">
        <f ca="1">IFERROR(__xludf.DUMMYFUNCTION("""COMPUTED_VALUE"""),"Victoria Beier")</f>
        <v>Victoria Beier</v>
      </c>
      <c r="L24" s="5" t="str">
        <f ca="1">IFERROR(__xludf.DUMMYFUNCTION("""COMPUTED_VALUE"""),"AF")</f>
        <v>AF</v>
      </c>
      <c r="M24" s="5" t="str">
        <f ca="1">IFERROR(__xludf.DUMMYFUNCTION("""COMPUTED_VALUE"""),"G9")</f>
        <v>G9</v>
      </c>
      <c r="N24" s="5">
        <f ca="1">IFERROR(__xludf.DUMMYFUNCTION("""COMPUTED_VALUE"""),4)</f>
        <v>4</v>
      </c>
      <c r="O24" s="5"/>
      <c r="P24" s="41" t="str">
        <f ca="1">IFERROR(__xludf.DUMMYFUNCTION("""COMPUTED_VALUE"""),"")</f>
        <v/>
      </c>
      <c r="Q24" s="41" t="str">
        <f ca="1">IFERROR(__xludf.DUMMYFUNCTION("""COMPUTED_VALUE"""),"Vi Robert")</f>
        <v>Vi Robert</v>
      </c>
      <c r="R24" s="5" t="str">
        <f ca="1">IFERROR(__xludf.DUMMYFUNCTION("""COMPUTED_VALUE"""),"AF")</f>
        <v>AF</v>
      </c>
      <c r="S24" s="5" t="str">
        <f ca="1">IFERROR(__xludf.DUMMYFUNCTION("""COMPUTED_VALUE"""),"G9")</f>
        <v>G9</v>
      </c>
      <c r="T24" s="5">
        <f ca="1">IFERROR(__xludf.DUMMYFUNCTION("""COMPUTED_VALUE"""),4)</f>
        <v>4</v>
      </c>
      <c r="U24" s="5">
        <f ca="1"/>
        <v>67</v>
      </c>
      <c r="V24" s="5" t="str">
        <f ca="1">IFERROR(__xludf.DUMMYFUNCTION("""COMPUTED_VALUE"""),"")</f>
        <v/>
      </c>
    </row>
    <row r="25" spans="1:22" ht="15.75" customHeight="1">
      <c r="A25" s="1" t="e">
        <f ca="1"/>
        <v>#NAME?</v>
      </c>
      <c r="B25" s="30">
        <v>2238</v>
      </c>
      <c r="C25" s="44" t="s">
        <v>73</v>
      </c>
      <c r="D25" s="45" t="s">
        <v>74</v>
      </c>
      <c r="E25" s="47" t="s">
        <v>75</v>
      </c>
      <c r="F25" s="45" t="s">
        <v>74</v>
      </c>
      <c r="G25" s="46">
        <v>23.94</v>
      </c>
      <c r="H25" s="40" t="s">
        <v>38</v>
      </c>
      <c r="I25" s="40" t="s">
        <v>38</v>
      </c>
      <c r="J25" s="4"/>
      <c r="K25" s="41" t="str">
        <f ca="1">IFERROR(__xludf.DUMMYFUNCTION("""COMPUTED_VALUE"""),"CeCe St. Jacques")</f>
        <v>CeCe St. Jacques</v>
      </c>
      <c r="L25" s="5" t="str">
        <f ca="1">IFERROR(__xludf.DUMMYFUNCTION("""COMPUTED_VALUE"""),"OAK")</f>
        <v>OAK</v>
      </c>
      <c r="M25" s="5" t="str">
        <f ca="1">IFERROR(__xludf.DUMMYFUNCTION("""COMPUTED_VALUE"""),"G8")</f>
        <v>G8</v>
      </c>
      <c r="N25" s="5">
        <f ca="1">IFERROR(__xludf.DUMMYFUNCTION("""COMPUTED_VALUE"""),1)</f>
        <v>1</v>
      </c>
      <c r="O25" s="5"/>
      <c r="P25" s="41" t="str">
        <f ca="1">IFERROR(__xludf.DUMMYFUNCTION("""COMPUTED_VALUE"""),"")</f>
        <v/>
      </c>
      <c r="Q25" s="41" t="str">
        <f ca="1">IFERROR(__xludf.DUMMYFUNCTION("""COMPUTED_VALUE"""),"Alice Henderson")</f>
        <v>Alice Henderson</v>
      </c>
      <c r="R25" s="5" t="str">
        <f ca="1">IFERROR(__xludf.DUMMYFUNCTION("""COMPUTED_VALUE"""),"OAK")</f>
        <v>OAK</v>
      </c>
      <c r="S25" s="5" t="str">
        <f ca="1">IFERROR(__xludf.DUMMYFUNCTION("""COMPUTED_VALUE"""),"G7")</f>
        <v>G7</v>
      </c>
      <c r="T25" s="5">
        <f ca="1">IFERROR(__xludf.DUMMYFUNCTION("""COMPUTED_VALUE"""),2)</f>
        <v>2</v>
      </c>
      <c r="U25" s="5">
        <f ca="1"/>
        <v>67</v>
      </c>
      <c r="V25" s="5" t="str">
        <f ca="1">IFERROR(__xludf.DUMMYFUNCTION("""COMPUTED_VALUE"""),"")</f>
        <v/>
      </c>
    </row>
    <row r="26" spans="1:22" ht="15.75" customHeight="1">
      <c r="A26" s="1" t="e">
        <f ca="1"/>
        <v>#NAME?</v>
      </c>
      <c r="B26" s="30">
        <v>2355</v>
      </c>
      <c r="C26" s="44" t="s">
        <v>76</v>
      </c>
      <c r="D26" s="45" t="s">
        <v>74</v>
      </c>
      <c r="E26" s="47" t="s">
        <v>77</v>
      </c>
      <c r="F26" s="45" t="s">
        <v>74</v>
      </c>
      <c r="G26" s="46">
        <v>53.88</v>
      </c>
      <c r="H26" s="40" t="s">
        <v>38</v>
      </c>
      <c r="I26" s="40" t="s">
        <v>38</v>
      </c>
      <c r="J26" s="4"/>
      <c r="K26" s="41" t="str">
        <f ca="1">IFERROR(__xludf.DUMMYFUNCTION("""COMPUTED_VALUE"""),"Sophia Blanco")</f>
        <v>Sophia Blanco</v>
      </c>
      <c r="L26" s="5" t="str">
        <f ca="1">IFERROR(__xludf.DUMMYFUNCTION("""COMPUTED_VALUE"""),"OAK")</f>
        <v>OAK</v>
      </c>
      <c r="M26" s="5" t="str">
        <f ca="1">IFERROR(__xludf.DUMMYFUNCTION("""COMPUTED_VALUE"""),"G10")</f>
        <v>G10</v>
      </c>
      <c r="N26" s="5">
        <f ca="1">IFERROR(__xludf.DUMMYFUNCTION("""COMPUTED_VALUE"""),5)</f>
        <v>5</v>
      </c>
      <c r="O26" s="5"/>
      <c r="P26" s="41" t="str">
        <f ca="1">IFERROR(__xludf.DUMMYFUNCTION("""COMPUTED_VALUE"""),"")</f>
        <v/>
      </c>
      <c r="Q26" s="41" t="str">
        <f ca="1">IFERROR(__xludf.DUMMYFUNCTION("""COMPUTED_VALUE"""),"Chloe Sanglier")</f>
        <v>Chloe Sanglier</v>
      </c>
      <c r="R26" s="5" t="str">
        <f ca="1">IFERROR(__xludf.DUMMYFUNCTION("""COMPUTED_VALUE"""),"OAK")</f>
        <v>OAK</v>
      </c>
      <c r="S26" s="5" t="str">
        <f ca="1">IFERROR(__xludf.DUMMYFUNCTION("""COMPUTED_VALUE"""),"G9")</f>
        <v>G9</v>
      </c>
      <c r="T26" s="5">
        <f ca="1">IFERROR(__xludf.DUMMYFUNCTION("""COMPUTED_VALUE"""),5)</f>
        <v>5</v>
      </c>
      <c r="U26" s="5">
        <f ca="1"/>
        <v>67</v>
      </c>
      <c r="V26" s="5" t="str">
        <f ca="1">IFERROR(__xludf.DUMMYFUNCTION("""COMPUTED_VALUE"""),"")</f>
        <v/>
      </c>
    </row>
    <row r="27" spans="1:22" ht="15.75" customHeight="1">
      <c r="A27" s="1" t="e">
        <f ca="1"/>
        <v>#NAME?</v>
      </c>
      <c r="B27" s="30">
        <v>2710</v>
      </c>
      <c r="C27" s="44" t="s">
        <v>78</v>
      </c>
      <c r="D27" s="45" t="s">
        <v>74</v>
      </c>
      <c r="E27" s="47" t="s">
        <v>79</v>
      </c>
      <c r="F27" s="45" t="s">
        <v>74</v>
      </c>
      <c r="G27" s="46">
        <v>65.22</v>
      </c>
      <c r="H27" s="40" t="s">
        <v>38</v>
      </c>
      <c r="I27" s="40" t="s">
        <v>38</v>
      </c>
      <c r="J27" s="4"/>
      <c r="K27" s="41" t="str">
        <f ca="1">IFERROR(__xludf.DUMMYFUNCTION("""COMPUTED_VALUE"""),"Simone Wilson")</f>
        <v>Simone Wilson</v>
      </c>
      <c r="L27" s="5" t="str">
        <f ca="1">IFERROR(__xludf.DUMMYFUNCTION("""COMPUTED_VALUE"""),"OAK")</f>
        <v>OAK</v>
      </c>
      <c r="M27" s="5" t="str">
        <f ca="1">IFERROR(__xludf.DUMMYFUNCTION("""COMPUTED_VALUE"""),"G12")</f>
        <v>G12</v>
      </c>
      <c r="N27" s="5">
        <f ca="1">IFERROR(__xludf.DUMMYFUNCTION("""COMPUTED_VALUE"""),5)</f>
        <v>5</v>
      </c>
      <c r="O27" s="5"/>
      <c r="P27" s="41" t="str">
        <f ca="1">IFERROR(__xludf.DUMMYFUNCTION("""COMPUTED_VALUE"""),"")</f>
        <v/>
      </c>
      <c r="Q27" s="41" t="str">
        <f ca="1">IFERROR(__xludf.DUMMYFUNCTION("""COMPUTED_VALUE"""),"Lauren Emerick")</f>
        <v>Lauren Emerick</v>
      </c>
      <c r="R27" s="5" t="str">
        <f ca="1">IFERROR(__xludf.DUMMYFUNCTION("""COMPUTED_VALUE"""),"OAK")</f>
        <v>OAK</v>
      </c>
      <c r="S27" s="5" t="str">
        <f ca="1">IFERROR(__xludf.DUMMYFUNCTION("""COMPUTED_VALUE"""),"G12")</f>
        <v>G12</v>
      </c>
      <c r="T27" s="5">
        <f ca="1">IFERROR(__xludf.DUMMYFUNCTION("""COMPUTED_VALUE"""),5)</f>
        <v>5</v>
      </c>
      <c r="U27" s="5">
        <f ca="1"/>
        <v>99</v>
      </c>
      <c r="V27" s="5" t="str">
        <f ca="1">IFERROR(__xludf.DUMMYFUNCTION("""COMPUTED_VALUE"""),"")</f>
        <v/>
      </c>
    </row>
    <row r="28" spans="1:22" ht="15.75" customHeight="1">
      <c r="A28" s="1" t="e">
        <f ca="1"/>
        <v>#NAME?</v>
      </c>
      <c r="B28" s="30">
        <v>2805</v>
      </c>
      <c r="C28" s="44" t="s">
        <v>80</v>
      </c>
      <c r="D28" s="45" t="s">
        <v>81</v>
      </c>
      <c r="E28" s="47" t="s">
        <v>82</v>
      </c>
      <c r="F28" s="45" t="s">
        <v>81</v>
      </c>
      <c r="G28" s="46">
        <v>65.430000000000007</v>
      </c>
      <c r="H28" s="40" t="s">
        <v>38</v>
      </c>
      <c r="I28" s="40" t="s">
        <v>38</v>
      </c>
      <c r="J28" s="4"/>
      <c r="K28" s="41" t="str">
        <f ca="1">IFERROR(__xludf.DUMMYFUNCTION("""COMPUTED_VALUE"""),"Holly Denniston")</f>
        <v>Holly Denniston</v>
      </c>
      <c r="L28" s="5" t="str">
        <f ca="1">IFERROR(__xludf.DUMMYFUNCTION("""COMPUTED_VALUE"""),"KG")</f>
        <v>KG</v>
      </c>
      <c r="M28" s="5" t="str">
        <f ca="1">IFERROR(__xludf.DUMMYFUNCTION("""COMPUTED_VALUE"""),"G9")</f>
        <v>G9</v>
      </c>
      <c r="N28" s="5">
        <f ca="1">IFERROR(__xludf.DUMMYFUNCTION("""COMPUTED_VALUE"""),5)</f>
        <v>5</v>
      </c>
      <c r="O28" s="5"/>
      <c r="P28" s="41" t="str">
        <f ca="1">IFERROR(__xludf.DUMMYFUNCTION("""COMPUTED_VALUE"""),"")</f>
        <v/>
      </c>
      <c r="Q28" s="41" t="str">
        <f ca="1">IFERROR(__xludf.DUMMYFUNCTION("""COMPUTED_VALUE"""),"Julia Denniston")</f>
        <v>Julia Denniston</v>
      </c>
      <c r="R28" s="5" t="str">
        <f ca="1">IFERROR(__xludf.DUMMYFUNCTION("""COMPUTED_VALUE"""),"KG")</f>
        <v>KG</v>
      </c>
      <c r="S28" s="5" t="str">
        <f ca="1">IFERROR(__xludf.DUMMYFUNCTION("""COMPUTED_VALUE"""),"G11")</f>
        <v>G11</v>
      </c>
      <c r="T28" s="5">
        <f ca="1">IFERROR(__xludf.DUMMYFUNCTION("""COMPUTED_VALUE"""),5)</f>
        <v>5</v>
      </c>
      <c r="U28" s="5">
        <f ca="1"/>
        <v>99</v>
      </c>
      <c r="V28" s="5" t="str">
        <f ca="1">IFERROR(__xludf.DUMMYFUNCTION("""COMPUTED_VALUE"""),"")</f>
        <v/>
      </c>
    </row>
    <row r="29" spans="1:22" ht="15.75" customHeight="1">
      <c r="A29" s="1" t="e">
        <f ca="1"/>
        <v>#NAME?</v>
      </c>
      <c r="B29" s="30">
        <v>2838</v>
      </c>
      <c r="C29" s="44" t="s">
        <v>83</v>
      </c>
      <c r="D29" s="45" t="s">
        <v>81</v>
      </c>
      <c r="E29" s="47" t="s">
        <v>84</v>
      </c>
      <c r="F29" s="45" t="s">
        <v>81</v>
      </c>
      <c r="G29" s="46">
        <v>58.41</v>
      </c>
      <c r="H29" s="40" t="s">
        <v>38</v>
      </c>
      <c r="I29" s="40" t="s">
        <v>38</v>
      </c>
      <c r="J29" s="4"/>
      <c r="K29" s="41" t="str">
        <f ca="1">IFERROR(__xludf.DUMMYFUNCTION("""COMPUTED_VALUE"""),"Norah Wittman")</f>
        <v>Norah Wittman</v>
      </c>
      <c r="L29" s="5" t="str">
        <f ca="1">IFERROR(__xludf.DUMMYFUNCTION("""COMPUTED_VALUE"""),"KG")</f>
        <v>KG</v>
      </c>
      <c r="M29" s="5" t="str">
        <f ca="1">IFERROR(__xludf.DUMMYFUNCTION("""COMPUTED_VALUE"""),"G10")</f>
        <v>G10</v>
      </c>
      <c r="N29" s="5">
        <f ca="1">IFERROR(__xludf.DUMMYFUNCTION("""COMPUTED_VALUE"""),5)</f>
        <v>5</v>
      </c>
      <c r="O29" s="5"/>
      <c r="P29" s="41" t="str">
        <f ca="1">IFERROR(__xludf.DUMMYFUNCTION("""COMPUTED_VALUE"""),"")</f>
        <v/>
      </c>
      <c r="Q29" s="41" t="str">
        <f ca="1">IFERROR(__xludf.DUMMYFUNCTION("""COMPUTED_VALUE"""),"Kira Bhasin")</f>
        <v>Kira Bhasin</v>
      </c>
      <c r="R29" s="5" t="str">
        <f ca="1">IFERROR(__xludf.DUMMYFUNCTION("""COMPUTED_VALUE"""),"KG")</f>
        <v>KG</v>
      </c>
      <c r="S29" s="5" t="str">
        <f ca="1">IFERROR(__xludf.DUMMYFUNCTION("""COMPUTED_VALUE"""),"G11")</f>
        <v>G11</v>
      </c>
      <c r="T29" s="5">
        <f ca="1">IFERROR(__xludf.DUMMYFUNCTION("""COMPUTED_VALUE"""),5)</f>
        <v>5</v>
      </c>
      <c r="U29" s="5">
        <f ca="1"/>
        <v>99</v>
      </c>
      <c r="V29" s="5" t="str">
        <f ca="1">IFERROR(__xludf.DUMMYFUNCTION("""COMPUTED_VALUE"""),"")</f>
        <v/>
      </c>
    </row>
    <row r="30" spans="1:22" ht="15.75" customHeight="1">
      <c r="A30" s="1" t="e">
        <f ca="1"/>
        <v>#NAME?</v>
      </c>
      <c r="B30" s="30">
        <v>3240</v>
      </c>
      <c r="C30" s="36" t="s">
        <v>85</v>
      </c>
      <c r="D30" s="37" t="s">
        <v>86</v>
      </c>
      <c r="E30" s="38" t="s">
        <v>87</v>
      </c>
      <c r="F30" s="37" t="s">
        <v>86</v>
      </c>
      <c r="G30" s="42">
        <v>64.23</v>
      </c>
      <c r="H30" s="40" t="s">
        <v>38</v>
      </c>
      <c r="I30" s="40" t="s">
        <v>38</v>
      </c>
      <c r="J30" s="4"/>
      <c r="K30" s="41" t="str">
        <f ca="1">IFERROR(__xludf.DUMMYFUNCTION("""COMPUTED_VALUE"""),"Mouse Guy")</f>
        <v>Mouse Guy</v>
      </c>
      <c r="L30" s="5" t="str">
        <f ca="1">IFERROR(__xludf.DUMMYFUNCTION("""COMPUTED_VALUE"""),"HP")</f>
        <v>HP</v>
      </c>
      <c r="M30" s="5" t="str">
        <f ca="1">IFERROR(__xludf.DUMMYFUNCTION("""COMPUTED_VALUE"""),"G11")</f>
        <v>G11</v>
      </c>
      <c r="N30" s="5">
        <f ca="1">IFERROR(__xludf.DUMMYFUNCTION("""COMPUTED_VALUE"""),5)</f>
        <v>5</v>
      </c>
      <c r="O30" s="5"/>
      <c r="P30" s="41" t="str">
        <f ca="1">IFERROR(__xludf.DUMMYFUNCTION("""COMPUTED_VALUE"""),"")</f>
        <v/>
      </c>
      <c r="Q30" s="41" t="str">
        <f ca="1">IFERROR(__xludf.DUMMYFUNCTION("""COMPUTED_VALUE"""),"Leah Jandrain")</f>
        <v>Leah Jandrain</v>
      </c>
      <c r="R30" s="5" t="str">
        <f ca="1">IFERROR(__xludf.DUMMYFUNCTION("""COMPUTED_VALUE"""),"HP")</f>
        <v>HP</v>
      </c>
      <c r="S30" s="5" t="str">
        <f ca="1">IFERROR(__xludf.DUMMYFUNCTION("""COMPUTED_VALUE"""),"G11")</f>
        <v>G11</v>
      </c>
      <c r="T30" s="5">
        <f ca="1">IFERROR(__xludf.DUMMYFUNCTION("""COMPUTED_VALUE"""),4)</f>
        <v>4</v>
      </c>
      <c r="U30" s="5">
        <f ca="1"/>
        <v>99</v>
      </c>
      <c r="V30" s="5" t="str">
        <f ca="1">IFERROR(__xludf.DUMMYFUNCTION("""COMPUTED_VALUE"""),"")</f>
        <v/>
      </c>
    </row>
    <row r="31" spans="1:22" ht="15.75" customHeight="1">
      <c r="A31" s="1" t="e">
        <f ca="1"/>
        <v>#NAME?</v>
      </c>
      <c r="B31" s="30">
        <v>3326</v>
      </c>
      <c r="C31" s="36" t="s">
        <v>88</v>
      </c>
      <c r="D31" s="37" t="s">
        <v>89</v>
      </c>
      <c r="E31" s="38" t="s">
        <v>90</v>
      </c>
      <c r="F31" s="37" t="s">
        <v>89</v>
      </c>
      <c r="G31" s="42">
        <v>54.72</v>
      </c>
      <c r="H31" s="40" t="s">
        <v>38</v>
      </c>
      <c r="I31" s="40" t="s">
        <v>38</v>
      </c>
      <c r="J31" s="4"/>
      <c r="K31" s="41" t="str">
        <f ca="1">IFERROR(__xludf.DUMMYFUNCTION("""COMPUTED_VALUE"""),"Cora Bellomo")</f>
        <v>Cora Bellomo</v>
      </c>
      <c r="L31" s="5" t="str">
        <f ca="1">IFERROR(__xludf.DUMMYFUNCTION("""COMPUTED_VALUE"""),"SR")</f>
        <v>SR</v>
      </c>
      <c r="M31" s="5" t="str">
        <f ca="1">IFERROR(__xludf.DUMMYFUNCTION("""COMPUTED_VALUE"""),"G11")</f>
        <v>G11</v>
      </c>
      <c r="N31" s="5">
        <f ca="1">IFERROR(__xludf.DUMMYFUNCTION("""COMPUTED_VALUE"""),5)</f>
        <v>5</v>
      </c>
      <c r="O31" s="5"/>
      <c r="P31" s="41" t="str">
        <f ca="1">IFERROR(__xludf.DUMMYFUNCTION("""COMPUTED_VALUE"""),"")</f>
        <v/>
      </c>
      <c r="Q31" s="41" t="str">
        <f ca="1">IFERROR(__xludf.DUMMYFUNCTION("""COMPUTED_VALUE"""),"Kendall Wilson")</f>
        <v>Kendall Wilson</v>
      </c>
      <c r="R31" s="5" t="str">
        <f ca="1">IFERROR(__xludf.DUMMYFUNCTION("""COMPUTED_VALUE"""),"SR")</f>
        <v>SR</v>
      </c>
      <c r="S31" s="5" t="str">
        <f ca="1">IFERROR(__xludf.DUMMYFUNCTION("""COMPUTED_VALUE"""),"G11")</f>
        <v>G11</v>
      </c>
      <c r="T31" s="5">
        <f ca="1">IFERROR(__xludf.DUMMYFUNCTION("""COMPUTED_VALUE"""),5)</f>
        <v>5</v>
      </c>
      <c r="U31" s="5">
        <f ca="1"/>
        <v>99</v>
      </c>
      <c r="V31" s="5" t="str">
        <f ca="1">IFERROR(__xludf.DUMMYFUNCTION("""COMPUTED_VALUE"""),"")</f>
        <v/>
      </c>
    </row>
    <row r="32" spans="1:22" ht="15.75" customHeight="1">
      <c r="A32" s="1" t="e">
        <f ca="1"/>
        <v>#NAME?</v>
      </c>
      <c r="B32" s="30">
        <v>3395</v>
      </c>
      <c r="C32" s="36" t="s">
        <v>91</v>
      </c>
      <c r="D32" s="37" t="s">
        <v>92</v>
      </c>
      <c r="E32" s="38" t="s">
        <v>93</v>
      </c>
      <c r="F32" s="37" t="s">
        <v>92</v>
      </c>
      <c r="G32" s="42">
        <v>60.93</v>
      </c>
      <c r="H32" s="40" t="s">
        <v>38</v>
      </c>
      <c r="I32" s="40" t="s">
        <v>38</v>
      </c>
      <c r="J32" s="4"/>
      <c r="K32" s="41" t="str">
        <f ca="1">IFERROR(__xludf.DUMMYFUNCTION("""COMPUTED_VALUE"""),"Payton Bennett")</f>
        <v>Payton Bennett</v>
      </c>
      <c r="L32" s="5" t="str">
        <f ca="1">IFERROR(__xludf.DUMMYFUNCTION("""COMPUTED_VALUE"""),"HV")</f>
        <v>HV</v>
      </c>
      <c r="M32" s="5" t="str">
        <f ca="1">IFERROR(__xludf.DUMMYFUNCTION("""COMPUTED_VALUE"""),"G9")</f>
        <v>G9</v>
      </c>
      <c r="N32" s="5">
        <f ca="1">IFERROR(__xludf.DUMMYFUNCTION("""COMPUTED_VALUE"""),5)</f>
        <v>5</v>
      </c>
      <c r="O32" s="5"/>
      <c r="P32" s="41" t="str">
        <f ca="1">IFERROR(__xludf.DUMMYFUNCTION("""COMPUTED_VALUE"""),"")</f>
        <v/>
      </c>
      <c r="Q32" s="41" t="str">
        <f ca="1">IFERROR(__xludf.DUMMYFUNCTION("""COMPUTED_VALUE"""),"Lillian Gunderson")</f>
        <v>Lillian Gunderson</v>
      </c>
      <c r="R32" s="5" t="str">
        <f ca="1">IFERROR(__xludf.DUMMYFUNCTION("""COMPUTED_VALUE"""),"HV")</f>
        <v>HV</v>
      </c>
      <c r="S32" s="5" t="str">
        <f ca="1">IFERROR(__xludf.DUMMYFUNCTION("""COMPUTED_VALUE"""),"G9")</f>
        <v>G9</v>
      </c>
      <c r="T32" s="5">
        <f ca="1">IFERROR(__xludf.DUMMYFUNCTION("""COMPUTED_VALUE"""),4)</f>
        <v>4</v>
      </c>
      <c r="U32" s="5">
        <f ca="1"/>
        <v>67</v>
      </c>
      <c r="V32" s="5" t="str">
        <f ca="1">IFERROR(__xludf.DUMMYFUNCTION("""COMPUTED_VALUE"""),"")</f>
        <v/>
      </c>
    </row>
    <row r="33" spans="1:22" ht="13.2">
      <c r="A33" s="1" t="e">
        <f ca="1"/>
        <v>#NAME?</v>
      </c>
      <c r="B33" s="30">
        <v>3506</v>
      </c>
      <c r="C33" s="36" t="s">
        <v>94</v>
      </c>
      <c r="D33" s="37" t="s">
        <v>95</v>
      </c>
      <c r="E33" s="38" t="s">
        <v>96</v>
      </c>
      <c r="F33" s="37" t="s">
        <v>95</v>
      </c>
      <c r="G33" s="42">
        <v>55.83</v>
      </c>
      <c r="H33" s="40" t="s">
        <v>38</v>
      </c>
      <c r="I33" s="40" t="s">
        <v>38</v>
      </c>
      <c r="J33" s="4"/>
      <c r="K33" s="41" t="str">
        <f ca="1">IFERROR(__xludf.DUMMYFUNCTION("""COMPUTED_VALUE"""),"Mallory Brown")</f>
        <v>Mallory Brown</v>
      </c>
      <c r="L33" s="5" t="str">
        <f ca="1">IFERROR(__xludf.DUMMYFUNCTION("""COMPUTED_VALUE"""),"OKM")</f>
        <v>OKM</v>
      </c>
      <c r="M33" s="5" t="str">
        <f ca="1">IFERROR(__xludf.DUMMYFUNCTION("""COMPUTED_VALUE"""),"G10")</f>
        <v>G10</v>
      </c>
      <c r="N33" s="5">
        <f ca="1">IFERROR(__xludf.DUMMYFUNCTION("""COMPUTED_VALUE"""),4)</f>
        <v>4</v>
      </c>
      <c r="O33" s="5"/>
      <c r="P33" s="41" t="str">
        <f ca="1">IFERROR(__xludf.DUMMYFUNCTION("""COMPUTED_VALUE"""),"")</f>
        <v/>
      </c>
      <c r="Q33" s="41" t="str">
        <f ca="1">IFERROR(__xludf.DUMMYFUNCTION("""COMPUTED_VALUE"""),"Taylor Kluger")</f>
        <v>Taylor Kluger</v>
      </c>
      <c r="R33" s="5" t="str">
        <f ca="1">IFERROR(__xludf.DUMMYFUNCTION("""COMPUTED_VALUE"""),"OKM")</f>
        <v>OKM</v>
      </c>
      <c r="S33" s="5" t="str">
        <f ca="1">IFERROR(__xludf.DUMMYFUNCTION("""COMPUTED_VALUE"""),"G11")</f>
        <v>G11</v>
      </c>
      <c r="T33" s="5">
        <f ca="1">IFERROR(__xludf.DUMMYFUNCTION("""COMPUTED_VALUE"""),3)</f>
        <v>3</v>
      </c>
      <c r="U33" s="5">
        <f ca="1"/>
        <v>99</v>
      </c>
      <c r="V33" s="5" t="str">
        <f ca="1">IFERROR(__xludf.DUMMYFUNCTION("""COMPUTED_VALUE"""),"")</f>
        <v/>
      </c>
    </row>
    <row r="34" spans="1:22" ht="13.2">
      <c r="A34" s="1" t="e">
        <f ca="1"/>
        <v>#NAME?</v>
      </c>
      <c r="B34" s="30">
        <v>3523</v>
      </c>
      <c r="C34" s="36" t="s">
        <v>97</v>
      </c>
      <c r="D34" s="37" t="s">
        <v>98</v>
      </c>
      <c r="E34" s="38" t="s">
        <v>99</v>
      </c>
      <c r="F34" s="37" t="s">
        <v>98</v>
      </c>
      <c r="G34" s="42">
        <v>55.68</v>
      </c>
      <c r="H34" s="40" t="s">
        <v>38</v>
      </c>
      <c r="I34" s="40" t="s">
        <v>38</v>
      </c>
      <c r="J34" s="4"/>
      <c r="K34" s="41" t="str">
        <f ca="1">IFERROR(__xludf.DUMMYFUNCTION("""COMPUTED_VALUE"""),"Bella DeSando")</f>
        <v>Bella DeSando</v>
      </c>
      <c r="L34" s="5" t="str">
        <f ca="1">IFERROR(__xludf.DUMMYFUNCTION("""COMPUTED_VALUE"""),"DL")</f>
        <v>DL</v>
      </c>
      <c r="M34" s="5" t="str">
        <f ca="1">IFERROR(__xludf.DUMMYFUNCTION("""COMPUTED_VALUE"""),"G9")</f>
        <v>G9</v>
      </c>
      <c r="N34" s="5">
        <f ca="1">IFERROR(__xludf.DUMMYFUNCTION("""COMPUTED_VALUE"""),4)</f>
        <v>4</v>
      </c>
      <c r="O34" s="5"/>
      <c r="P34" s="41" t="str">
        <f ca="1">IFERROR(__xludf.DUMMYFUNCTION("""COMPUTED_VALUE"""),"")</f>
        <v/>
      </c>
      <c r="Q34" s="41" t="str">
        <f ca="1">IFERROR(__xludf.DUMMYFUNCTION("""COMPUTED_VALUE"""),"Stella Baldeon Masturzo")</f>
        <v>Stella Baldeon Masturzo</v>
      </c>
      <c r="R34" s="5" t="str">
        <f ca="1">IFERROR(__xludf.DUMMYFUNCTION("""COMPUTED_VALUE"""),"DL")</f>
        <v>DL</v>
      </c>
      <c r="S34" s="5" t="str">
        <f ca="1">IFERROR(__xludf.DUMMYFUNCTION("""COMPUTED_VALUE"""),"G10")</f>
        <v>G10</v>
      </c>
      <c r="T34" s="5">
        <f ca="1">IFERROR(__xludf.DUMMYFUNCTION("""COMPUTED_VALUE"""),5)</f>
        <v>5</v>
      </c>
      <c r="U34" s="5">
        <f ca="1"/>
        <v>67</v>
      </c>
      <c r="V34" s="5" t="str">
        <f ca="1">IFERROR(__xludf.DUMMYFUNCTION("""COMPUTED_VALUE"""),"")</f>
        <v/>
      </c>
    </row>
    <row r="35" spans="1:22" ht="13.2">
      <c r="A35" s="1" t="e">
        <f ca="1"/>
        <v>#NAME?</v>
      </c>
      <c r="B35" s="30">
        <v>3823</v>
      </c>
      <c r="C35" s="36" t="s">
        <v>100</v>
      </c>
      <c r="D35" s="37" t="s">
        <v>98</v>
      </c>
      <c r="E35" s="38" t="s">
        <v>101</v>
      </c>
      <c r="F35" s="37" t="s">
        <v>98</v>
      </c>
      <c r="G35" s="42">
        <v>59.07</v>
      </c>
      <c r="H35" s="40" t="s">
        <v>38</v>
      </c>
      <c r="I35" s="40" t="s">
        <v>38</v>
      </c>
      <c r="J35" s="4"/>
      <c r="K35" s="41" t="str">
        <f ca="1">IFERROR(__xludf.DUMMYFUNCTION("""COMPUTED_VALUE"""),"Clara Beatty")</f>
        <v>Clara Beatty</v>
      </c>
      <c r="L35" s="5" t="str">
        <f ca="1">IFERROR(__xludf.DUMMYFUNCTION("""COMPUTED_VALUE"""),"DL")</f>
        <v>DL</v>
      </c>
      <c r="M35" s="5" t="str">
        <f ca="1">IFERROR(__xludf.DUMMYFUNCTION("""COMPUTED_VALUE"""),"G12")</f>
        <v>G12</v>
      </c>
      <c r="N35" s="5">
        <f ca="1">IFERROR(__xludf.DUMMYFUNCTION("""COMPUTED_VALUE"""),5)</f>
        <v>5</v>
      </c>
      <c r="O35" s="5"/>
      <c r="P35" s="41" t="str">
        <f ca="1">IFERROR(__xludf.DUMMYFUNCTION("""COMPUTED_VALUE"""),"")</f>
        <v/>
      </c>
      <c r="Q35" s="41" t="str">
        <f ca="1">IFERROR(__xludf.DUMMYFUNCTION("""COMPUTED_VALUE"""),"Erin Martonik")</f>
        <v>Erin Martonik</v>
      </c>
      <c r="R35" s="5" t="str">
        <f ca="1">IFERROR(__xludf.DUMMYFUNCTION("""COMPUTED_VALUE"""),"DL")</f>
        <v>DL</v>
      </c>
      <c r="S35" s="5" t="str">
        <f ca="1">IFERROR(__xludf.DUMMYFUNCTION("""COMPUTED_VALUE"""),"G12")</f>
        <v>G12</v>
      </c>
      <c r="T35" s="5">
        <f ca="1">IFERROR(__xludf.DUMMYFUNCTION("""COMPUTED_VALUE"""),5)</f>
        <v>5</v>
      </c>
      <c r="U35" s="5">
        <f ca="1"/>
        <v>99</v>
      </c>
      <c r="V35" s="5" t="str">
        <f ca="1">IFERROR(__xludf.DUMMYFUNCTION("""COMPUTED_VALUE"""),"")</f>
        <v/>
      </c>
    </row>
    <row r="36" spans="1:22" ht="13.2">
      <c r="A36" s="1" t="e">
        <f ca="1"/>
        <v>#NAME?</v>
      </c>
      <c r="B36" s="30">
        <v>4124</v>
      </c>
      <c r="C36" s="36" t="s">
        <v>102</v>
      </c>
      <c r="D36" s="37" t="s">
        <v>98</v>
      </c>
      <c r="E36" s="38" t="s">
        <v>103</v>
      </c>
      <c r="F36" s="37" t="s">
        <v>98</v>
      </c>
      <c r="G36" s="42">
        <v>55.92</v>
      </c>
      <c r="H36" s="40" t="s">
        <v>38</v>
      </c>
      <c r="I36" s="40" t="s">
        <v>38</v>
      </c>
      <c r="J36" s="4"/>
      <c r="K36" s="41" t="str">
        <f ca="1">IFERROR(__xludf.DUMMYFUNCTION("""COMPUTED_VALUE"""),"Elise Esquivel")</f>
        <v>Elise Esquivel</v>
      </c>
      <c r="L36" s="5" t="str">
        <f ca="1">IFERROR(__xludf.DUMMYFUNCTION("""COMPUTED_VALUE"""),"DL")</f>
        <v>DL</v>
      </c>
      <c r="M36" s="5" t="str">
        <f ca="1">IFERROR(__xludf.DUMMYFUNCTION("""COMPUTED_VALUE"""),"G10")</f>
        <v>G10</v>
      </c>
      <c r="N36" s="5">
        <f ca="1">IFERROR(__xludf.DUMMYFUNCTION("""COMPUTED_VALUE"""),5)</f>
        <v>5</v>
      </c>
      <c r="O36" s="5"/>
      <c r="P36" s="41" t="str">
        <f ca="1">IFERROR(__xludf.DUMMYFUNCTION("""COMPUTED_VALUE"""),"")</f>
        <v/>
      </c>
      <c r="Q36" s="41" t="str">
        <f ca="1">IFERROR(__xludf.DUMMYFUNCTION("""COMPUTED_VALUE"""),"Carina Bosco")</f>
        <v>Carina Bosco</v>
      </c>
      <c r="R36" s="5" t="str">
        <f ca="1">IFERROR(__xludf.DUMMYFUNCTION("""COMPUTED_VALUE"""),"DL")</f>
        <v>DL</v>
      </c>
      <c r="S36" s="5" t="str">
        <f ca="1">IFERROR(__xludf.DUMMYFUNCTION("""COMPUTED_VALUE"""),"G9")</f>
        <v>G9</v>
      </c>
      <c r="T36" s="5">
        <f ca="1">IFERROR(__xludf.DUMMYFUNCTION("""COMPUTED_VALUE"""),4)</f>
        <v>4</v>
      </c>
      <c r="U36" s="5">
        <f ca="1"/>
        <v>67</v>
      </c>
      <c r="V36" s="5" t="str">
        <f ca="1">IFERROR(__xludf.DUMMYFUNCTION("""COMPUTED_VALUE"""),"")</f>
        <v/>
      </c>
    </row>
    <row r="37" spans="1:22" ht="13.2">
      <c r="A37" s="1" t="e">
        <f ca="1"/>
        <v>#NAME?</v>
      </c>
      <c r="B37" s="30">
        <v>4454</v>
      </c>
      <c r="C37" s="36" t="s">
        <v>104</v>
      </c>
      <c r="D37" s="37" t="s">
        <v>61</v>
      </c>
      <c r="E37" s="38" t="s">
        <v>105</v>
      </c>
      <c r="F37" s="37" t="s">
        <v>61</v>
      </c>
      <c r="G37" s="42">
        <v>39.51</v>
      </c>
      <c r="H37" s="40" t="s">
        <v>38</v>
      </c>
      <c r="I37" s="40" t="s">
        <v>38</v>
      </c>
      <c r="J37" s="4"/>
      <c r="K37" s="41" t="str">
        <f ca="1">IFERROR(__xludf.DUMMYFUNCTION("""COMPUTED_VALUE"""),"Hannah Waters")</f>
        <v>Hannah Waters</v>
      </c>
      <c r="L37" s="5" t="str">
        <f ca="1">IFERROR(__xludf.DUMMYFUNCTION("""COMPUTED_VALUE"""),"PAR")</f>
        <v>PAR</v>
      </c>
      <c r="M37" s="5" t="str">
        <f ca="1">IFERROR(__xludf.DUMMYFUNCTION("""COMPUTED_VALUE"""),"G10")</f>
        <v>G10</v>
      </c>
      <c r="N37" s="5">
        <f ca="1">IFERROR(__xludf.DUMMYFUNCTION("""COMPUTED_VALUE"""),5)</f>
        <v>5</v>
      </c>
      <c r="O37" s="5"/>
      <c r="P37" s="41" t="str">
        <f ca="1">IFERROR(__xludf.DUMMYFUNCTION("""COMPUTED_VALUE"""),"")</f>
        <v/>
      </c>
      <c r="Q37" s="41" t="str">
        <f ca="1">IFERROR(__xludf.DUMMYFUNCTION("""COMPUTED_VALUE"""),"Sofia Stanley")</f>
        <v>Sofia Stanley</v>
      </c>
      <c r="R37" s="5" t="str">
        <f ca="1">IFERROR(__xludf.DUMMYFUNCTION("""COMPUTED_VALUE"""),"PAR")</f>
        <v>PAR</v>
      </c>
      <c r="S37" s="5" t="str">
        <f ca="1">IFERROR(__xludf.DUMMYFUNCTION("""COMPUTED_VALUE"""),"G9")</f>
        <v>G9</v>
      </c>
      <c r="T37" s="5">
        <f ca="1">IFERROR(__xludf.DUMMYFUNCTION("""COMPUTED_VALUE"""),5)</f>
        <v>5</v>
      </c>
      <c r="U37" s="5">
        <f ca="1"/>
        <v>67</v>
      </c>
      <c r="V37" s="5" t="str">
        <f ca="1">IFERROR(__xludf.DUMMYFUNCTION("""COMPUTED_VALUE"""),"")</f>
        <v/>
      </c>
    </row>
    <row r="38" spans="1:22" ht="13.2">
      <c r="A38" s="1" t="e">
        <f ca="1"/>
        <v>#NAME?</v>
      </c>
      <c r="B38" s="30">
        <v>5051</v>
      </c>
      <c r="C38" s="36" t="s">
        <v>106</v>
      </c>
      <c r="D38" s="37" t="s">
        <v>58</v>
      </c>
      <c r="E38" s="38" t="s">
        <v>107</v>
      </c>
      <c r="F38" s="37" t="s">
        <v>58</v>
      </c>
      <c r="G38" s="42">
        <v>54.6</v>
      </c>
      <c r="H38" s="40" t="s">
        <v>38</v>
      </c>
      <c r="I38" s="40" t="s">
        <v>38</v>
      </c>
      <c r="J38" s="4"/>
      <c r="K38" s="41" t="str">
        <f ca="1">IFERROR(__xludf.DUMMYFUNCTION("""COMPUTED_VALUE"""),"Ari Wiley-Jimenez")</f>
        <v>Ari Wiley-Jimenez</v>
      </c>
      <c r="L38" s="5" t="str">
        <f ca="1">IFERROR(__xludf.DUMMYFUNCTION("""COMPUTED_VALUE"""),"GF")</f>
        <v>GF</v>
      </c>
      <c r="M38" s="5" t="str">
        <f ca="1">IFERROR(__xludf.DUMMYFUNCTION("""COMPUTED_VALUE"""),"G11")</f>
        <v>G11</v>
      </c>
      <c r="N38" s="5">
        <f ca="1">IFERROR(__xludf.DUMMYFUNCTION("""COMPUTED_VALUE"""),5)</f>
        <v>5</v>
      </c>
      <c r="O38" s="5"/>
      <c r="P38" s="41" t="str">
        <f ca="1">IFERROR(__xludf.DUMMYFUNCTION("""COMPUTED_VALUE"""),"")</f>
        <v/>
      </c>
      <c r="Q38" s="41" t="str">
        <f ca="1">IFERROR(__xludf.DUMMYFUNCTION("""COMPUTED_VALUE"""),"Aletheia Wiley-Jimenez")</f>
        <v>Aletheia Wiley-Jimenez</v>
      </c>
      <c r="R38" s="5" t="str">
        <f ca="1">IFERROR(__xludf.DUMMYFUNCTION("""COMPUTED_VALUE"""),"GF")</f>
        <v>GF</v>
      </c>
      <c r="S38" s="5" t="str">
        <f ca="1">IFERROR(__xludf.DUMMYFUNCTION("""COMPUTED_VALUE"""),"G11")</f>
        <v>G11</v>
      </c>
      <c r="T38" s="5">
        <f ca="1">IFERROR(__xludf.DUMMYFUNCTION("""COMPUTED_VALUE"""),5)</f>
        <v>5</v>
      </c>
      <c r="U38" s="5">
        <f ca="1"/>
        <v>99</v>
      </c>
      <c r="V38" s="5" t="str">
        <f ca="1">IFERROR(__xludf.DUMMYFUNCTION("""COMPUTED_VALUE"""),"")</f>
        <v/>
      </c>
    </row>
    <row r="39" spans="1:22" ht="13.2">
      <c r="A39" s="1" t="e">
        <f ca="1"/>
        <v>#NAME?</v>
      </c>
      <c r="B39" s="30">
        <v>5466</v>
      </c>
      <c r="C39" s="36"/>
      <c r="D39" s="37"/>
      <c r="E39" s="38"/>
      <c r="F39" s="37"/>
      <c r="G39" s="42"/>
      <c r="H39" s="40" t="s">
        <v>38</v>
      </c>
      <c r="I39" s="40" t="s">
        <v>38</v>
      </c>
      <c r="J39" s="4"/>
      <c r="K39" s="41" t="str">
        <f ca="1">IFERROR(__xludf.DUMMYFUNCTION("""COMPUTED_VALUE"""),"")</f>
        <v/>
      </c>
      <c r="L39" s="5" t="str">
        <f ca="1">IFERROR(__xludf.DUMMYFUNCTION("""COMPUTED_VALUE"""),"")</f>
        <v/>
      </c>
      <c r="M39" s="5" t="str">
        <f ca="1">IFERROR(__xludf.DUMMYFUNCTION("""COMPUTED_VALUE"""),"")</f>
        <v/>
      </c>
      <c r="N39" s="5" t="str">
        <f ca="1">IFERROR(__xludf.DUMMYFUNCTION("""COMPUTED_VALUE"""),"")</f>
        <v/>
      </c>
      <c r="O39" s="5"/>
      <c r="P39" s="41" t="str">
        <f ca="1">IFERROR(__xludf.DUMMYFUNCTION("""COMPUTED_VALUE"""),"")</f>
        <v/>
      </c>
      <c r="Q39" s="41" t="str">
        <f ca="1">IFERROR(__xludf.DUMMYFUNCTION("""COMPUTED_VALUE"""),"")</f>
        <v/>
      </c>
      <c r="R39" s="5" t="str">
        <f ca="1">IFERROR(__xludf.DUMMYFUNCTION("""COMPUTED_VALUE"""),"")</f>
        <v/>
      </c>
      <c r="S39" s="5" t="str">
        <f ca="1">IFERROR(__xludf.DUMMYFUNCTION("""COMPUTED_VALUE"""),"")</f>
        <v/>
      </c>
      <c r="T39" s="5" t="str">
        <f ca="1">IFERROR(__xludf.DUMMYFUNCTION("""COMPUTED_VALUE"""),"")</f>
        <v/>
      </c>
      <c r="U39" s="5" t="str">
        <f ca="1"/>
        <v/>
      </c>
      <c r="V39" s="5" t="str">
        <f ca="1">IFERROR(__xludf.DUMMYFUNCTION("""COMPUTED_VALUE"""),"")</f>
        <v/>
      </c>
    </row>
    <row r="40" spans="1:22" ht="13.2">
      <c r="A40" s="1" t="e">
        <f ca="1"/>
        <v>#NAME?</v>
      </c>
      <c r="B40" s="30">
        <v>5602</v>
      </c>
      <c r="C40" s="36"/>
      <c r="D40" s="37"/>
      <c r="E40" s="38"/>
      <c r="F40" s="37"/>
      <c r="G40" s="42"/>
      <c r="H40" s="40" t="s">
        <v>38</v>
      </c>
      <c r="I40" s="40" t="s">
        <v>38</v>
      </c>
      <c r="J40" s="4"/>
      <c r="K40" s="41" t="str">
        <f ca="1">IFERROR(__xludf.DUMMYFUNCTION("""COMPUTED_VALUE"""),"")</f>
        <v/>
      </c>
      <c r="L40" s="5" t="str">
        <f ca="1">IFERROR(__xludf.DUMMYFUNCTION("""COMPUTED_VALUE"""),"")</f>
        <v/>
      </c>
      <c r="M40" s="5" t="str">
        <f ca="1">IFERROR(__xludf.DUMMYFUNCTION("""COMPUTED_VALUE"""),"")</f>
        <v/>
      </c>
      <c r="N40" s="5" t="str">
        <f ca="1">IFERROR(__xludf.DUMMYFUNCTION("""COMPUTED_VALUE"""),"")</f>
        <v/>
      </c>
      <c r="O40" s="5"/>
      <c r="P40" s="41" t="str">
        <f ca="1">IFERROR(__xludf.DUMMYFUNCTION("""COMPUTED_VALUE"""),"")</f>
        <v/>
      </c>
      <c r="Q40" s="41" t="str">
        <f ca="1">IFERROR(__xludf.DUMMYFUNCTION("""COMPUTED_VALUE"""),"")</f>
        <v/>
      </c>
      <c r="R40" s="5" t="str">
        <f ca="1">IFERROR(__xludf.DUMMYFUNCTION("""COMPUTED_VALUE"""),"")</f>
        <v/>
      </c>
      <c r="S40" s="5" t="str">
        <f ca="1">IFERROR(__xludf.DUMMYFUNCTION("""COMPUTED_VALUE"""),"")</f>
        <v/>
      </c>
      <c r="T40" s="5" t="str">
        <f ca="1">IFERROR(__xludf.DUMMYFUNCTION("""COMPUTED_VALUE"""),"")</f>
        <v/>
      </c>
      <c r="U40" s="5" t="str">
        <f ca="1"/>
        <v/>
      </c>
      <c r="V40" s="5" t="str">
        <f ca="1">IFERROR(__xludf.DUMMYFUNCTION("""COMPUTED_VALUE"""),"")</f>
        <v/>
      </c>
    </row>
    <row r="41" spans="1:22" ht="13.2">
      <c r="A41" s="1" t="e">
        <f ca="1"/>
        <v>#NAME?</v>
      </c>
      <c r="B41" s="30">
        <v>5710</v>
      </c>
      <c r="C41" s="36"/>
      <c r="D41" s="37"/>
      <c r="E41" s="38"/>
      <c r="F41" s="37"/>
      <c r="G41" s="42"/>
      <c r="H41" s="40" t="s">
        <v>38</v>
      </c>
      <c r="I41" s="40" t="s">
        <v>38</v>
      </c>
      <c r="J41" s="4"/>
      <c r="K41" s="41" t="str">
        <f ca="1">IFERROR(__xludf.DUMMYFUNCTION("""COMPUTED_VALUE"""),"")</f>
        <v/>
      </c>
      <c r="L41" s="5" t="str">
        <f ca="1">IFERROR(__xludf.DUMMYFUNCTION("""COMPUTED_VALUE"""),"")</f>
        <v/>
      </c>
      <c r="M41" s="5" t="str">
        <f ca="1">IFERROR(__xludf.DUMMYFUNCTION("""COMPUTED_VALUE"""),"")</f>
        <v/>
      </c>
      <c r="N41" s="5" t="str">
        <f ca="1">IFERROR(__xludf.DUMMYFUNCTION("""COMPUTED_VALUE"""),"")</f>
        <v/>
      </c>
      <c r="O41" s="5"/>
      <c r="P41" s="41" t="str">
        <f ca="1">IFERROR(__xludf.DUMMYFUNCTION("""COMPUTED_VALUE"""),"")</f>
        <v/>
      </c>
      <c r="Q41" s="41" t="str">
        <f ca="1">IFERROR(__xludf.DUMMYFUNCTION("""COMPUTED_VALUE"""),"")</f>
        <v/>
      </c>
      <c r="R41" s="5" t="str">
        <f ca="1">IFERROR(__xludf.DUMMYFUNCTION("""COMPUTED_VALUE"""),"")</f>
        <v/>
      </c>
      <c r="S41" s="5" t="str">
        <f ca="1">IFERROR(__xludf.DUMMYFUNCTION("""COMPUTED_VALUE"""),"")</f>
        <v/>
      </c>
      <c r="T41" s="5" t="str">
        <f ca="1">IFERROR(__xludf.DUMMYFUNCTION("""COMPUTED_VALUE"""),"")</f>
        <v/>
      </c>
      <c r="U41" s="5" t="str">
        <f ca="1"/>
        <v/>
      </c>
      <c r="V41" s="5" t="str">
        <f ca="1">IFERROR(__xludf.DUMMYFUNCTION("""COMPUTED_VALUE"""),"")</f>
        <v/>
      </c>
    </row>
    <row r="42" spans="1:22" ht="13.2">
      <c r="A42" s="1" t="e">
        <f ca="1"/>
        <v>#NAME?</v>
      </c>
      <c r="B42" s="30">
        <v>5876</v>
      </c>
      <c r="C42" s="36"/>
      <c r="D42" s="37"/>
      <c r="E42" s="38"/>
      <c r="F42" s="37"/>
      <c r="G42" s="42"/>
      <c r="H42" s="40" t="s">
        <v>38</v>
      </c>
      <c r="I42" s="40" t="s">
        <v>38</v>
      </c>
      <c r="J42" s="4"/>
      <c r="K42" s="41" t="str">
        <f ca="1">IFERROR(__xludf.DUMMYFUNCTION("""COMPUTED_VALUE"""),"")</f>
        <v/>
      </c>
      <c r="L42" s="5" t="str">
        <f ca="1">IFERROR(__xludf.DUMMYFUNCTION("""COMPUTED_VALUE"""),"")</f>
        <v/>
      </c>
      <c r="M42" s="5" t="str">
        <f ca="1">IFERROR(__xludf.DUMMYFUNCTION("""COMPUTED_VALUE"""),"")</f>
        <v/>
      </c>
      <c r="N42" s="5" t="str">
        <f ca="1">IFERROR(__xludf.DUMMYFUNCTION("""COMPUTED_VALUE"""),"")</f>
        <v/>
      </c>
      <c r="O42" s="5"/>
      <c r="P42" s="41" t="str">
        <f ca="1">IFERROR(__xludf.DUMMYFUNCTION("""COMPUTED_VALUE"""),"")</f>
        <v/>
      </c>
      <c r="Q42" s="41" t="str">
        <f ca="1">IFERROR(__xludf.DUMMYFUNCTION("""COMPUTED_VALUE"""),"")</f>
        <v/>
      </c>
      <c r="R42" s="5" t="str">
        <f ca="1">IFERROR(__xludf.DUMMYFUNCTION("""COMPUTED_VALUE"""),"")</f>
        <v/>
      </c>
      <c r="S42" s="5" t="str">
        <f ca="1">IFERROR(__xludf.DUMMYFUNCTION("""COMPUTED_VALUE"""),"")</f>
        <v/>
      </c>
      <c r="T42" s="5" t="str">
        <f ca="1">IFERROR(__xludf.DUMMYFUNCTION("""COMPUTED_VALUE"""),"")</f>
        <v/>
      </c>
      <c r="U42" s="5" t="str">
        <f ca="1"/>
        <v/>
      </c>
      <c r="V42" s="5" t="str">
        <f ca="1">IFERROR(__xludf.DUMMYFUNCTION("""COMPUTED_VALUE"""),"")</f>
        <v/>
      </c>
    </row>
    <row r="43" spans="1:22" ht="13.2">
      <c r="A43" s="1" t="e">
        <f ca="1"/>
        <v>#NAME?</v>
      </c>
      <c r="B43" s="30">
        <v>5899</v>
      </c>
      <c r="C43" s="36"/>
      <c r="D43" s="37"/>
      <c r="E43" s="38"/>
      <c r="F43" s="37"/>
      <c r="G43" s="42"/>
      <c r="H43" s="40" t="s">
        <v>38</v>
      </c>
      <c r="I43" s="40" t="s">
        <v>38</v>
      </c>
      <c r="J43" s="4"/>
      <c r="K43" s="41" t="str">
        <f ca="1">IFERROR(__xludf.DUMMYFUNCTION("""COMPUTED_VALUE"""),"")</f>
        <v/>
      </c>
      <c r="L43" s="5" t="str">
        <f ca="1">IFERROR(__xludf.DUMMYFUNCTION("""COMPUTED_VALUE"""),"")</f>
        <v/>
      </c>
      <c r="M43" s="5" t="str">
        <f ca="1">IFERROR(__xludf.DUMMYFUNCTION("""COMPUTED_VALUE"""),"")</f>
        <v/>
      </c>
      <c r="N43" s="5" t="str">
        <f ca="1">IFERROR(__xludf.DUMMYFUNCTION("""COMPUTED_VALUE"""),"")</f>
        <v/>
      </c>
      <c r="O43" s="5"/>
      <c r="P43" s="41" t="str">
        <f ca="1">IFERROR(__xludf.DUMMYFUNCTION("""COMPUTED_VALUE"""),"")</f>
        <v/>
      </c>
      <c r="Q43" s="41" t="str">
        <f ca="1">IFERROR(__xludf.DUMMYFUNCTION("""COMPUTED_VALUE"""),"")</f>
        <v/>
      </c>
      <c r="R43" s="5" t="str">
        <f ca="1">IFERROR(__xludf.DUMMYFUNCTION("""COMPUTED_VALUE"""),"")</f>
        <v/>
      </c>
      <c r="S43" s="5" t="str">
        <f ca="1">IFERROR(__xludf.DUMMYFUNCTION("""COMPUTED_VALUE"""),"")</f>
        <v/>
      </c>
      <c r="T43" s="5" t="str">
        <f ca="1">IFERROR(__xludf.DUMMYFUNCTION("""COMPUTED_VALUE"""),"")</f>
        <v/>
      </c>
      <c r="U43" s="5" t="str">
        <f ca="1"/>
        <v/>
      </c>
      <c r="V43" s="5" t="str">
        <f ca="1">IFERROR(__xludf.DUMMYFUNCTION("""COMPUTED_VALUE"""),"")</f>
        <v/>
      </c>
    </row>
    <row r="44" spans="1:22" ht="13.2">
      <c r="A44" s="1" t="e">
        <f ca="1"/>
        <v>#NAME?</v>
      </c>
      <c r="B44" s="30">
        <v>6095</v>
      </c>
      <c r="C44" s="36"/>
      <c r="D44" s="37"/>
      <c r="E44" s="38"/>
      <c r="F44" s="37"/>
      <c r="G44" s="42"/>
      <c r="H44" s="40" t="s">
        <v>38</v>
      </c>
      <c r="I44" s="40" t="s">
        <v>38</v>
      </c>
      <c r="J44" s="4"/>
      <c r="K44" s="41" t="str">
        <f ca="1">IFERROR(__xludf.DUMMYFUNCTION("""COMPUTED_VALUE"""),"")</f>
        <v/>
      </c>
      <c r="L44" s="5" t="str">
        <f ca="1">IFERROR(__xludf.DUMMYFUNCTION("""COMPUTED_VALUE"""),"")</f>
        <v/>
      </c>
      <c r="M44" s="5" t="str">
        <f ca="1">IFERROR(__xludf.DUMMYFUNCTION("""COMPUTED_VALUE"""),"")</f>
        <v/>
      </c>
      <c r="N44" s="5" t="str">
        <f ca="1">IFERROR(__xludf.DUMMYFUNCTION("""COMPUTED_VALUE"""),"")</f>
        <v/>
      </c>
      <c r="O44" s="5"/>
      <c r="P44" s="41" t="str">
        <f ca="1">IFERROR(__xludf.DUMMYFUNCTION("""COMPUTED_VALUE"""),"")</f>
        <v/>
      </c>
      <c r="Q44" s="41" t="str">
        <f ca="1">IFERROR(__xludf.DUMMYFUNCTION("""COMPUTED_VALUE"""),"")</f>
        <v/>
      </c>
      <c r="R44" s="5" t="str">
        <f ca="1">IFERROR(__xludf.DUMMYFUNCTION("""COMPUTED_VALUE"""),"")</f>
        <v/>
      </c>
      <c r="S44" s="5" t="str">
        <f ca="1">IFERROR(__xludf.DUMMYFUNCTION("""COMPUTED_VALUE"""),"")</f>
        <v/>
      </c>
      <c r="T44" s="5" t="str">
        <f ca="1">IFERROR(__xludf.DUMMYFUNCTION("""COMPUTED_VALUE"""),"")</f>
        <v/>
      </c>
      <c r="U44" s="5" t="str">
        <f ca="1"/>
        <v/>
      </c>
      <c r="V44" s="5" t="str">
        <f ca="1">IFERROR(__xludf.DUMMYFUNCTION("""COMPUTED_VALUE"""),"")</f>
        <v/>
      </c>
    </row>
    <row r="45" spans="1:22" ht="13.2">
      <c r="A45" s="1" t="e">
        <f ca="1"/>
        <v>#NAME?</v>
      </c>
      <c r="B45" s="30">
        <v>6174</v>
      </c>
      <c r="C45" s="36"/>
      <c r="D45" s="37"/>
      <c r="E45" s="38"/>
      <c r="F45" s="37"/>
      <c r="G45" s="42"/>
      <c r="H45" s="40" t="s">
        <v>38</v>
      </c>
      <c r="I45" s="40" t="s">
        <v>38</v>
      </c>
      <c r="J45" s="4"/>
      <c r="K45" s="41" t="str">
        <f ca="1">IFERROR(__xludf.DUMMYFUNCTION("""COMPUTED_VALUE"""),"")</f>
        <v/>
      </c>
      <c r="L45" s="5" t="str">
        <f ca="1">IFERROR(__xludf.DUMMYFUNCTION("""COMPUTED_VALUE"""),"")</f>
        <v/>
      </c>
      <c r="M45" s="5" t="str">
        <f ca="1">IFERROR(__xludf.DUMMYFUNCTION("""COMPUTED_VALUE"""),"")</f>
        <v/>
      </c>
      <c r="N45" s="5" t="str">
        <f ca="1">IFERROR(__xludf.DUMMYFUNCTION("""COMPUTED_VALUE"""),"")</f>
        <v/>
      </c>
      <c r="O45" s="5"/>
      <c r="P45" s="41" t="str">
        <f ca="1">IFERROR(__xludf.DUMMYFUNCTION("""COMPUTED_VALUE"""),"")</f>
        <v/>
      </c>
      <c r="Q45" s="41" t="str">
        <f ca="1">IFERROR(__xludf.DUMMYFUNCTION("""COMPUTED_VALUE"""),"")</f>
        <v/>
      </c>
      <c r="R45" s="5" t="str">
        <f ca="1">IFERROR(__xludf.DUMMYFUNCTION("""COMPUTED_VALUE"""),"")</f>
        <v/>
      </c>
      <c r="S45" s="5" t="str">
        <f ca="1">IFERROR(__xludf.DUMMYFUNCTION("""COMPUTED_VALUE"""),"")</f>
        <v/>
      </c>
      <c r="T45" s="5" t="str">
        <f ca="1">IFERROR(__xludf.DUMMYFUNCTION("""COMPUTED_VALUE"""),"")</f>
        <v/>
      </c>
      <c r="U45" s="5" t="str">
        <f ca="1"/>
        <v/>
      </c>
      <c r="V45" s="5" t="str">
        <f ca="1">IFERROR(__xludf.DUMMYFUNCTION("""COMPUTED_VALUE"""),"")</f>
        <v/>
      </c>
    </row>
    <row r="46" spans="1:22" ht="13.2">
      <c r="A46" s="1" t="e">
        <f ca="1"/>
        <v>#NAME?</v>
      </c>
      <c r="B46" s="30">
        <v>7212</v>
      </c>
      <c r="C46" s="36"/>
      <c r="D46" s="37"/>
      <c r="E46" s="38"/>
      <c r="F46" s="37"/>
      <c r="G46" s="42"/>
      <c r="H46" s="40" t="s">
        <v>38</v>
      </c>
      <c r="I46" s="40" t="s">
        <v>38</v>
      </c>
      <c r="J46" s="4"/>
      <c r="K46" s="41" t="str">
        <f ca="1">IFERROR(__xludf.DUMMYFUNCTION("""COMPUTED_VALUE"""),"")</f>
        <v/>
      </c>
      <c r="L46" s="5" t="str">
        <f ca="1">IFERROR(__xludf.DUMMYFUNCTION("""COMPUTED_VALUE"""),"")</f>
        <v/>
      </c>
      <c r="M46" s="5" t="str">
        <f ca="1">IFERROR(__xludf.DUMMYFUNCTION("""COMPUTED_VALUE"""),"")</f>
        <v/>
      </c>
      <c r="N46" s="5" t="str">
        <f ca="1">IFERROR(__xludf.DUMMYFUNCTION("""COMPUTED_VALUE"""),"")</f>
        <v/>
      </c>
      <c r="O46" s="5"/>
      <c r="P46" s="41" t="str">
        <f ca="1">IFERROR(__xludf.DUMMYFUNCTION("""COMPUTED_VALUE"""),"")</f>
        <v/>
      </c>
      <c r="Q46" s="41" t="str">
        <f ca="1">IFERROR(__xludf.DUMMYFUNCTION("""COMPUTED_VALUE"""),"")</f>
        <v/>
      </c>
      <c r="R46" s="5" t="str">
        <f ca="1">IFERROR(__xludf.DUMMYFUNCTION("""COMPUTED_VALUE"""),"")</f>
        <v/>
      </c>
      <c r="S46" s="5" t="str">
        <f ca="1">IFERROR(__xludf.DUMMYFUNCTION("""COMPUTED_VALUE"""),"")</f>
        <v/>
      </c>
      <c r="T46" s="5" t="str">
        <f ca="1">IFERROR(__xludf.DUMMYFUNCTION("""COMPUTED_VALUE"""),"")</f>
        <v/>
      </c>
      <c r="U46" s="5" t="str">
        <f ca="1"/>
        <v/>
      </c>
      <c r="V46" s="5" t="str">
        <f ca="1">IFERROR(__xludf.DUMMYFUNCTION("""COMPUTED_VALUE"""),"")</f>
        <v/>
      </c>
    </row>
    <row r="47" spans="1:22" ht="13.2">
      <c r="A47" s="1" t="e">
        <f ca="1"/>
        <v>#NAME?</v>
      </c>
      <c r="B47" s="30">
        <v>7420</v>
      </c>
      <c r="C47" s="36"/>
      <c r="D47" s="37"/>
      <c r="E47" s="38"/>
      <c r="F47" s="37"/>
      <c r="G47" s="42"/>
      <c r="H47" s="40" t="s">
        <v>38</v>
      </c>
      <c r="I47" s="40" t="s">
        <v>38</v>
      </c>
      <c r="J47" s="4"/>
      <c r="K47" s="41" t="str">
        <f ca="1">IFERROR(__xludf.DUMMYFUNCTION("""COMPUTED_VALUE"""),"")</f>
        <v/>
      </c>
      <c r="L47" s="5" t="str">
        <f ca="1">IFERROR(__xludf.DUMMYFUNCTION("""COMPUTED_VALUE"""),"")</f>
        <v/>
      </c>
      <c r="M47" s="5" t="str">
        <f ca="1">IFERROR(__xludf.DUMMYFUNCTION("""COMPUTED_VALUE"""),"")</f>
        <v/>
      </c>
      <c r="N47" s="5" t="str">
        <f ca="1">IFERROR(__xludf.DUMMYFUNCTION("""COMPUTED_VALUE"""),"")</f>
        <v/>
      </c>
      <c r="O47" s="5"/>
      <c r="P47" s="41" t="str">
        <f ca="1">IFERROR(__xludf.DUMMYFUNCTION("""COMPUTED_VALUE"""),"")</f>
        <v/>
      </c>
      <c r="Q47" s="41" t="str">
        <f ca="1">IFERROR(__xludf.DUMMYFUNCTION("""COMPUTED_VALUE"""),"")</f>
        <v/>
      </c>
      <c r="R47" s="5" t="str">
        <f ca="1">IFERROR(__xludf.DUMMYFUNCTION("""COMPUTED_VALUE"""),"")</f>
        <v/>
      </c>
      <c r="S47" s="5" t="str">
        <f ca="1">IFERROR(__xludf.DUMMYFUNCTION("""COMPUTED_VALUE"""),"")</f>
        <v/>
      </c>
      <c r="T47" s="5" t="str">
        <f ca="1">IFERROR(__xludf.DUMMYFUNCTION("""COMPUTED_VALUE"""),"")</f>
        <v/>
      </c>
      <c r="U47" s="5" t="str">
        <f ca="1"/>
        <v/>
      </c>
      <c r="V47" s="5" t="str">
        <f ca="1">IFERROR(__xludf.DUMMYFUNCTION("""COMPUTED_VALUE"""),"")</f>
        <v/>
      </c>
    </row>
    <row r="48" spans="1:22" ht="13.2">
      <c r="A48" s="1" t="e">
        <f ca="1"/>
        <v>#NAME?</v>
      </c>
      <c r="B48" s="30">
        <v>7680</v>
      </c>
      <c r="C48" s="36"/>
      <c r="D48" s="37"/>
      <c r="E48" s="38"/>
      <c r="F48" s="37"/>
      <c r="G48" s="42"/>
      <c r="H48" s="40" t="s">
        <v>38</v>
      </c>
      <c r="I48" s="40" t="s">
        <v>38</v>
      </c>
      <c r="J48" s="4"/>
      <c r="K48" s="41" t="str">
        <f ca="1">IFERROR(__xludf.DUMMYFUNCTION("""COMPUTED_VALUE"""),"")</f>
        <v/>
      </c>
      <c r="L48" s="5" t="str">
        <f ca="1">IFERROR(__xludf.DUMMYFUNCTION("""COMPUTED_VALUE"""),"")</f>
        <v/>
      </c>
      <c r="M48" s="5" t="str">
        <f ca="1">IFERROR(__xludf.DUMMYFUNCTION("""COMPUTED_VALUE"""),"")</f>
        <v/>
      </c>
      <c r="N48" s="5" t="str">
        <f ca="1">IFERROR(__xludf.DUMMYFUNCTION("""COMPUTED_VALUE"""),"")</f>
        <v/>
      </c>
      <c r="O48" s="5"/>
      <c r="P48" s="41" t="str">
        <f ca="1">IFERROR(__xludf.DUMMYFUNCTION("""COMPUTED_VALUE"""),"")</f>
        <v/>
      </c>
      <c r="Q48" s="41" t="str">
        <f ca="1">IFERROR(__xludf.DUMMYFUNCTION("""COMPUTED_VALUE"""),"")</f>
        <v/>
      </c>
      <c r="R48" s="5" t="str">
        <f ca="1">IFERROR(__xludf.DUMMYFUNCTION("""COMPUTED_VALUE"""),"")</f>
        <v/>
      </c>
      <c r="S48" s="5" t="str">
        <f ca="1">IFERROR(__xludf.DUMMYFUNCTION("""COMPUTED_VALUE"""),"")</f>
        <v/>
      </c>
      <c r="T48" s="5" t="str">
        <f ca="1">IFERROR(__xludf.DUMMYFUNCTION("""COMPUTED_VALUE"""),"")</f>
        <v/>
      </c>
      <c r="U48" s="5" t="str">
        <f ca="1"/>
        <v/>
      </c>
      <c r="V48" s="5" t="str">
        <f ca="1">IFERROR(__xludf.DUMMYFUNCTION("""COMPUTED_VALUE"""),"")</f>
        <v/>
      </c>
    </row>
    <row r="49" spans="1:22" ht="13.2">
      <c r="A49" s="1" t="e">
        <f ca="1"/>
        <v>#NAME?</v>
      </c>
      <c r="B49" s="30">
        <v>7793</v>
      </c>
      <c r="C49" s="36"/>
      <c r="D49" s="37"/>
      <c r="E49" s="38"/>
      <c r="F49" s="37"/>
      <c r="G49" s="42"/>
      <c r="H49" s="40" t="s">
        <v>38</v>
      </c>
      <c r="I49" s="40" t="s">
        <v>38</v>
      </c>
      <c r="J49" s="4"/>
      <c r="K49" s="41" t="str">
        <f ca="1">IFERROR(__xludf.DUMMYFUNCTION("""COMPUTED_VALUE"""),"")</f>
        <v/>
      </c>
      <c r="L49" s="5" t="str">
        <f ca="1">IFERROR(__xludf.DUMMYFUNCTION("""COMPUTED_VALUE"""),"")</f>
        <v/>
      </c>
      <c r="M49" s="5" t="str">
        <f ca="1">IFERROR(__xludf.DUMMYFUNCTION("""COMPUTED_VALUE"""),"")</f>
        <v/>
      </c>
      <c r="N49" s="5" t="str">
        <f ca="1">IFERROR(__xludf.DUMMYFUNCTION("""COMPUTED_VALUE"""),"")</f>
        <v/>
      </c>
      <c r="O49" s="5"/>
      <c r="P49" s="41" t="str">
        <f ca="1">IFERROR(__xludf.DUMMYFUNCTION("""COMPUTED_VALUE"""),"")</f>
        <v/>
      </c>
      <c r="Q49" s="41" t="str">
        <f ca="1">IFERROR(__xludf.DUMMYFUNCTION("""COMPUTED_VALUE"""),"")</f>
        <v/>
      </c>
      <c r="R49" s="5" t="str">
        <f ca="1">IFERROR(__xludf.DUMMYFUNCTION("""COMPUTED_VALUE"""),"")</f>
        <v/>
      </c>
      <c r="S49" s="5" t="str">
        <f ca="1">IFERROR(__xludf.DUMMYFUNCTION("""COMPUTED_VALUE"""),"")</f>
        <v/>
      </c>
      <c r="T49" s="5" t="str">
        <f ca="1">IFERROR(__xludf.DUMMYFUNCTION("""COMPUTED_VALUE"""),"")</f>
        <v/>
      </c>
      <c r="U49" s="5" t="str">
        <f ca="1"/>
        <v/>
      </c>
      <c r="V49" s="5" t="str">
        <f ca="1">IFERROR(__xludf.DUMMYFUNCTION("""COMPUTED_VALUE"""),"")</f>
        <v/>
      </c>
    </row>
    <row r="50" spans="1:22" ht="13.2">
      <c r="A50" s="1" t="e">
        <f ca="1"/>
        <v>#NAME?</v>
      </c>
      <c r="B50" s="30">
        <v>7867</v>
      </c>
      <c r="C50" s="36"/>
      <c r="D50" s="37"/>
      <c r="E50" s="38"/>
      <c r="F50" s="37"/>
      <c r="G50" s="42"/>
      <c r="H50" s="40" t="s">
        <v>38</v>
      </c>
      <c r="I50" s="40" t="s">
        <v>38</v>
      </c>
      <c r="J50" s="4"/>
      <c r="K50" s="41" t="str">
        <f ca="1">IFERROR(__xludf.DUMMYFUNCTION("""COMPUTED_VALUE"""),"")</f>
        <v/>
      </c>
      <c r="L50" s="5" t="str">
        <f ca="1">IFERROR(__xludf.DUMMYFUNCTION("""COMPUTED_VALUE"""),"")</f>
        <v/>
      </c>
      <c r="M50" s="5" t="str">
        <f ca="1">IFERROR(__xludf.DUMMYFUNCTION("""COMPUTED_VALUE"""),"")</f>
        <v/>
      </c>
      <c r="N50" s="5" t="str">
        <f ca="1">IFERROR(__xludf.DUMMYFUNCTION("""COMPUTED_VALUE"""),"")</f>
        <v/>
      </c>
      <c r="O50" s="5"/>
      <c r="P50" s="41" t="str">
        <f ca="1">IFERROR(__xludf.DUMMYFUNCTION("""COMPUTED_VALUE"""),"")</f>
        <v/>
      </c>
      <c r="Q50" s="41" t="str">
        <f ca="1">IFERROR(__xludf.DUMMYFUNCTION("""COMPUTED_VALUE"""),"")</f>
        <v/>
      </c>
      <c r="R50" s="5" t="str">
        <f ca="1">IFERROR(__xludf.DUMMYFUNCTION("""COMPUTED_VALUE"""),"")</f>
        <v/>
      </c>
      <c r="S50" s="5" t="str">
        <f ca="1">IFERROR(__xludf.DUMMYFUNCTION("""COMPUTED_VALUE"""),"")</f>
        <v/>
      </c>
      <c r="T50" s="5" t="str">
        <f ca="1">IFERROR(__xludf.DUMMYFUNCTION("""COMPUTED_VALUE"""),"")</f>
        <v/>
      </c>
      <c r="U50" s="5" t="str">
        <f ca="1"/>
        <v/>
      </c>
      <c r="V50" s="5" t="str">
        <f ca="1">IFERROR(__xludf.DUMMYFUNCTION("""COMPUTED_VALUE"""),"")</f>
        <v/>
      </c>
    </row>
    <row r="51" spans="1:22" ht="13.2">
      <c r="A51" s="1" t="e">
        <f ca="1"/>
        <v>#NAME?</v>
      </c>
      <c r="B51" s="30">
        <v>7912</v>
      </c>
      <c r="C51" s="48"/>
      <c r="D51" s="49"/>
      <c r="E51" s="50"/>
      <c r="F51" s="49"/>
      <c r="G51" s="51"/>
      <c r="H51" s="40" t="s">
        <v>38</v>
      </c>
      <c r="I51" s="40" t="s">
        <v>38</v>
      </c>
      <c r="J51" s="4"/>
      <c r="K51" s="41" t="str">
        <f ca="1">IFERROR(__xludf.DUMMYFUNCTION("""COMPUTED_VALUE"""),"")</f>
        <v/>
      </c>
      <c r="L51" s="5" t="str">
        <f ca="1">IFERROR(__xludf.DUMMYFUNCTION("""COMPUTED_VALUE"""),"")</f>
        <v/>
      </c>
      <c r="M51" s="5" t="str">
        <f ca="1">IFERROR(__xludf.DUMMYFUNCTION("""COMPUTED_VALUE"""),"")</f>
        <v/>
      </c>
      <c r="N51" s="5" t="str">
        <f ca="1">IFERROR(__xludf.DUMMYFUNCTION("""COMPUTED_VALUE"""),"")</f>
        <v/>
      </c>
      <c r="O51" s="5"/>
      <c r="P51" s="41" t="str">
        <f ca="1">IFERROR(__xludf.DUMMYFUNCTION("""COMPUTED_VALUE"""),"")</f>
        <v/>
      </c>
      <c r="Q51" s="41" t="str">
        <f ca="1">IFERROR(__xludf.DUMMYFUNCTION("""COMPUTED_VALUE"""),"")</f>
        <v/>
      </c>
      <c r="R51" s="5" t="str">
        <f ca="1">IFERROR(__xludf.DUMMYFUNCTION("""COMPUTED_VALUE"""),"")</f>
        <v/>
      </c>
      <c r="S51" s="5" t="str">
        <f ca="1">IFERROR(__xludf.DUMMYFUNCTION("""COMPUTED_VALUE"""),"")</f>
        <v/>
      </c>
      <c r="T51" s="5" t="str">
        <f ca="1">IFERROR(__xludf.DUMMYFUNCTION("""COMPUTED_VALUE"""),"")</f>
        <v/>
      </c>
      <c r="U51" s="5" t="str">
        <f ca="1"/>
        <v/>
      </c>
      <c r="V51" s="5" t="str">
        <f ca="1">IFERROR(__xludf.DUMMYFUNCTION("""COMPUTED_VALUE"""),"")</f>
        <v/>
      </c>
    </row>
    <row r="52" spans="1:22" ht="13.2">
      <c r="A52" s="1" t="e">
        <f ca="1"/>
        <v>#NAME?</v>
      </c>
      <c r="B52" s="30">
        <v>8080</v>
      </c>
      <c r="C52" s="48"/>
      <c r="D52" s="49"/>
      <c r="E52" s="50"/>
      <c r="F52" s="49"/>
      <c r="G52" s="51"/>
      <c r="H52" s="40" t="s">
        <v>38</v>
      </c>
      <c r="I52" s="40" t="s">
        <v>38</v>
      </c>
      <c r="J52" s="4"/>
      <c r="K52" s="41" t="str">
        <f ca="1">IFERROR(__xludf.DUMMYFUNCTION("""COMPUTED_VALUE"""),"")</f>
        <v/>
      </c>
      <c r="L52" s="5" t="str">
        <f ca="1">IFERROR(__xludf.DUMMYFUNCTION("""COMPUTED_VALUE"""),"")</f>
        <v/>
      </c>
      <c r="M52" s="5" t="str">
        <f ca="1">IFERROR(__xludf.DUMMYFUNCTION("""COMPUTED_VALUE"""),"")</f>
        <v/>
      </c>
      <c r="N52" s="5" t="str">
        <f ca="1">IFERROR(__xludf.DUMMYFUNCTION("""COMPUTED_VALUE"""),"")</f>
        <v/>
      </c>
      <c r="O52" s="5"/>
      <c r="P52" s="41" t="str">
        <f ca="1">IFERROR(__xludf.DUMMYFUNCTION("""COMPUTED_VALUE"""),"")</f>
        <v/>
      </c>
      <c r="Q52" s="41" t="str">
        <f ca="1">IFERROR(__xludf.DUMMYFUNCTION("""COMPUTED_VALUE"""),"")</f>
        <v/>
      </c>
      <c r="R52" s="5" t="str">
        <f ca="1">IFERROR(__xludf.DUMMYFUNCTION("""COMPUTED_VALUE"""),"")</f>
        <v/>
      </c>
      <c r="S52" s="5" t="str">
        <f ca="1">IFERROR(__xludf.DUMMYFUNCTION("""COMPUTED_VALUE"""),"")</f>
        <v/>
      </c>
      <c r="T52" s="5" t="str">
        <f ca="1">IFERROR(__xludf.DUMMYFUNCTION("""COMPUTED_VALUE"""),"")</f>
        <v/>
      </c>
      <c r="U52" s="5" t="str">
        <f ca="1"/>
        <v/>
      </c>
      <c r="V52" s="5" t="str">
        <f ca="1">IFERROR(__xludf.DUMMYFUNCTION("""COMPUTED_VALUE"""),"")</f>
        <v/>
      </c>
    </row>
    <row r="53" spans="1:22" ht="13.2">
      <c r="A53" s="1" t="e">
        <f ca="1"/>
        <v>#NAME?</v>
      </c>
      <c r="B53" s="30">
        <v>8223</v>
      </c>
      <c r="C53" s="48"/>
      <c r="D53" s="49"/>
      <c r="E53" s="50"/>
      <c r="F53" s="49"/>
      <c r="G53" s="51"/>
      <c r="H53" s="40" t="s">
        <v>38</v>
      </c>
      <c r="I53" s="40" t="s">
        <v>38</v>
      </c>
      <c r="J53" s="4"/>
      <c r="K53" s="41" t="str">
        <f ca="1">IFERROR(__xludf.DUMMYFUNCTION("""COMPUTED_VALUE"""),"")</f>
        <v/>
      </c>
      <c r="L53" s="5" t="str">
        <f ca="1">IFERROR(__xludf.DUMMYFUNCTION("""COMPUTED_VALUE"""),"")</f>
        <v/>
      </c>
      <c r="M53" s="5" t="str">
        <f ca="1">IFERROR(__xludf.DUMMYFUNCTION("""COMPUTED_VALUE"""),"")</f>
        <v/>
      </c>
      <c r="N53" s="5" t="str">
        <f ca="1">IFERROR(__xludf.DUMMYFUNCTION("""COMPUTED_VALUE"""),"")</f>
        <v/>
      </c>
      <c r="O53" s="5"/>
      <c r="P53" s="41" t="str">
        <f ca="1">IFERROR(__xludf.DUMMYFUNCTION("""COMPUTED_VALUE"""),"")</f>
        <v/>
      </c>
      <c r="Q53" s="41" t="str">
        <f ca="1">IFERROR(__xludf.DUMMYFUNCTION("""COMPUTED_VALUE"""),"")</f>
        <v/>
      </c>
      <c r="R53" s="5" t="str">
        <f ca="1">IFERROR(__xludf.DUMMYFUNCTION("""COMPUTED_VALUE"""),"")</f>
        <v/>
      </c>
      <c r="S53" s="5" t="str">
        <f ca="1">IFERROR(__xludf.DUMMYFUNCTION("""COMPUTED_VALUE"""),"")</f>
        <v/>
      </c>
      <c r="T53" s="5" t="str">
        <f ca="1">IFERROR(__xludf.DUMMYFUNCTION("""COMPUTED_VALUE"""),"")</f>
        <v/>
      </c>
      <c r="U53" s="5" t="str">
        <f ca="1"/>
        <v/>
      </c>
      <c r="V53" s="5" t="str">
        <f ca="1">IFERROR(__xludf.DUMMYFUNCTION("""COMPUTED_VALUE"""),"")</f>
        <v/>
      </c>
    </row>
    <row r="54" spans="1:22" ht="13.2">
      <c r="A54" s="1" t="e">
        <f ca="1"/>
        <v>#NAME?</v>
      </c>
      <c r="B54" s="30">
        <v>8393</v>
      </c>
      <c r="C54" s="48"/>
      <c r="D54" s="49"/>
      <c r="E54" s="50"/>
      <c r="F54" s="49"/>
      <c r="G54" s="51"/>
      <c r="H54" s="40" t="s">
        <v>38</v>
      </c>
      <c r="I54" s="40" t="s">
        <v>38</v>
      </c>
      <c r="J54" s="4"/>
      <c r="K54" s="41" t="str">
        <f ca="1">IFERROR(__xludf.DUMMYFUNCTION("""COMPUTED_VALUE"""),"")</f>
        <v/>
      </c>
      <c r="L54" s="5" t="str">
        <f ca="1">IFERROR(__xludf.DUMMYFUNCTION("""COMPUTED_VALUE"""),"")</f>
        <v/>
      </c>
      <c r="M54" s="5" t="str">
        <f ca="1">IFERROR(__xludf.DUMMYFUNCTION("""COMPUTED_VALUE"""),"")</f>
        <v/>
      </c>
      <c r="N54" s="5" t="str">
        <f ca="1">IFERROR(__xludf.DUMMYFUNCTION("""COMPUTED_VALUE"""),"")</f>
        <v/>
      </c>
      <c r="O54" s="5"/>
      <c r="P54" s="41" t="str">
        <f ca="1">IFERROR(__xludf.DUMMYFUNCTION("""COMPUTED_VALUE"""),"")</f>
        <v/>
      </c>
      <c r="Q54" s="41" t="str">
        <f ca="1">IFERROR(__xludf.DUMMYFUNCTION("""COMPUTED_VALUE"""),"")</f>
        <v/>
      </c>
      <c r="R54" s="5" t="str">
        <f ca="1">IFERROR(__xludf.DUMMYFUNCTION("""COMPUTED_VALUE"""),"")</f>
        <v/>
      </c>
      <c r="S54" s="5" t="str">
        <f ca="1">IFERROR(__xludf.DUMMYFUNCTION("""COMPUTED_VALUE"""),"")</f>
        <v/>
      </c>
      <c r="T54" s="5" t="str">
        <f ca="1">IFERROR(__xludf.DUMMYFUNCTION("""COMPUTED_VALUE"""),"")</f>
        <v/>
      </c>
      <c r="U54" s="5" t="str">
        <f ca="1"/>
        <v/>
      </c>
      <c r="V54" s="5" t="str">
        <f ca="1">IFERROR(__xludf.DUMMYFUNCTION("""COMPUTED_VALUE"""),"")</f>
        <v/>
      </c>
    </row>
    <row r="55" spans="1:22" ht="13.2">
      <c r="A55" s="1" t="e">
        <f ca="1"/>
        <v>#NAME?</v>
      </c>
      <c r="B55" s="30">
        <v>8589</v>
      </c>
      <c r="C55" s="48"/>
      <c r="D55" s="49"/>
      <c r="E55" s="50"/>
      <c r="F55" s="49"/>
      <c r="G55" s="51"/>
      <c r="H55" s="40" t="s">
        <v>38</v>
      </c>
      <c r="I55" s="40" t="s">
        <v>38</v>
      </c>
      <c r="J55" s="4"/>
      <c r="K55" s="41" t="str">
        <f ca="1">IFERROR(__xludf.DUMMYFUNCTION("""COMPUTED_VALUE"""),"")</f>
        <v/>
      </c>
      <c r="L55" s="5" t="str">
        <f ca="1">IFERROR(__xludf.DUMMYFUNCTION("""COMPUTED_VALUE"""),"")</f>
        <v/>
      </c>
      <c r="M55" s="5" t="str">
        <f ca="1">IFERROR(__xludf.DUMMYFUNCTION("""COMPUTED_VALUE"""),"")</f>
        <v/>
      </c>
      <c r="N55" s="5" t="str">
        <f ca="1">IFERROR(__xludf.DUMMYFUNCTION("""COMPUTED_VALUE"""),"")</f>
        <v/>
      </c>
      <c r="O55" s="5"/>
      <c r="P55" s="41" t="str">
        <f ca="1">IFERROR(__xludf.DUMMYFUNCTION("""COMPUTED_VALUE"""),"")</f>
        <v/>
      </c>
      <c r="Q55" s="41" t="str">
        <f ca="1">IFERROR(__xludf.DUMMYFUNCTION("""COMPUTED_VALUE"""),"")</f>
        <v/>
      </c>
      <c r="R55" s="5" t="str">
        <f ca="1">IFERROR(__xludf.DUMMYFUNCTION("""COMPUTED_VALUE"""),"")</f>
        <v/>
      </c>
      <c r="S55" s="5" t="str">
        <f ca="1">IFERROR(__xludf.DUMMYFUNCTION("""COMPUTED_VALUE"""),"")</f>
        <v/>
      </c>
      <c r="T55" s="5" t="str">
        <f ca="1">IFERROR(__xludf.DUMMYFUNCTION("""COMPUTED_VALUE"""),"")</f>
        <v/>
      </c>
      <c r="U55" s="5" t="str">
        <f ca="1"/>
        <v/>
      </c>
      <c r="V55" s="5" t="str">
        <f ca="1">IFERROR(__xludf.DUMMYFUNCTION("""COMPUTED_VALUE"""),"")</f>
        <v/>
      </c>
    </row>
    <row r="56" spans="1:22" ht="13.2">
      <c r="A56" s="1" t="e">
        <f ca="1"/>
        <v>#NAME?</v>
      </c>
      <c r="B56" s="30">
        <v>9186</v>
      </c>
      <c r="C56" s="48"/>
      <c r="D56" s="49"/>
      <c r="E56" s="50"/>
      <c r="F56" s="49"/>
      <c r="G56" s="51"/>
      <c r="H56" s="40" t="s">
        <v>38</v>
      </c>
      <c r="I56" s="40" t="s">
        <v>38</v>
      </c>
      <c r="J56" s="4"/>
      <c r="K56" s="41" t="str">
        <f ca="1">IFERROR(__xludf.DUMMYFUNCTION("""COMPUTED_VALUE"""),"")</f>
        <v/>
      </c>
      <c r="L56" s="5" t="str">
        <f ca="1">IFERROR(__xludf.DUMMYFUNCTION("""COMPUTED_VALUE"""),"")</f>
        <v/>
      </c>
      <c r="M56" s="5" t="str">
        <f ca="1">IFERROR(__xludf.DUMMYFUNCTION("""COMPUTED_VALUE"""),"")</f>
        <v/>
      </c>
      <c r="N56" s="5" t="str">
        <f ca="1">IFERROR(__xludf.DUMMYFUNCTION("""COMPUTED_VALUE"""),"")</f>
        <v/>
      </c>
      <c r="O56" s="5"/>
      <c r="P56" s="41" t="str">
        <f ca="1">IFERROR(__xludf.DUMMYFUNCTION("""COMPUTED_VALUE"""),"")</f>
        <v/>
      </c>
      <c r="Q56" s="41" t="str">
        <f ca="1">IFERROR(__xludf.DUMMYFUNCTION("""COMPUTED_VALUE"""),"")</f>
        <v/>
      </c>
      <c r="R56" s="5" t="str">
        <f ca="1">IFERROR(__xludf.DUMMYFUNCTION("""COMPUTED_VALUE"""),"")</f>
        <v/>
      </c>
      <c r="S56" s="5" t="str">
        <f ca="1">IFERROR(__xludf.DUMMYFUNCTION("""COMPUTED_VALUE"""),"")</f>
        <v/>
      </c>
      <c r="T56" s="5" t="str">
        <f ca="1">IFERROR(__xludf.DUMMYFUNCTION("""COMPUTED_VALUE"""),"")</f>
        <v/>
      </c>
      <c r="U56" s="5" t="str">
        <f ca="1"/>
        <v/>
      </c>
      <c r="V56" s="5" t="str">
        <f ca="1">IFERROR(__xludf.DUMMYFUNCTION("""COMPUTED_VALUE"""),"")</f>
        <v/>
      </c>
    </row>
    <row r="57" spans="1:22" ht="13.2">
      <c r="A57" s="1" t="e">
        <f ca="1"/>
        <v>#NAME?</v>
      </c>
      <c r="B57" s="30">
        <v>9231</v>
      </c>
      <c r="C57" s="48"/>
      <c r="D57" s="49"/>
      <c r="E57" s="50"/>
      <c r="F57" s="49"/>
      <c r="G57" s="51"/>
      <c r="H57" s="40" t="s">
        <v>38</v>
      </c>
      <c r="I57" s="40" t="s">
        <v>38</v>
      </c>
      <c r="J57" s="4"/>
      <c r="K57" s="41" t="str">
        <f ca="1">IFERROR(__xludf.DUMMYFUNCTION("""COMPUTED_VALUE"""),"")</f>
        <v/>
      </c>
      <c r="L57" s="5" t="str">
        <f ca="1">IFERROR(__xludf.DUMMYFUNCTION("""COMPUTED_VALUE"""),"")</f>
        <v/>
      </c>
      <c r="M57" s="5" t="str">
        <f ca="1">IFERROR(__xludf.DUMMYFUNCTION("""COMPUTED_VALUE"""),"")</f>
        <v/>
      </c>
      <c r="N57" s="5" t="str">
        <f ca="1">IFERROR(__xludf.DUMMYFUNCTION("""COMPUTED_VALUE"""),"")</f>
        <v/>
      </c>
      <c r="O57" s="5"/>
      <c r="P57" s="41" t="str">
        <f ca="1">IFERROR(__xludf.DUMMYFUNCTION("""COMPUTED_VALUE"""),"")</f>
        <v/>
      </c>
      <c r="Q57" s="41" t="str">
        <f ca="1">IFERROR(__xludf.DUMMYFUNCTION("""COMPUTED_VALUE"""),"")</f>
        <v/>
      </c>
      <c r="R57" s="5" t="str">
        <f ca="1">IFERROR(__xludf.DUMMYFUNCTION("""COMPUTED_VALUE"""),"")</f>
        <v/>
      </c>
      <c r="S57" s="5" t="str">
        <f ca="1">IFERROR(__xludf.DUMMYFUNCTION("""COMPUTED_VALUE"""),"")</f>
        <v/>
      </c>
      <c r="T57" s="5" t="str">
        <f ca="1">IFERROR(__xludf.DUMMYFUNCTION("""COMPUTED_VALUE"""),"")</f>
        <v/>
      </c>
      <c r="U57" s="5" t="str">
        <f ca="1"/>
        <v/>
      </c>
      <c r="V57" s="5" t="str">
        <f ca="1">IFERROR(__xludf.DUMMYFUNCTION("""COMPUTED_VALUE"""),"")</f>
        <v/>
      </c>
    </row>
    <row r="58" spans="1:22" ht="13.2">
      <c r="A58" s="1" t="e">
        <f ca="1"/>
        <v>#NAME?</v>
      </c>
      <c r="B58" s="30">
        <v>9279</v>
      </c>
      <c r="C58" s="48"/>
      <c r="D58" s="49"/>
      <c r="E58" s="50"/>
      <c r="F58" s="49"/>
      <c r="G58" s="51"/>
      <c r="H58" s="40" t="s">
        <v>38</v>
      </c>
      <c r="I58" s="40" t="s">
        <v>38</v>
      </c>
      <c r="J58" s="4"/>
      <c r="K58" s="41" t="str">
        <f ca="1">IFERROR(__xludf.DUMMYFUNCTION("""COMPUTED_VALUE"""),"")</f>
        <v/>
      </c>
      <c r="L58" s="5" t="str">
        <f ca="1">IFERROR(__xludf.DUMMYFUNCTION("""COMPUTED_VALUE"""),"")</f>
        <v/>
      </c>
      <c r="M58" s="5" t="str">
        <f ca="1">IFERROR(__xludf.DUMMYFUNCTION("""COMPUTED_VALUE"""),"")</f>
        <v/>
      </c>
      <c r="N58" s="5" t="str">
        <f ca="1">IFERROR(__xludf.DUMMYFUNCTION("""COMPUTED_VALUE"""),"")</f>
        <v/>
      </c>
      <c r="O58" s="5"/>
      <c r="P58" s="41" t="str">
        <f ca="1">IFERROR(__xludf.DUMMYFUNCTION("""COMPUTED_VALUE"""),"")</f>
        <v/>
      </c>
      <c r="Q58" s="41" t="str">
        <f ca="1">IFERROR(__xludf.DUMMYFUNCTION("""COMPUTED_VALUE"""),"")</f>
        <v/>
      </c>
      <c r="R58" s="5" t="str">
        <f ca="1">IFERROR(__xludf.DUMMYFUNCTION("""COMPUTED_VALUE"""),"")</f>
        <v/>
      </c>
      <c r="S58" s="5" t="str">
        <f ca="1">IFERROR(__xludf.DUMMYFUNCTION("""COMPUTED_VALUE"""),"")</f>
        <v/>
      </c>
      <c r="T58" s="5" t="str">
        <f ca="1">IFERROR(__xludf.DUMMYFUNCTION("""COMPUTED_VALUE"""),"")</f>
        <v/>
      </c>
      <c r="U58" s="5" t="str">
        <f ca="1"/>
        <v/>
      </c>
      <c r="V58" s="5" t="str">
        <f ca="1">IFERROR(__xludf.DUMMYFUNCTION("""COMPUTED_VALUE"""),"")</f>
        <v/>
      </c>
    </row>
    <row r="59" spans="1:22" ht="13.2">
      <c r="A59" s="1" t="e">
        <f ca="1"/>
        <v>#NAME?</v>
      </c>
      <c r="B59" s="30">
        <v>9379</v>
      </c>
      <c r="C59" s="48"/>
      <c r="D59" s="49"/>
      <c r="E59" s="48"/>
      <c r="F59" s="49"/>
      <c r="G59" s="51"/>
      <c r="H59" s="40" t="s">
        <v>38</v>
      </c>
      <c r="I59" s="40" t="s">
        <v>38</v>
      </c>
      <c r="J59" s="4"/>
      <c r="K59" s="41" t="str">
        <f ca="1">IFERROR(__xludf.DUMMYFUNCTION("""COMPUTED_VALUE"""),"")</f>
        <v/>
      </c>
      <c r="L59" s="5" t="str">
        <f ca="1">IFERROR(__xludf.DUMMYFUNCTION("""COMPUTED_VALUE"""),"")</f>
        <v/>
      </c>
      <c r="M59" s="5" t="str">
        <f ca="1">IFERROR(__xludf.DUMMYFUNCTION("""COMPUTED_VALUE"""),"")</f>
        <v/>
      </c>
      <c r="N59" s="5" t="str">
        <f ca="1">IFERROR(__xludf.DUMMYFUNCTION("""COMPUTED_VALUE"""),"")</f>
        <v/>
      </c>
      <c r="O59" s="5"/>
      <c r="P59" s="41" t="str">
        <f ca="1">IFERROR(__xludf.DUMMYFUNCTION("""COMPUTED_VALUE"""),"")</f>
        <v/>
      </c>
      <c r="Q59" s="41" t="str">
        <f ca="1">IFERROR(__xludf.DUMMYFUNCTION("""COMPUTED_VALUE"""),"")</f>
        <v/>
      </c>
      <c r="R59" s="5" t="str">
        <f ca="1">IFERROR(__xludf.DUMMYFUNCTION("""COMPUTED_VALUE"""),"")</f>
        <v/>
      </c>
      <c r="S59" s="5" t="str">
        <f ca="1">IFERROR(__xludf.DUMMYFUNCTION("""COMPUTED_VALUE"""),"")</f>
        <v/>
      </c>
      <c r="T59" s="5" t="str">
        <f ca="1">IFERROR(__xludf.DUMMYFUNCTION("""COMPUTED_VALUE"""),"")</f>
        <v/>
      </c>
      <c r="U59" s="5" t="str">
        <f ca="1"/>
        <v/>
      </c>
      <c r="V59" s="5" t="str">
        <f ca="1">IFERROR(__xludf.DUMMYFUNCTION("""COMPUTED_VALUE"""),"")</f>
        <v/>
      </c>
    </row>
    <row r="60" spans="1:22" ht="13.2">
      <c r="A60" s="1" t="e">
        <f ca="1"/>
        <v>#NAME?</v>
      </c>
      <c r="B60" s="30">
        <v>9600</v>
      </c>
      <c r="C60" s="48"/>
      <c r="D60" s="49"/>
      <c r="E60" s="48"/>
      <c r="F60" s="49"/>
      <c r="G60" s="51"/>
      <c r="H60" s="40" t="s">
        <v>38</v>
      </c>
      <c r="I60" s="40" t="s">
        <v>38</v>
      </c>
      <c r="J60" s="4"/>
      <c r="K60" s="41" t="str">
        <f ca="1">IFERROR(__xludf.DUMMYFUNCTION("""COMPUTED_VALUE"""),"")</f>
        <v/>
      </c>
      <c r="L60" s="5" t="str">
        <f ca="1">IFERROR(__xludf.DUMMYFUNCTION("""COMPUTED_VALUE"""),"")</f>
        <v/>
      </c>
      <c r="M60" s="5" t="str">
        <f ca="1">IFERROR(__xludf.DUMMYFUNCTION("""COMPUTED_VALUE"""),"")</f>
        <v/>
      </c>
      <c r="N60" s="5" t="str">
        <f ca="1">IFERROR(__xludf.DUMMYFUNCTION("""COMPUTED_VALUE"""),"")</f>
        <v/>
      </c>
      <c r="O60" s="5"/>
      <c r="P60" s="41" t="str">
        <f ca="1">IFERROR(__xludf.DUMMYFUNCTION("""COMPUTED_VALUE"""),"")</f>
        <v/>
      </c>
      <c r="Q60" s="41" t="str">
        <f ca="1">IFERROR(__xludf.DUMMYFUNCTION("""COMPUTED_VALUE"""),"")</f>
        <v/>
      </c>
      <c r="R60" s="5" t="str">
        <f ca="1">IFERROR(__xludf.DUMMYFUNCTION("""COMPUTED_VALUE"""),"")</f>
        <v/>
      </c>
      <c r="S60" s="5" t="str">
        <f ca="1">IFERROR(__xludf.DUMMYFUNCTION("""COMPUTED_VALUE"""),"")</f>
        <v/>
      </c>
      <c r="T60" s="5" t="str">
        <f ca="1">IFERROR(__xludf.DUMMYFUNCTION("""COMPUTED_VALUE"""),"")</f>
        <v/>
      </c>
      <c r="U60" s="5" t="str">
        <f ca="1"/>
        <v/>
      </c>
      <c r="V60" s="5" t="str">
        <f ca="1">IFERROR(__xludf.DUMMYFUNCTION("""COMPUTED_VALUE"""),"")</f>
        <v/>
      </c>
    </row>
    <row r="61" spans="1:22" ht="13.2">
      <c r="A61" s="1" t="e">
        <f ca="1"/>
        <v>#NAME?</v>
      </c>
      <c r="B61" s="30">
        <v>9881</v>
      </c>
      <c r="C61" s="48"/>
      <c r="D61" s="49"/>
      <c r="E61" s="48"/>
      <c r="F61" s="49"/>
      <c r="G61" s="51"/>
      <c r="H61" s="40" t="s">
        <v>38</v>
      </c>
      <c r="I61" s="40" t="s">
        <v>38</v>
      </c>
      <c r="J61" s="4"/>
      <c r="K61" s="41" t="str">
        <f ca="1">IFERROR(__xludf.DUMMYFUNCTION("""COMPUTED_VALUE"""),"")</f>
        <v/>
      </c>
      <c r="L61" s="5" t="str">
        <f ca="1">IFERROR(__xludf.DUMMYFUNCTION("""COMPUTED_VALUE"""),"")</f>
        <v/>
      </c>
      <c r="M61" s="5" t="str">
        <f ca="1">IFERROR(__xludf.DUMMYFUNCTION("""COMPUTED_VALUE"""),"")</f>
        <v/>
      </c>
      <c r="N61" s="5" t="str">
        <f ca="1">IFERROR(__xludf.DUMMYFUNCTION("""COMPUTED_VALUE"""),"")</f>
        <v/>
      </c>
      <c r="O61" s="5"/>
      <c r="P61" s="41" t="str">
        <f ca="1">IFERROR(__xludf.DUMMYFUNCTION("""COMPUTED_VALUE"""),"")</f>
        <v/>
      </c>
      <c r="Q61" s="41" t="str">
        <f ca="1">IFERROR(__xludf.DUMMYFUNCTION("""COMPUTED_VALUE"""),"")</f>
        <v/>
      </c>
      <c r="R61" s="5" t="str">
        <f ca="1">IFERROR(__xludf.DUMMYFUNCTION("""COMPUTED_VALUE"""),"")</f>
        <v/>
      </c>
      <c r="S61" s="5" t="str">
        <f ca="1">IFERROR(__xludf.DUMMYFUNCTION("""COMPUTED_VALUE"""),"")</f>
        <v/>
      </c>
      <c r="T61" s="5" t="str">
        <f ca="1">IFERROR(__xludf.DUMMYFUNCTION("""COMPUTED_VALUE"""),"")</f>
        <v/>
      </c>
      <c r="U61" s="5" t="str">
        <f ca="1"/>
        <v/>
      </c>
      <c r="V61" s="5" t="str">
        <f ca="1">IFERROR(__xludf.DUMMYFUNCTION("""COMPUTED_VALUE"""),"")</f>
        <v/>
      </c>
    </row>
    <row r="62" spans="1:22" ht="13.2">
      <c r="A62" s="1" t="e">
        <f ca="1"/>
        <v>#NAME?</v>
      </c>
      <c r="B62" s="30">
        <v>9960</v>
      </c>
      <c r="C62" s="48"/>
      <c r="D62" s="49"/>
      <c r="E62" s="48"/>
      <c r="F62" s="49"/>
      <c r="G62" s="51"/>
      <c r="H62" s="40" t="s">
        <v>38</v>
      </c>
      <c r="I62" s="40" t="s">
        <v>38</v>
      </c>
      <c r="J62" s="4"/>
      <c r="K62" s="41" t="str">
        <f ca="1">IFERROR(__xludf.DUMMYFUNCTION("""COMPUTED_VALUE"""),"")</f>
        <v/>
      </c>
      <c r="L62" s="5" t="str">
        <f ca="1">IFERROR(__xludf.DUMMYFUNCTION("""COMPUTED_VALUE"""),"")</f>
        <v/>
      </c>
      <c r="M62" s="5" t="str">
        <f ca="1">IFERROR(__xludf.DUMMYFUNCTION("""COMPUTED_VALUE"""),"")</f>
        <v/>
      </c>
      <c r="N62" s="5" t="str">
        <f ca="1">IFERROR(__xludf.DUMMYFUNCTION("""COMPUTED_VALUE"""),"")</f>
        <v/>
      </c>
      <c r="O62" s="5"/>
      <c r="P62" s="41" t="str">
        <f ca="1">IFERROR(__xludf.DUMMYFUNCTION("""COMPUTED_VALUE"""),"")</f>
        <v/>
      </c>
      <c r="Q62" s="41" t="str">
        <f ca="1">IFERROR(__xludf.DUMMYFUNCTION("""COMPUTED_VALUE"""),"")</f>
        <v/>
      </c>
      <c r="R62" s="5" t="str">
        <f ca="1">IFERROR(__xludf.DUMMYFUNCTION("""COMPUTED_VALUE"""),"")</f>
        <v/>
      </c>
      <c r="S62" s="5" t="str">
        <f ca="1">IFERROR(__xludf.DUMMYFUNCTION("""COMPUTED_VALUE"""),"")</f>
        <v/>
      </c>
      <c r="T62" s="5" t="str">
        <f ca="1">IFERROR(__xludf.DUMMYFUNCTION("""COMPUTED_VALUE"""),"")</f>
        <v/>
      </c>
      <c r="U62" s="5" t="str">
        <f ca="1"/>
        <v/>
      </c>
      <c r="V62" s="5" t="str">
        <f ca="1">IFERROR(__xludf.DUMMYFUNCTION("""COMPUTED_VALUE"""),"")</f>
        <v/>
      </c>
    </row>
    <row r="63" spans="1:22" ht="13.2">
      <c r="A63" s="1"/>
      <c r="B63" s="52"/>
      <c r="C63" s="53"/>
      <c r="D63" s="54"/>
      <c r="E63" s="55"/>
      <c r="F63" s="55"/>
      <c r="G63" s="56"/>
      <c r="H63" s="55"/>
      <c r="I63" s="57"/>
      <c r="J63" s="4"/>
      <c r="K63" s="5" t="str">
        <f ca="1">IFERROR(__xludf.DUMMYFUNCTION("""COMPUTED_VALUE"""),"")</f>
        <v/>
      </c>
      <c r="L63" s="5" t="str">
        <f ca="1">IFERROR(__xludf.DUMMYFUNCTION("""COMPUTED_VALUE"""),"")</f>
        <v/>
      </c>
      <c r="M63" s="5" t="str">
        <f ca="1">IFERROR(__xludf.DUMMYFUNCTION("""COMPUTED_VALUE"""),"")</f>
        <v/>
      </c>
      <c r="N63" s="5" t="str">
        <f ca="1">IFERROR(__xludf.DUMMYFUNCTION("""COMPUTED_VALUE"""),"")</f>
        <v/>
      </c>
      <c r="O63" s="5"/>
      <c r="P63" s="5"/>
      <c r="Q63" s="5" t="str">
        <f ca="1">IFERROR(__xludf.DUMMYFUNCTION("""COMPUTED_VALUE"""),"")</f>
        <v/>
      </c>
      <c r="R63" s="5" t="str">
        <f ca="1">IFERROR(__xludf.DUMMYFUNCTION("""COMPUTED_VALUE"""),"")</f>
        <v/>
      </c>
      <c r="S63" s="5" t="str">
        <f ca="1">IFERROR(__xludf.DUMMYFUNCTION("""COMPUTED_VALUE"""),"")</f>
        <v/>
      </c>
      <c r="T63" s="5" t="str">
        <f ca="1">IFERROR(__xludf.DUMMYFUNCTION("""COMPUTED_VALUE"""),"")</f>
        <v/>
      </c>
      <c r="U63" s="5"/>
      <c r="V63" s="5"/>
    </row>
    <row r="64" spans="1:22" ht="13.2">
      <c r="A64" s="1"/>
      <c r="B64" s="1"/>
      <c r="C64" s="1"/>
      <c r="D64" s="58"/>
      <c r="E64" s="1"/>
      <c r="F64" s="1"/>
      <c r="G64" s="59"/>
      <c r="H64" s="1"/>
      <c r="I64" s="1"/>
      <c r="J64" s="4"/>
      <c r="K64" s="5" t="str">
        <f ca="1">IFERROR(__xludf.DUMMYFUNCTION("""COMPUTED_VALUE"""),"")</f>
        <v/>
      </c>
      <c r="L64" s="5" t="str">
        <f ca="1">IFERROR(__xludf.DUMMYFUNCTION("""COMPUTED_VALUE"""),"")</f>
        <v/>
      </c>
      <c r="M64" s="5" t="str">
        <f ca="1">IFERROR(__xludf.DUMMYFUNCTION("""COMPUTED_VALUE"""),"")</f>
        <v/>
      </c>
      <c r="N64" s="5" t="str">
        <f ca="1">IFERROR(__xludf.DUMMYFUNCTION("""COMPUTED_VALUE"""),"")</f>
        <v/>
      </c>
      <c r="O64" s="5"/>
      <c r="P64" s="5"/>
      <c r="Q64" s="5" t="str">
        <f ca="1">IFERROR(__xludf.DUMMYFUNCTION("""COMPUTED_VALUE"""),"")</f>
        <v/>
      </c>
      <c r="R64" s="5" t="str">
        <f ca="1">IFERROR(__xludf.DUMMYFUNCTION("""COMPUTED_VALUE"""),"")</f>
        <v/>
      </c>
      <c r="S64" s="5" t="str">
        <f ca="1">IFERROR(__xludf.DUMMYFUNCTION("""COMPUTED_VALUE"""),"")</f>
        <v/>
      </c>
      <c r="T64" s="5" t="str">
        <f ca="1">IFERROR(__xludf.DUMMYFUNCTION("""COMPUTED_VALUE"""),"")</f>
        <v/>
      </c>
      <c r="U64" s="5"/>
      <c r="V64" s="5"/>
    </row>
    <row r="65" spans="1:22" ht="13.2">
      <c r="A65" s="1"/>
      <c r="B65" s="1"/>
      <c r="C65" s="60" t="s">
        <v>108</v>
      </c>
      <c r="D65" s="61" t="s">
        <v>109</v>
      </c>
      <c r="E65" s="62" t="s">
        <v>110</v>
      </c>
      <c r="F65" s="187"/>
      <c r="G65" s="188"/>
      <c r="H65" s="1"/>
      <c r="I65" s="1"/>
      <c r="J65" s="4"/>
      <c r="K65" s="5" t="str">
        <f ca="1">IFERROR(__xludf.DUMMYFUNCTION("""COMPUTED_VALUE"""),"")</f>
        <v/>
      </c>
      <c r="L65" s="5" t="str">
        <f ca="1">IFERROR(__xludf.DUMMYFUNCTION("""COMPUTED_VALUE"""),"")</f>
        <v/>
      </c>
      <c r="M65" s="5" t="str">
        <f ca="1">IFERROR(__xludf.DUMMYFUNCTION("""COMPUTED_VALUE"""),"")</f>
        <v/>
      </c>
      <c r="N65" s="5" t="str">
        <f ca="1">IFERROR(__xludf.DUMMYFUNCTION("""COMPUTED_VALUE"""),"")</f>
        <v/>
      </c>
      <c r="O65" s="5"/>
      <c r="P65" s="5"/>
      <c r="Q65" s="5" t="str">
        <f ca="1">IFERROR(__xludf.DUMMYFUNCTION("""COMPUTED_VALUE"""),"")</f>
        <v/>
      </c>
      <c r="R65" s="5" t="str">
        <f ca="1">IFERROR(__xludf.DUMMYFUNCTION("""COMPUTED_VALUE"""),"")</f>
        <v/>
      </c>
      <c r="S65" s="5" t="str">
        <f ca="1">IFERROR(__xludf.DUMMYFUNCTION("""COMPUTED_VALUE"""),"")</f>
        <v/>
      </c>
      <c r="T65" s="5" t="str">
        <f ca="1">IFERROR(__xludf.DUMMYFUNCTION("""COMPUTED_VALUE"""),"")</f>
        <v/>
      </c>
      <c r="U65" s="5"/>
      <c r="V65" s="5"/>
    </row>
    <row r="66" spans="1:22" ht="13.2">
      <c r="A66" s="1"/>
      <c r="B66" s="1"/>
      <c r="C66" s="62"/>
      <c r="D66" s="63" t="s">
        <v>111</v>
      </c>
      <c r="E66" s="62"/>
      <c r="F66" s="187"/>
      <c r="G66" s="188"/>
      <c r="H66" s="1"/>
      <c r="I66" s="1"/>
      <c r="J66" s="4"/>
      <c r="K66" s="5" t="str">
        <f ca="1">IFERROR(__xludf.DUMMYFUNCTION("""COMPUTED_VALUE"""),"")</f>
        <v/>
      </c>
      <c r="L66" s="5" t="str">
        <f ca="1">IFERROR(__xludf.DUMMYFUNCTION("""COMPUTED_VALUE"""),"")</f>
        <v/>
      </c>
      <c r="M66" s="5" t="str">
        <f ca="1">IFERROR(__xludf.DUMMYFUNCTION("""COMPUTED_VALUE"""),"")</f>
        <v/>
      </c>
      <c r="N66" s="5" t="str">
        <f ca="1">IFERROR(__xludf.DUMMYFUNCTION("""COMPUTED_VALUE"""),"")</f>
        <v/>
      </c>
      <c r="O66" s="5"/>
      <c r="P66" s="5"/>
      <c r="Q66" s="5" t="str">
        <f ca="1">IFERROR(__xludf.DUMMYFUNCTION("""COMPUTED_VALUE"""),"")</f>
        <v/>
      </c>
      <c r="R66" s="5" t="str">
        <f ca="1">IFERROR(__xludf.DUMMYFUNCTION("""COMPUTED_VALUE"""),"")</f>
        <v/>
      </c>
      <c r="S66" s="5" t="str">
        <f ca="1">IFERROR(__xludf.DUMMYFUNCTION("""COMPUTED_VALUE"""),"")</f>
        <v/>
      </c>
      <c r="T66" s="5" t="str">
        <f ca="1">IFERROR(__xludf.DUMMYFUNCTION("""COMPUTED_VALUE"""),"")</f>
        <v/>
      </c>
      <c r="U66" s="5"/>
      <c r="V66" s="5"/>
    </row>
    <row r="67" spans="1:22" ht="13.2">
      <c r="A67" s="1"/>
      <c r="B67" s="1"/>
      <c r="C67" s="62"/>
      <c r="D67" s="64"/>
      <c r="E67" s="62"/>
      <c r="F67" s="187"/>
      <c r="G67" s="188"/>
      <c r="H67" s="1"/>
      <c r="I67" s="1"/>
      <c r="J67" s="4"/>
      <c r="K67" s="5" t="str">
        <f ca="1">IFERROR(__xludf.DUMMYFUNCTION("""COMPUTED_VALUE"""),"")</f>
        <v/>
      </c>
      <c r="L67" s="5" t="str">
        <f ca="1">IFERROR(__xludf.DUMMYFUNCTION("""COMPUTED_VALUE"""),"")</f>
        <v/>
      </c>
      <c r="M67" s="5" t="str">
        <f ca="1">IFERROR(__xludf.DUMMYFUNCTION("""COMPUTED_VALUE"""),"")</f>
        <v/>
      </c>
      <c r="N67" s="5" t="str">
        <f ca="1">IFERROR(__xludf.DUMMYFUNCTION("""COMPUTED_VALUE"""),"")</f>
        <v/>
      </c>
      <c r="O67" s="5"/>
      <c r="P67" s="5"/>
      <c r="Q67" s="5" t="str">
        <f ca="1">IFERROR(__xludf.DUMMYFUNCTION("""COMPUTED_VALUE"""),"")</f>
        <v/>
      </c>
      <c r="R67" s="5" t="str">
        <f ca="1">IFERROR(__xludf.DUMMYFUNCTION("""COMPUTED_VALUE"""),"")</f>
        <v/>
      </c>
      <c r="S67" s="5" t="str">
        <f ca="1">IFERROR(__xludf.DUMMYFUNCTION("""COMPUTED_VALUE"""),"")</f>
        <v/>
      </c>
      <c r="T67" s="5" t="str">
        <f ca="1">IFERROR(__xludf.DUMMYFUNCTION("""COMPUTED_VALUE"""),"")</f>
        <v/>
      </c>
      <c r="U67" s="5"/>
      <c r="V67" s="5"/>
    </row>
    <row r="68" spans="1:22" ht="13.2">
      <c r="A68" s="1"/>
      <c r="B68" s="1"/>
      <c r="C68" s="62"/>
      <c r="D68" s="64"/>
      <c r="E68" s="62"/>
      <c r="F68" s="187"/>
      <c r="G68" s="188"/>
      <c r="H68" s="1"/>
      <c r="I68" s="1"/>
      <c r="J68" s="4"/>
      <c r="K68" s="5" t="str">
        <f ca="1">IFERROR(__xludf.DUMMYFUNCTION("""COMPUTED_VALUE"""),"")</f>
        <v/>
      </c>
      <c r="L68" s="5" t="str">
        <f ca="1">IFERROR(__xludf.DUMMYFUNCTION("""COMPUTED_VALUE"""),"")</f>
        <v/>
      </c>
      <c r="M68" s="5" t="str">
        <f ca="1">IFERROR(__xludf.DUMMYFUNCTION("""COMPUTED_VALUE"""),"")</f>
        <v/>
      </c>
      <c r="N68" s="5" t="str">
        <f ca="1">IFERROR(__xludf.DUMMYFUNCTION("""COMPUTED_VALUE"""),"")</f>
        <v/>
      </c>
      <c r="O68" s="5"/>
      <c r="P68" s="5"/>
      <c r="Q68" s="5" t="str">
        <f ca="1">IFERROR(__xludf.DUMMYFUNCTION("""COMPUTED_VALUE"""),"")</f>
        <v/>
      </c>
      <c r="R68" s="5" t="str">
        <f ca="1">IFERROR(__xludf.DUMMYFUNCTION("""COMPUTED_VALUE"""),"")</f>
        <v/>
      </c>
      <c r="S68" s="5" t="str">
        <f ca="1">IFERROR(__xludf.DUMMYFUNCTION("""COMPUTED_VALUE"""),"")</f>
        <v/>
      </c>
      <c r="T68" s="5" t="str">
        <f ca="1">IFERROR(__xludf.DUMMYFUNCTION("""COMPUTED_VALUE"""),"")</f>
        <v/>
      </c>
      <c r="U68" s="5"/>
      <c r="V68" s="5"/>
    </row>
    <row r="69" spans="1:22" ht="13.2">
      <c r="A69" s="1"/>
      <c r="B69" s="1"/>
      <c r="C69" s="62"/>
      <c r="D69" s="64"/>
      <c r="E69" s="62"/>
      <c r="F69" s="187"/>
      <c r="G69" s="188"/>
      <c r="H69" s="1"/>
      <c r="I69" s="1"/>
      <c r="J69" s="4"/>
      <c r="K69" s="5" t="str">
        <f ca="1">IFERROR(__xludf.DUMMYFUNCTION("""COMPUTED_VALUE"""),"")</f>
        <v/>
      </c>
      <c r="L69" s="5" t="str">
        <f ca="1">IFERROR(__xludf.DUMMYFUNCTION("""COMPUTED_VALUE"""),"")</f>
        <v/>
      </c>
      <c r="M69" s="5" t="str">
        <f ca="1">IFERROR(__xludf.DUMMYFUNCTION("""COMPUTED_VALUE"""),"")</f>
        <v/>
      </c>
      <c r="N69" s="5" t="str">
        <f ca="1">IFERROR(__xludf.DUMMYFUNCTION("""COMPUTED_VALUE"""),"")</f>
        <v/>
      </c>
      <c r="O69" s="5"/>
      <c r="P69" s="5"/>
      <c r="Q69" s="5" t="str">
        <f ca="1">IFERROR(__xludf.DUMMYFUNCTION("""COMPUTED_VALUE"""),"")</f>
        <v/>
      </c>
      <c r="R69" s="5" t="str">
        <f ca="1">IFERROR(__xludf.DUMMYFUNCTION("""COMPUTED_VALUE"""),"")</f>
        <v/>
      </c>
      <c r="S69" s="5" t="str">
        <f ca="1">IFERROR(__xludf.DUMMYFUNCTION("""COMPUTED_VALUE"""),"")</f>
        <v/>
      </c>
      <c r="T69" s="5" t="str">
        <f ca="1">IFERROR(__xludf.DUMMYFUNCTION("""COMPUTED_VALUE"""),"")</f>
        <v/>
      </c>
      <c r="U69" s="5"/>
      <c r="V69" s="5"/>
    </row>
    <row r="70" spans="1:22" ht="13.2">
      <c r="A70" s="1"/>
      <c r="B70" s="1"/>
      <c r="C70" s="1"/>
      <c r="D70" s="58"/>
      <c r="E70" s="1"/>
      <c r="F70" s="187"/>
      <c r="G70" s="188"/>
      <c r="H70" s="1"/>
      <c r="I70" s="1"/>
      <c r="J70" s="4"/>
      <c r="K70" s="5" t="str">
        <f ca="1">IFERROR(__xludf.DUMMYFUNCTION("""COMPUTED_VALUE"""),"")</f>
        <v/>
      </c>
      <c r="L70" s="5" t="str">
        <f ca="1">IFERROR(__xludf.DUMMYFUNCTION("""COMPUTED_VALUE"""),"")</f>
        <v/>
      </c>
      <c r="M70" s="5" t="str">
        <f ca="1">IFERROR(__xludf.DUMMYFUNCTION("""COMPUTED_VALUE"""),"")</f>
        <v/>
      </c>
      <c r="N70" s="5" t="str">
        <f ca="1">IFERROR(__xludf.DUMMYFUNCTION("""COMPUTED_VALUE"""),"")</f>
        <v/>
      </c>
      <c r="O70" s="5"/>
      <c r="P70" s="5"/>
      <c r="Q70" s="5" t="str">
        <f ca="1">IFERROR(__xludf.DUMMYFUNCTION("""COMPUTED_VALUE"""),"")</f>
        <v/>
      </c>
      <c r="R70" s="5" t="str">
        <f ca="1">IFERROR(__xludf.DUMMYFUNCTION("""COMPUTED_VALUE"""),"")</f>
        <v/>
      </c>
      <c r="S70" s="5" t="str">
        <f ca="1">IFERROR(__xludf.DUMMYFUNCTION("""COMPUTED_VALUE"""),"")</f>
        <v/>
      </c>
      <c r="T70" s="5" t="str">
        <f ca="1">IFERROR(__xludf.DUMMYFUNCTION("""COMPUTED_VALUE"""),"")</f>
        <v/>
      </c>
      <c r="U70" s="5"/>
      <c r="V70" s="5"/>
    </row>
    <row r="71" spans="1:22" ht="13.2">
      <c r="A71" s="1"/>
      <c r="B71" s="1"/>
      <c r="C71" s="1"/>
      <c r="D71" s="58"/>
      <c r="E71" s="1"/>
      <c r="F71" s="187"/>
      <c r="G71" s="188"/>
      <c r="H71" s="1"/>
      <c r="I71" s="1"/>
      <c r="J71" s="4"/>
      <c r="K71" s="5" t="str">
        <f ca="1">IFERROR(__xludf.DUMMYFUNCTION("""COMPUTED_VALUE"""),"")</f>
        <v/>
      </c>
      <c r="L71" s="5" t="str">
        <f ca="1">IFERROR(__xludf.DUMMYFUNCTION("""COMPUTED_VALUE"""),"")</f>
        <v/>
      </c>
      <c r="M71" s="5" t="str">
        <f ca="1">IFERROR(__xludf.DUMMYFUNCTION("""COMPUTED_VALUE"""),"")</f>
        <v/>
      </c>
      <c r="N71" s="5" t="str">
        <f ca="1">IFERROR(__xludf.DUMMYFUNCTION("""COMPUTED_VALUE"""),"")</f>
        <v/>
      </c>
      <c r="O71" s="5"/>
      <c r="P71" s="5"/>
      <c r="Q71" s="5" t="str">
        <f ca="1">IFERROR(__xludf.DUMMYFUNCTION("""COMPUTED_VALUE"""),"")</f>
        <v/>
      </c>
      <c r="R71" s="5" t="str">
        <f ca="1">IFERROR(__xludf.DUMMYFUNCTION("""COMPUTED_VALUE"""),"")</f>
        <v/>
      </c>
      <c r="S71" s="5" t="str">
        <f ca="1">IFERROR(__xludf.DUMMYFUNCTION("""COMPUTED_VALUE"""),"")</f>
        <v/>
      </c>
      <c r="T71" s="5" t="str">
        <f ca="1">IFERROR(__xludf.DUMMYFUNCTION("""COMPUTED_VALUE"""),"")</f>
        <v/>
      </c>
      <c r="U71" s="5"/>
      <c r="V71" s="5"/>
    </row>
    <row r="72" spans="1:22" ht="13.2">
      <c r="A72" s="1"/>
      <c r="B72" s="1"/>
      <c r="C72" s="1"/>
      <c r="D72" s="58"/>
      <c r="E72" s="1"/>
      <c r="F72" s="187"/>
      <c r="G72" s="188"/>
      <c r="H72" s="1"/>
      <c r="I72" s="1"/>
      <c r="J72" s="4"/>
      <c r="K72" s="5" t="str">
        <f ca="1">IFERROR(__xludf.DUMMYFUNCTION("""COMPUTED_VALUE"""),"")</f>
        <v/>
      </c>
      <c r="L72" s="5" t="str">
        <f ca="1">IFERROR(__xludf.DUMMYFUNCTION("""COMPUTED_VALUE"""),"")</f>
        <v/>
      </c>
      <c r="M72" s="5" t="str">
        <f ca="1">IFERROR(__xludf.DUMMYFUNCTION("""COMPUTED_VALUE"""),"")</f>
        <v/>
      </c>
      <c r="N72" s="5" t="str">
        <f ca="1">IFERROR(__xludf.DUMMYFUNCTION("""COMPUTED_VALUE"""),"")</f>
        <v/>
      </c>
      <c r="O72" s="5"/>
      <c r="P72" s="5"/>
      <c r="Q72" s="5" t="str">
        <f ca="1">IFERROR(__xludf.DUMMYFUNCTION("""COMPUTED_VALUE"""),"")</f>
        <v/>
      </c>
      <c r="R72" s="5" t="str">
        <f ca="1">IFERROR(__xludf.DUMMYFUNCTION("""COMPUTED_VALUE"""),"")</f>
        <v/>
      </c>
      <c r="S72" s="5" t="str">
        <f ca="1">IFERROR(__xludf.DUMMYFUNCTION("""COMPUTED_VALUE"""),"")</f>
        <v/>
      </c>
      <c r="T72" s="5" t="str">
        <f ca="1">IFERROR(__xludf.DUMMYFUNCTION("""COMPUTED_VALUE"""),"")</f>
        <v/>
      </c>
      <c r="U72" s="5"/>
      <c r="V72" s="5"/>
    </row>
    <row r="73" spans="1:22" ht="13.2">
      <c r="A73" s="1"/>
      <c r="B73" s="1"/>
      <c r="C73" s="1"/>
      <c r="D73" s="58"/>
      <c r="E73" s="1"/>
      <c r="F73" s="187"/>
      <c r="G73" s="188"/>
      <c r="H73" s="1"/>
      <c r="I73" s="1"/>
      <c r="J73" s="4"/>
      <c r="K73" s="5" t="str">
        <f ca="1">IFERROR(__xludf.DUMMYFUNCTION("""COMPUTED_VALUE"""),"")</f>
        <v/>
      </c>
      <c r="L73" s="5" t="str">
        <f ca="1">IFERROR(__xludf.DUMMYFUNCTION("""COMPUTED_VALUE"""),"")</f>
        <v/>
      </c>
      <c r="M73" s="5" t="str">
        <f ca="1">IFERROR(__xludf.DUMMYFUNCTION("""COMPUTED_VALUE"""),"")</f>
        <v/>
      </c>
      <c r="N73" s="5" t="str">
        <f ca="1">IFERROR(__xludf.DUMMYFUNCTION("""COMPUTED_VALUE"""),"")</f>
        <v/>
      </c>
      <c r="O73" s="5"/>
      <c r="P73" s="5"/>
      <c r="Q73" s="5" t="str">
        <f ca="1">IFERROR(__xludf.DUMMYFUNCTION("""COMPUTED_VALUE"""),"")</f>
        <v/>
      </c>
      <c r="R73" s="5" t="str">
        <f ca="1">IFERROR(__xludf.DUMMYFUNCTION("""COMPUTED_VALUE"""),"")</f>
        <v/>
      </c>
      <c r="S73" s="5" t="str">
        <f ca="1">IFERROR(__xludf.DUMMYFUNCTION("""COMPUTED_VALUE"""),"")</f>
        <v/>
      </c>
      <c r="T73" s="5" t="str">
        <f ca="1">IFERROR(__xludf.DUMMYFUNCTION("""COMPUTED_VALUE"""),"")</f>
        <v/>
      </c>
      <c r="U73" s="5"/>
      <c r="V73" s="5"/>
    </row>
    <row r="74" spans="1:22" ht="13.2">
      <c r="A74" s="1"/>
      <c r="B74" s="1"/>
      <c r="C74" s="62"/>
      <c r="D74" s="64"/>
      <c r="E74" s="62" t="s">
        <v>112</v>
      </c>
      <c r="F74" s="187"/>
      <c r="G74" s="188"/>
      <c r="H74" s="1"/>
      <c r="I74" s="1"/>
      <c r="J74" s="4"/>
      <c r="K74" s="5" t="str">
        <f ca="1">IFERROR(__xludf.DUMMYFUNCTION("""COMPUTED_VALUE"""),"")</f>
        <v/>
      </c>
      <c r="L74" s="5" t="str">
        <f ca="1">IFERROR(__xludf.DUMMYFUNCTION("""COMPUTED_VALUE"""),"")</f>
        <v/>
      </c>
      <c r="M74" s="5" t="str">
        <f ca="1">IFERROR(__xludf.DUMMYFUNCTION("""COMPUTED_VALUE"""),"")</f>
        <v/>
      </c>
      <c r="N74" s="5" t="str">
        <f ca="1">IFERROR(__xludf.DUMMYFUNCTION("""COMPUTED_VALUE"""),"")</f>
        <v/>
      </c>
      <c r="O74" s="5"/>
      <c r="P74" s="5"/>
      <c r="Q74" s="5" t="str">
        <f ca="1">IFERROR(__xludf.DUMMYFUNCTION("""COMPUTED_VALUE"""),"")</f>
        <v/>
      </c>
      <c r="R74" s="5" t="str">
        <f ca="1">IFERROR(__xludf.DUMMYFUNCTION("""COMPUTED_VALUE"""),"")</f>
        <v/>
      </c>
      <c r="S74" s="5" t="str">
        <f ca="1">IFERROR(__xludf.DUMMYFUNCTION("""COMPUTED_VALUE"""),"")</f>
        <v/>
      </c>
      <c r="T74" s="5" t="str">
        <f ca="1">IFERROR(__xludf.DUMMYFUNCTION("""COMPUTED_VALUE"""),"")</f>
        <v/>
      </c>
      <c r="U74" s="5"/>
      <c r="V74" s="5"/>
    </row>
    <row r="75" spans="1:22" ht="13.2">
      <c r="A75" s="1"/>
      <c r="B75" s="1"/>
      <c r="C75" s="62"/>
      <c r="D75" s="64"/>
      <c r="E75" s="62" t="s">
        <v>113</v>
      </c>
      <c r="F75" s="187"/>
      <c r="G75" s="188"/>
      <c r="H75" s="1"/>
      <c r="I75" s="1"/>
      <c r="J75" s="4"/>
      <c r="K75" s="5" t="str">
        <f ca="1">IFERROR(__xludf.DUMMYFUNCTION("""COMPUTED_VALUE"""),"")</f>
        <v/>
      </c>
      <c r="L75" s="5" t="str">
        <f ca="1">IFERROR(__xludf.DUMMYFUNCTION("""COMPUTED_VALUE"""),"")</f>
        <v/>
      </c>
      <c r="M75" s="5" t="str">
        <f ca="1">IFERROR(__xludf.DUMMYFUNCTION("""COMPUTED_VALUE"""),"")</f>
        <v/>
      </c>
      <c r="N75" s="5" t="str">
        <f ca="1">IFERROR(__xludf.DUMMYFUNCTION("""COMPUTED_VALUE"""),"")</f>
        <v/>
      </c>
      <c r="O75" s="5"/>
      <c r="P75" s="5"/>
      <c r="Q75" s="5" t="str">
        <f ca="1">IFERROR(__xludf.DUMMYFUNCTION("""COMPUTED_VALUE"""),"")</f>
        <v/>
      </c>
      <c r="R75" s="5" t="str">
        <f ca="1">IFERROR(__xludf.DUMMYFUNCTION("""COMPUTED_VALUE"""),"")</f>
        <v/>
      </c>
      <c r="S75" s="5" t="str">
        <f ca="1">IFERROR(__xludf.DUMMYFUNCTION("""COMPUTED_VALUE"""),"")</f>
        <v/>
      </c>
      <c r="T75" s="5" t="str">
        <f ca="1">IFERROR(__xludf.DUMMYFUNCTION("""COMPUTED_VALUE"""),"")</f>
        <v/>
      </c>
      <c r="U75" s="5"/>
      <c r="V75" s="5"/>
    </row>
    <row r="76" spans="1:22" ht="13.2">
      <c r="A76" s="1"/>
      <c r="B76" s="1"/>
      <c r="C76" s="62"/>
      <c r="D76" s="64"/>
      <c r="E76" s="62"/>
      <c r="F76" s="62"/>
      <c r="G76" s="65"/>
      <c r="H76" s="1"/>
      <c r="I76" s="1"/>
      <c r="J76" s="4"/>
      <c r="K76" s="5" t="str">
        <f ca="1">IFERROR(__xludf.DUMMYFUNCTION("""COMPUTED_VALUE"""),"")</f>
        <v/>
      </c>
      <c r="L76" s="5" t="str">
        <f ca="1">IFERROR(__xludf.DUMMYFUNCTION("""COMPUTED_VALUE"""),"")</f>
        <v/>
      </c>
      <c r="M76" s="5" t="str">
        <f ca="1">IFERROR(__xludf.DUMMYFUNCTION("""COMPUTED_VALUE"""),"")</f>
        <v/>
      </c>
      <c r="N76" s="5" t="str">
        <f ca="1">IFERROR(__xludf.DUMMYFUNCTION("""COMPUTED_VALUE"""),"")</f>
        <v/>
      </c>
      <c r="O76" s="5"/>
      <c r="P76" s="5"/>
      <c r="Q76" s="5" t="str">
        <f ca="1">IFERROR(__xludf.DUMMYFUNCTION("""COMPUTED_VALUE"""),"")</f>
        <v/>
      </c>
      <c r="R76" s="5" t="str">
        <f ca="1">IFERROR(__xludf.DUMMYFUNCTION("""COMPUTED_VALUE"""),"")</f>
        <v/>
      </c>
      <c r="S76" s="5" t="str">
        <f ca="1">IFERROR(__xludf.DUMMYFUNCTION("""COMPUTED_VALUE"""),"")</f>
        <v/>
      </c>
      <c r="T76" s="5" t="str">
        <f ca="1">IFERROR(__xludf.DUMMYFUNCTION("""COMPUTED_VALUE"""),"")</f>
        <v/>
      </c>
      <c r="U76" s="5"/>
      <c r="V76" s="5"/>
    </row>
    <row r="77" spans="1:22" ht="13.2">
      <c r="A77" s="1"/>
      <c r="B77" s="1"/>
      <c r="C77" s="66" t="s">
        <v>114</v>
      </c>
      <c r="D77" s="67"/>
      <c r="E77" s="66" t="s">
        <v>115</v>
      </c>
      <c r="F77" s="68"/>
      <c r="G77" s="69"/>
      <c r="H77" s="1"/>
      <c r="I77" s="1"/>
      <c r="J77" s="4"/>
      <c r="K77" s="5" t="str">
        <f ca="1">IFERROR(__xludf.DUMMYFUNCTION("""COMPUTED_VALUE"""),"")</f>
        <v/>
      </c>
      <c r="L77" s="5" t="str">
        <f ca="1">IFERROR(__xludf.DUMMYFUNCTION("""COMPUTED_VALUE"""),"")</f>
        <v/>
      </c>
      <c r="M77" s="5" t="str">
        <f ca="1">IFERROR(__xludf.DUMMYFUNCTION("""COMPUTED_VALUE"""),"")</f>
        <v/>
      </c>
      <c r="N77" s="5" t="str">
        <f ca="1">IFERROR(__xludf.DUMMYFUNCTION("""COMPUTED_VALUE"""),"")</f>
        <v/>
      </c>
      <c r="O77" s="5"/>
      <c r="P77" s="5"/>
      <c r="Q77" s="5" t="str">
        <f ca="1">IFERROR(__xludf.DUMMYFUNCTION("""COMPUTED_VALUE"""),"")</f>
        <v/>
      </c>
      <c r="R77" s="5" t="str">
        <f ca="1">IFERROR(__xludf.DUMMYFUNCTION("""COMPUTED_VALUE"""),"")</f>
        <v/>
      </c>
      <c r="S77" s="5" t="str">
        <f ca="1">IFERROR(__xludf.DUMMYFUNCTION("""COMPUTED_VALUE"""),"")</f>
        <v/>
      </c>
      <c r="T77" s="5" t="str">
        <f ca="1">IFERROR(__xludf.DUMMYFUNCTION("""COMPUTED_VALUE"""),"")</f>
        <v/>
      </c>
      <c r="U77" s="5"/>
      <c r="V77" s="5"/>
    </row>
    <row r="78" spans="1:22" ht="13.2">
      <c r="A78" s="1"/>
      <c r="B78" s="1"/>
      <c r="C78" s="60" t="s">
        <v>116</v>
      </c>
      <c r="D78" s="70"/>
      <c r="E78" s="60" t="s">
        <v>116</v>
      </c>
      <c r="F78" s="189"/>
      <c r="G78" s="188"/>
      <c r="H78" s="1"/>
      <c r="I78" s="1"/>
      <c r="J78" s="4"/>
      <c r="K78" s="5" t="str">
        <f ca="1">IFERROR(__xludf.DUMMYFUNCTION("""COMPUTED_VALUE"""),"")</f>
        <v/>
      </c>
      <c r="L78" s="5" t="str">
        <f ca="1">IFERROR(__xludf.DUMMYFUNCTION("""COMPUTED_VALUE"""),"")</f>
        <v/>
      </c>
      <c r="M78" s="5" t="str">
        <f ca="1">IFERROR(__xludf.DUMMYFUNCTION("""COMPUTED_VALUE"""),"")</f>
        <v/>
      </c>
      <c r="N78" s="5" t="str">
        <f ca="1">IFERROR(__xludf.DUMMYFUNCTION("""COMPUTED_VALUE"""),"")</f>
        <v/>
      </c>
      <c r="O78" s="5"/>
      <c r="P78" s="5"/>
      <c r="Q78" s="5" t="str">
        <f ca="1">IFERROR(__xludf.DUMMYFUNCTION("""COMPUTED_VALUE"""),"")</f>
        <v/>
      </c>
      <c r="R78" s="5" t="str">
        <f ca="1">IFERROR(__xludf.DUMMYFUNCTION("""COMPUTED_VALUE"""),"")</f>
        <v/>
      </c>
      <c r="S78" s="5" t="str">
        <f ca="1">IFERROR(__xludf.DUMMYFUNCTION("""COMPUTED_VALUE"""),"")</f>
        <v/>
      </c>
      <c r="T78" s="5" t="str">
        <f ca="1">IFERROR(__xludf.DUMMYFUNCTION("""COMPUTED_VALUE"""),"")</f>
        <v/>
      </c>
      <c r="U78" s="5"/>
      <c r="V78" s="5"/>
    </row>
    <row r="79" spans="1:22" ht="13.2">
      <c r="A79" s="1"/>
      <c r="B79" s="1"/>
      <c r="C79" s="68" t="s">
        <v>117</v>
      </c>
      <c r="D79" s="67"/>
      <c r="E79" s="68"/>
      <c r="F79" s="68"/>
      <c r="G79" s="69"/>
      <c r="H79" s="1"/>
      <c r="I79" s="1"/>
      <c r="J79" s="4"/>
      <c r="K79" s="5" t="str">
        <f ca="1">IFERROR(__xludf.DUMMYFUNCTION("""COMPUTED_VALUE"""),"")</f>
        <v/>
      </c>
      <c r="L79" s="5" t="str">
        <f ca="1">IFERROR(__xludf.DUMMYFUNCTION("""COMPUTED_VALUE"""),"")</f>
        <v/>
      </c>
      <c r="M79" s="5" t="str">
        <f ca="1">IFERROR(__xludf.DUMMYFUNCTION("""COMPUTED_VALUE"""),"")</f>
        <v/>
      </c>
      <c r="N79" s="5" t="str">
        <f ca="1">IFERROR(__xludf.DUMMYFUNCTION("""COMPUTED_VALUE"""),"")</f>
        <v/>
      </c>
      <c r="O79" s="5"/>
      <c r="P79" s="5"/>
      <c r="Q79" s="5" t="str">
        <f ca="1">IFERROR(__xludf.DUMMYFUNCTION("""COMPUTED_VALUE"""),"")</f>
        <v/>
      </c>
      <c r="R79" s="5" t="str">
        <f ca="1">IFERROR(__xludf.DUMMYFUNCTION("""COMPUTED_VALUE"""),"")</f>
        <v/>
      </c>
      <c r="S79" s="5" t="str">
        <f ca="1">IFERROR(__xludf.DUMMYFUNCTION("""COMPUTED_VALUE"""),"")</f>
        <v/>
      </c>
      <c r="T79" s="5" t="str">
        <f ca="1">IFERROR(__xludf.DUMMYFUNCTION("""COMPUTED_VALUE"""),"")</f>
        <v/>
      </c>
      <c r="U79" s="5"/>
      <c r="V79" s="5"/>
    </row>
    <row r="80" spans="1:22" ht="13.2">
      <c r="A80" s="1"/>
      <c r="B80" s="1"/>
      <c r="C80" s="190"/>
      <c r="D80" s="191"/>
      <c r="E80" s="191"/>
      <c r="F80" s="191"/>
      <c r="G80" s="192"/>
      <c r="H80" s="1"/>
      <c r="I80" s="1"/>
      <c r="J80" s="4"/>
      <c r="K80" s="5" t="str">
        <f ca="1">IFERROR(__xludf.DUMMYFUNCTION("""COMPUTED_VALUE"""),"")</f>
        <v/>
      </c>
      <c r="L80" s="5" t="str">
        <f ca="1">IFERROR(__xludf.DUMMYFUNCTION("""COMPUTED_VALUE"""),"")</f>
        <v/>
      </c>
      <c r="M80" s="5" t="str">
        <f ca="1">IFERROR(__xludf.DUMMYFUNCTION("""COMPUTED_VALUE"""),"")</f>
        <v/>
      </c>
      <c r="N80" s="5" t="str">
        <f ca="1">IFERROR(__xludf.DUMMYFUNCTION("""COMPUTED_VALUE"""),"")</f>
        <v/>
      </c>
      <c r="O80" s="5"/>
      <c r="P80" s="5"/>
      <c r="Q80" s="5" t="str">
        <f ca="1">IFERROR(__xludf.DUMMYFUNCTION("""COMPUTED_VALUE"""),"")</f>
        <v/>
      </c>
      <c r="R80" s="5" t="str">
        <f ca="1">IFERROR(__xludf.DUMMYFUNCTION("""COMPUTED_VALUE"""),"")</f>
        <v/>
      </c>
      <c r="S80" s="5" t="str">
        <f ca="1">IFERROR(__xludf.DUMMYFUNCTION("""COMPUTED_VALUE"""),"")</f>
        <v/>
      </c>
      <c r="T80" s="5" t="str">
        <f ca="1">IFERROR(__xludf.DUMMYFUNCTION("""COMPUTED_VALUE"""),"")</f>
        <v/>
      </c>
      <c r="U80" s="5"/>
      <c r="V80" s="5"/>
    </row>
    <row r="81" spans="1:22" ht="13.2">
      <c r="A81" s="1"/>
      <c r="B81" s="1"/>
      <c r="C81" s="193"/>
      <c r="D81" s="194"/>
      <c r="E81" s="194"/>
      <c r="F81" s="194"/>
      <c r="G81" s="195"/>
      <c r="H81" s="1"/>
      <c r="I81" s="1"/>
      <c r="J81" s="4"/>
      <c r="K81" s="5" t="str">
        <f ca="1">IFERROR(__xludf.DUMMYFUNCTION("""COMPUTED_VALUE"""),"")</f>
        <v/>
      </c>
      <c r="L81" s="5" t="str">
        <f ca="1">IFERROR(__xludf.DUMMYFUNCTION("""COMPUTED_VALUE"""),"")</f>
        <v/>
      </c>
      <c r="M81" s="5" t="str">
        <f ca="1">IFERROR(__xludf.DUMMYFUNCTION("""COMPUTED_VALUE"""),"")</f>
        <v/>
      </c>
      <c r="N81" s="5" t="str">
        <f ca="1">IFERROR(__xludf.DUMMYFUNCTION("""COMPUTED_VALUE"""),"")</f>
        <v/>
      </c>
      <c r="O81" s="5"/>
      <c r="P81" s="5"/>
      <c r="Q81" s="5" t="str">
        <f ca="1">IFERROR(__xludf.DUMMYFUNCTION("""COMPUTED_VALUE"""),"")</f>
        <v/>
      </c>
      <c r="R81" s="5" t="str">
        <f ca="1">IFERROR(__xludf.DUMMYFUNCTION("""COMPUTED_VALUE"""),"")</f>
        <v/>
      </c>
      <c r="S81" s="5" t="str">
        <f ca="1">IFERROR(__xludf.DUMMYFUNCTION("""COMPUTED_VALUE"""),"")</f>
        <v/>
      </c>
      <c r="T81" s="5" t="str">
        <f ca="1">IFERROR(__xludf.DUMMYFUNCTION("""COMPUTED_VALUE"""),"")</f>
        <v/>
      </c>
      <c r="U81" s="5"/>
      <c r="V81" s="5"/>
    </row>
    <row r="82" spans="1:22" ht="13.2">
      <c r="A82" s="1"/>
      <c r="B82" s="1"/>
      <c r="C82" s="193"/>
      <c r="D82" s="194"/>
      <c r="E82" s="194"/>
      <c r="F82" s="194"/>
      <c r="G82" s="195"/>
      <c r="H82" s="1"/>
      <c r="I82" s="1"/>
      <c r="J82" s="4"/>
      <c r="K82" s="5" t="str">
        <f ca="1">IFERROR(__xludf.DUMMYFUNCTION("""COMPUTED_VALUE"""),"")</f>
        <v/>
      </c>
      <c r="L82" s="5" t="str">
        <f ca="1">IFERROR(__xludf.DUMMYFUNCTION("""COMPUTED_VALUE"""),"")</f>
        <v/>
      </c>
      <c r="M82" s="5" t="str">
        <f ca="1">IFERROR(__xludf.DUMMYFUNCTION("""COMPUTED_VALUE"""),"")</f>
        <v/>
      </c>
      <c r="N82" s="5" t="str">
        <f ca="1">IFERROR(__xludf.DUMMYFUNCTION("""COMPUTED_VALUE"""),"")</f>
        <v/>
      </c>
      <c r="O82" s="5"/>
      <c r="P82" s="5"/>
      <c r="Q82" s="5" t="str">
        <f ca="1">IFERROR(__xludf.DUMMYFUNCTION("""COMPUTED_VALUE"""),"")</f>
        <v/>
      </c>
      <c r="R82" s="5" t="str">
        <f ca="1">IFERROR(__xludf.DUMMYFUNCTION("""COMPUTED_VALUE"""),"")</f>
        <v/>
      </c>
      <c r="S82" s="5" t="str">
        <f ca="1">IFERROR(__xludf.DUMMYFUNCTION("""COMPUTED_VALUE"""),"")</f>
        <v/>
      </c>
      <c r="T82" s="5" t="str">
        <f ca="1">IFERROR(__xludf.DUMMYFUNCTION("""COMPUTED_VALUE"""),"")</f>
        <v/>
      </c>
      <c r="U82" s="5"/>
      <c r="V82" s="5"/>
    </row>
    <row r="83" spans="1:22" ht="13.2">
      <c r="A83" s="1"/>
      <c r="B83" s="1"/>
      <c r="C83" s="196"/>
      <c r="D83" s="197"/>
      <c r="E83" s="197"/>
      <c r="F83" s="197"/>
      <c r="G83" s="198"/>
      <c r="H83" s="1"/>
      <c r="I83" s="1"/>
      <c r="J83" s="4"/>
      <c r="K83" s="5" t="str">
        <f ca="1">IFERROR(__xludf.DUMMYFUNCTION("""COMPUTED_VALUE"""),"")</f>
        <v/>
      </c>
      <c r="L83" s="5" t="str">
        <f ca="1">IFERROR(__xludf.DUMMYFUNCTION("""COMPUTED_VALUE"""),"")</f>
        <v/>
      </c>
      <c r="M83" s="5" t="str">
        <f ca="1">IFERROR(__xludf.DUMMYFUNCTION("""COMPUTED_VALUE"""),"")</f>
        <v/>
      </c>
      <c r="N83" s="5" t="str">
        <f ca="1">IFERROR(__xludf.DUMMYFUNCTION("""COMPUTED_VALUE"""),"")</f>
        <v/>
      </c>
      <c r="O83" s="5"/>
      <c r="P83" s="5"/>
      <c r="Q83" s="5" t="str">
        <f ca="1">IFERROR(__xludf.DUMMYFUNCTION("""COMPUTED_VALUE"""),"")</f>
        <v/>
      </c>
      <c r="R83" s="5" t="str">
        <f ca="1">IFERROR(__xludf.DUMMYFUNCTION("""COMPUTED_VALUE"""),"")</f>
        <v/>
      </c>
      <c r="S83" s="5" t="str">
        <f ca="1">IFERROR(__xludf.DUMMYFUNCTION("""COMPUTED_VALUE"""),"")</f>
        <v/>
      </c>
      <c r="T83" s="5" t="str">
        <f ca="1">IFERROR(__xludf.DUMMYFUNCTION("""COMPUTED_VALUE"""),"")</f>
        <v/>
      </c>
      <c r="U83" s="5"/>
      <c r="V83" s="5"/>
    </row>
    <row r="84" spans="1:22" ht="13.2">
      <c r="A84" s="1"/>
      <c r="B84" s="1"/>
      <c r="C84" s="1"/>
      <c r="D84" s="58"/>
      <c r="E84" s="1"/>
      <c r="F84" s="1"/>
      <c r="G84" s="59"/>
      <c r="H84" s="1"/>
      <c r="I84" s="1"/>
      <c r="J84" s="4"/>
      <c r="K84" s="5" t="str">
        <f ca="1">IFERROR(__xludf.DUMMYFUNCTION("""COMPUTED_VALUE"""),"")</f>
        <v/>
      </c>
      <c r="L84" s="5" t="str">
        <f ca="1">IFERROR(__xludf.DUMMYFUNCTION("""COMPUTED_VALUE"""),"")</f>
        <v/>
      </c>
      <c r="M84" s="5" t="str">
        <f ca="1">IFERROR(__xludf.DUMMYFUNCTION("""COMPUTED_VALUE"""),"")</f>
        <v/>
      </c>
      <c r="N84" s="5" t="str">
        <f ca="1">IFERROR(__xludf.DUMMYFUNCTION("""COMPUTED_VALUE"""),"")</f>
        <v/>
      </c>
      <c r="O84" s="5"/>
      <c r="P84" s="5"/>
      <c r="Q84" s="5" t="str">
        <f ca="1">IFERROR(__xludf.DUMMYFUNCTION("""COMPUTED_VALUE"""),"")</f>
        <v/>
      </c>
      <c r="R84" s="5" t="str">
        <f ca="1">IFERROR(__xludf.DUMMYFUNCTION("""COMPUTED_VALUE"""),"")</f>
        <v/>
      </c>
      <c r="S84" s="5" t="str">
        <f ca="1">IFERROR(__xludf.DUMMYFUNCTION("""COMPUTED_VALUE"""),"")</f>
        <v/>
      </c>
      <c r="T84" s="5" t="str">
        <f ca="1">IFERROR(__xludf.DUMMYFUNCTION("""COMPUTED_VALUE"""),"")</f>
        <v/>
      </c>
      <c r="U84" s="5"/>
      <c r="V84" s="5"/>
    </row>
    <row r="85" spans="1:22" ht="13.2">
      <c r="A85" s="1"/>
      <c r="B85" s="1"/>
      <c r="C85" s="1"/>
      <c r="D85" s="58"/>
      <c r="E85" s="1"/>
      <c r="F85" s="1"/>
      <c r="G85" s="59"/>
      <c r="H85" s="1"/>
      <c r="I85" s="1"/>
      <c r="J85" s="4"/>
      <c r="K85" s="5" t="str">
        <f ca="1">IFERROR(__xludf.DUMMYFUNCTION("""COMPUTED_VALUE"""),"")</f>
        <v/>
      </c>
      <c r="L85" s="5" t="str">
        <f ca="1">IFERROR(__xludf.DUMMYFUNCTION("""COMPUTED_VALUE"""),"")</f>
        <v/>
      </c>
      <c r="M85" s="5" t="str">
        <f ca="1">IFERROR(__xludf.DUMMYFUNCTION("""COMPUTED_VALUE"""),"")</f>
        <v/>
      </c>
      <c r="N85" s="5" t="str">
        <f ca="1">IFERROR(__xludf.DUMMYFUNCTION("""COMPUTED_VALUE"""),"")</f>
        <v/>
      </c>
      <c r="O85" s="5"/>
      <c r="P85" s="5"/>
      <c r="Q85" s="5" t="str">
        <f ca="1">IFERROR(__xludf.DUMMYFUNCTION("""COMPUTED_VALUE"""),"")</f>
        <v/>
      </c>
      <c r="R85" s="5" t="str">
        <f ca="1">IFERROR(__xludf.DUMMYFUNCTION("""COMPUTED_VALUE"""),"")</f>
        <v/>
      </c>
      <c r="S85" s="5" t="str">
        <f ca="1">IFERROR(__xludf.DUMMYFUNCTION("""COMPUTED_VALUE"""),"")</f>
        <v/>
      </c>
      <c r="T85" s="5" t="str">
        <f ca="1">IFERROR(__xludf.DUMMYFUNCTION("""COMPUTED_VALUE"""),"")</f>
        <v/>
      </c>
      <c r="U85" s="5"/>
      <c r="V85" s="5"/>
    </row>
    <row r="86" spans="1:22" ht="13.2">
      <c r="A86" s="1"/>
      <c r="B86" s="1"/>
      <c r="C86" s="1"/>
      <c r="D86" s="58"/>
      <c r="E86" s="1"/>
      <c r="F86" s="1"/>
      <c r="G86" s="59"/>
      <c r="H86" s="1"/>
      <c r="I86" s="1"/>
      <c r="J86" s="4"/>
      <c r="K86" s="5" t="str">
        <f ca="1">IFERROR(__xludf.DUMMYFUNCTION("""COMPUTED_VALUE"""),"")</f>
        <v/>
      </c>
      <c r="L86" s="5" t="str">
        <f ca="1">IFERROR(__xludf.DUMMYFUNCTION("""COMPUTED_VALUE"""),"")</f>
        <v/>
      </c>
      <c r="M86" s="5" t="str">
        <f ca="1">IFERROR(__xludf.DUMMYFUNCTION("""COMPUTED_VALUE"""),"")</f>
        <v/>
      </c>
      <c r="N86" s="5" t="str">
        <f ca="1">IFERROR(__xludf.DUMMYFUNCTION("""COMPUTED_VALUE"""),"")</f>
        <v/>
      </c>
      <c r="O86" s="5"/>
      <c r="P86" s="5"/>
      <c r="Q86" s="5" t="str">
        <f ca="1">IFERROR(__xludf.DUMMYFUNCTION("""COMPUTED_VALUE"""),"")</f>
        <v/>
      </c>
      <c r="R86" s="5" t="str">
        <f ca="1">IFERROR(__xludf.DUMMYFUNCTION("""COMPUTED_VALUE"""),"")</f>
        <v/>
      </c>
      <c r="S86" s="5" t="str">
        <f ca="1">IFERROR(__xludf.DUMMYFUNCTION("""COMPUTED_VALUE"""),"")</f>
        <v/>
      </c>
      <c r="T86" s="5" t="str">
        <f ca="1">IFERROR(__xludf.DUMMYFUNCTION("""COMPUTED_VALUE"""),"")</f>
        <v/>
      </c>
      <c r="U86" s="5"/>
      <c r="V86" s="5"/>
    </row>
    <row r="87" spans="1:22" ht="13.2">
      <c r="A87" s="1"/>
      <c r="B87" s="1"/>
      <c r="C87" s="1"/>
      <c r="D87" s="58"/>
      <c r="E87" s="1"/>
      <c r="F87" s="1"/>
      <c r="G87" s="59"/>
      <c r="H87" s="1"/>
      <c r="I87" s="1"/>
      <c r="J87" s="4"/>
      <c r="K87" s="5" t="str">
        <f ca="1">IFERROR(__xludf.DUMMYFUNCTION("""COMPUTED_VALUE"""),"")</f>
        <v/>
      </c>
      <c r="L87" s="5" t="str">
        <f ca="1">IFERROR(__xludf.DUMMYFUNCTION("""COMPUTED_VALUE"""),"")</f>
        <v/>
      </c>
      <c r="M87" s="5" t="str">
        <f ca="1">IFERROR(__xludf.DUMMYFUNCTION("""COMPUTED_VALUE"""),"")</f>
        <v/>
      </c>
      <c r="N87" s="5" t="str">
        <f ca="1">IFERROR(__xludf.DUMMYFUNCTION("""COMPUTED_VALUE"""),"")</f>
        <v/>
      </c>
      <c r="O87" s="5"/>
      <c r="P87" s="5"/>
      <c r="Q87" s="5" t="str">
        <f ca="1">IFERROR(__xludf.DUMMYFUNCTION("""COMPUTED_VALUE"""),"")</f>
        <v/>
      </c>
      <c r="R87" s="5" t="str">
        <f ca="1">IFERROR(__xludf.DUMMYFUNCTION("""COMPUTED_VALUE"""),"")</f>
        <v/>
      </c>
      <c r="S87" s="5" t="str">
        <f ca="1">IFERROR(__xludf.DUMMYFUNCTION("""COMPUTED_VALUE"""),"")</f>
        <v/>
      </c>
      <c r="T87" s="5" t="str">
        <f ca="1">IFERROR(__xludf.DUMMYFUNCTION("""COMPUTED_VALUE"""),"")</f>
        <v/>
      </c>
      <c r="U87" s="5"/>
      <c r="V87" s="5"/>
    </row>
    <row r="88" spans="1:22" ht="13.2">
      <c r="A88" s="1"/>
      <c r="B88" s="1"/>
      <c r="C88" s="1"/>
      <c r="D88" s="58"/>
      <c r="E88" s="1"/>
      <c r="F88" s="1"/>
      <c r="G88" s="59"/>
      <c r="H88" s="1"/>
      <c r="I88" s="1"/>
      <c r="J88" s="4"/>
      <c r="K88" s="5" t="str">
        <f ca="1">IFERROR(__xludf.DUMMYFUNCTION("""COMPUTED_VALUE"""),"")</f>
        <v/>
      </c>
      <c r="L88" s="5" t="str">
        <f ca="1">IFERROR(__xludf.DUMMYFUNCTION("""COMPUTED_VALUE"""),"")</f>
        <v/>
      </c>
      <c r="M88" s="5" t="str">
        <f ca="1">IFERROR(__xludf.DUMMYFUNCTION("""COMPUTED_VALUE"""),"")</f>
        <v/>
      </c>
      <c r="N88" s="5" t="str">
        <f ca="1">IFERROR(__xludf.DUMMYFUNCTION("""COMPUTED_VALUE"""),"")</f>
        <v/>
      </c>
      <c r="O88" s="5"/>
      <c r="P88" s="5"/>
      <c r="Q88" s="5" t="str">
        <f ca="1">IFERROR(__xludf.DUMMYFUNCTION("""COMPUTED_VALUE"""),"")</f>
        <v/>
      </c>
      <c r="R88" s="5" t="str">
        <f ca="1">IFERROR(__xludf.DUMMYFUNCTION("""COMPUTED_VALUE"""),"")</f>
        <v/>
      </c>
      <c r="S88" s="5" t="str">
        <f ca="1">IFERROR(__xludf.DUMMYFUNCTION("""COMPUTED_VALUE"""),"")</f>
        <v/>
      </c>
      <c r="T88" s="5" t="str">
        <f ca="1">IFERROR(__xludf.DUMMYFUNCTION("""COMPUTED_VALUE"""),"")</f>
        <v/>
      </c>
      <c r="U88" s="5"/>
      <c r="V88" s="5"/>
    </row>
    <row r="89" spans="1:22" ht="13.2">
      <c r="A89" s="1"/>
      <c r="B89" s="1"/>
      <c r="C89" s="1"/>
      <c r="D89" s="58"/>
      <c r="E89" s="1"/>
      <c r="F89" s="1"/>
      <c r="G89" s="59"/>
      <c r="H89" s="1"/>
      <c r="I89" s="1"/>
      <c r="J89" s="4"/>
      <c r="K89" s="5" t="str">
        <f ca="1">IFERROR(__xludf.DUMMYFUNCTION("""COMPUTED_VALUE"""),"")</f>
        <v/>
      </c>
      <c r="L89" s="5" t="str">
        <f ca="1">IFERROR(__xludf.DUMMYFUNCTION("""COMPUTED_VALUE"""),"")</f>
        <v/>
      </c>
      <c r="M89" s="5" t="str">
        <f ca="1">IFERROR(__xludf.DUMMYFUNCTION("""COMPUTED_VALUE"""),"")</f>
        <v/>
      </c>
      <c r="N89" s="5" t="str">
        <f ca="1">IFERROR(__xludf.DUMMYFUNCTION("""COMPUTED_VALUE"""),"")</f>
        <v/>
      </c>
      <c r="O89" s="5"/>
      <c r="P89" s="5"/>
      <c r="Q89" s="5" t="str">
        <f ca="1">IFERROR(__xludf.DUMMYFUNCTION("""COMPUTED_VALUE"""),"")</f>
        <v/>
      </c>
      <c r="R89" s="5" t="str">
        <f ca="1">IFERROR(__xludf.DUMMYFUNCTION("""COMPUTED_VALUE"""),"")</f>
        <v/>
      </c>
      <c r="S89" s="5" t="str">
        <f ca="1">IFERROR(__xludf.DUMMYFUNCTION("""COMPUTED_VALUE"""),"")</f>
        <v/>
      </c>
      <c r="T89" s="5" t="str">
        <f ca="1">IFERROR(__xludf.DUMMYFUNCTION("""COMPUTED_VALUE"""),"")</f>
        <v/>
      </c>
      <c r="U89" s="5"/>
      <c r="V89" s="5"/>
    </row>
    <row r="90" spans="1:22" ht="13.2">
      <c r="A90" s="1"/>
      <c r="B90" s="1"/>
      <c r="C90" s="1"/>
      <c r="D90" s="58"/>
      <c r="E90" s="1"/>
      <c r="F90" s="1"/>
      <c r="G90" s="59"/>
      <c r="H90" s="1"/>
      <c r="I90" s="1"/>
      <c r="J90" s="4"/>
      <c r="K90" s="5" t="str">
        <f ca="1">IFERROR(__xludf.DUMMYFUNCTION("""COMPUTED_VALUE"""),"")</f>
        <v/>
      </c>
      <c r="L90" s="5" t="str">
        <f ca="1">IFERROR(__xludf.DUMMYFUNCTION("""COMPUTED_VALUE"""),"")</f>
        <v/>
      </c>
      <c r="M90" s="5" t="str">
        <f ca="1">IFERROR(__xludf.DUMMYFUNCTION("""COMPUTED_VALUE"""),"")</f>
        <v/>
      </c>
      <c r="N90" s="5" t="str">
        <f ca="1">IFERROR(__xludf.DUMMYFUNCTION("""COMPUTED_VALUE"""),"")</f>
        <v/>
      </c>
      <c r="O90" s="5"/>
      <c r="P90" s="5"/>
      <c r="Q90" s="5" t="str">
        <f ca="1">IFERROR(__xludf.DUMMYFUNCTION("""COMPUTED_VALUE"""),"")</f>
        <v/>
      </c>
      <c r="R90" s="5" t="str">
        <f ca="1">IFERROR(__xludf.DUMMYFUNCTION("""COMPUTED_VALUE"""),"")</f>
        <v/>
      </c>
      <c r="S90" s="5" t="str">
        <f ca="1">IFERROR(__xludf.DUMMYFUNCTION("""COMPUTED_VALUE"""),"")</f>
        <v/>
      </c>
      <c r="T90" s="5" t="str">
        <f ca="1">IFERROR(__xludf.DUMMYFUNCTION("""COMPUTED_VALUE"""),"")</f>
        <v/>
      </c>
      <c r="U90" s="5"/>
      <c r="V90" s="5"/>
    </row>
    <row r="91" spans="1:22" ht="13.2">
      <c r="A91" s="1"/>
      <c r="B91" s="1"/>
      <c r="C91" s="1"/>
      <c r="D91" s="58"/>
      <c r="E91" s="1"/>
      <c r="F91" s="1"/>
      <c r="G91" s="59"/>
      <c r="H91" s="1"/>
      <c r="I91" s="1"/>
      <c r="J91" s="4"/>
      <c r="K91" s="5" t="str">
        <f ca="1">IFERROR(__xludf.DUMMYFUNCTION("""COMPUTED_VALUE"""),"")</f>
        <v/>
      </c>
      <c r="L91" s="5" t="str">
        <f ca="1">IFERROR(__xludf.DUMMYFUNCTION("""COMPUTED_VALUE"""),"")</f>
        <v/>
      </c>
      <c r="M91" s="5" t="str">
        <f ca="1">IFERROR(__xludf.DUMMYFUNCTION("""COMPUTED_VALUE"""),"")</f>
        <v/>
      </c>
      <c r="N91" s="5" t="str">
        <f ca="1">IFERROR(__xludf.DUMMYFUNCTION("""COMPUTED_VALUE"""),"")</f>
        <v/>
      </c>
      <c r="O91" s="5"/>
      <c r="P91" s="5"/>
      <c r="Q91" s="5" t="str">
        <f ca="1">IFERROR(__xludf.DUMMYFUNCTION("""COMPUTED_VALUE"""),"")</f>
        <v/>
      </c>
      <c r="R91" s="5" t="str">
        <f ca="1">IFERROR(__xludf.DUMMYFUNCTION("""COMPUTED_VALUE"""),"")</f>
        <v/>
      </c>
      <c r="S91" s="5" t="str">
        <f ca="1">IFERROR(__xludf.DUMMYFUNCTION("""COMPUTED_VALUE"""),"")</f>
        <v/>
      </c>
      <c r="T91" s="5" t="str">
        <f ca="1">IFERROR(__xludf.DUMMYFUNCTION("""COMPUTED_VALUE"""),"")</f>
        <v/>
      </c>
      <c r="U91" s="5"/>
      <c r="V91" s="5"/>
    </row>
    <row r="92" spans="1:22" ht="13.2">
      <c r="A92" s="1"/>
      <c r="B92" s="1"/>
      <c r="C92" s="1"/>
      <c r="D92" s="58"/>
      <c r="E92" s="1"/>
      <c r="F92" s="1"/>
      <c r="G92" s="59"/>
      <c r="H92" s="1"/>
      <c r="I92" s="1"/>
      <c r="J92" s="4"/>
      <c r="K92" s="5" t="str">
        <f ca="1">IFERROR(__xludf.DUMMYFUNCTION("""COMPUTED_VALUE"""),"")</f>
        <v/>
      </c>
      <c r="L92" s="5" t="str">
        <f ca="1">IFERROR(__xludf.DUMMYFUNCTION("""COMPUTED_VALUE"""),"")</f>
        <v/>
      </c>
      <c r="M92" s="5" t="str">
        <f ca="1">IFERROR(__xludf.DUMMYFUNCTION("""COMPUTED_VALUE"""),"")</f>
        <v/>
      </c>
      <c r="N92" s="5" t="str">
        <f ca="1">IFERROR(__xludf.DUMMYFUNCTION("""COMPUTED_VALUE"""),"")</f>
        <v/>
      </c>
      <c r="O92" s="5"/>
      <c r="P92" s="5"/>
      <c r="Q92" s="5" t="str">
        <f ca="1">IFERROR(__xludf.DUMMYFUNCTION("""COMPUTED_VALUE"""),"")</f>
        <v/>
      </c>
      <c r="R92" s="5" t="str">
        <f ca="1">IFERROR(__xludf.DUMMYFUNCTION("""COMPUTED_VALUE"""),"")</f>
        <v/>
      </c>
      <c r="S92" s="5" t="str">
        <f ca="1">IFERROR(__xludf.DUMMYFUNCTION("""COMPUTED_VALUE"""),"")</f>
        <v/>
      </c>
      <c r="T92" s="5" t="str">
        <f ca="1">IFERROR(__xludf.DUMMYFUNCTION("""COMPUTED_VALUE"""),"")</f>
        <v/>
      </c>
      <c r="U92" s="5"/>
      <c r="V92" s="5"/>
    </row>
    <row r="93" spans="1:22" ht="13.2">
      <c r="A93" s="1"/>
      <c r="B93" s="1"/>
      <c r="C93" s="1"/>
      <c r="D93" s="58"/>
      <c r="E93" s="1"/>
      <c r="F93" s="1"/>
      <c r="G93" s="59"/>
      <c r="H93" s="1"/>
      <c r="I93" s="1"/>
      <c r="J93" s="4"/>
      <c r="K93" s="5" t="str">
        <f ca="1">IFERROR(__xludf.DUMMYFUNCTION("""COMPUTED_VALUE"""),"")</f>
        <v/>
      </c>
      <c r="L93" s="5" t="str">
        <f ca="1">IFERROR(__xludf.DUMMYFUNCTION("""COMPUTED_VALUE"""),"")</f>
        <v/>
      </c>
      <c r="M93" s="5" t="str">
        <f ca="1">IFERROR(__xludf.DUMMYFUNCTION("""COMPUTED_VALUE"""),"")</f>
        <v/>
      </c>
      <c r="N93" s="5" t="str">
        <f ca="1">IFERROR(__xludf.DUMMYFUNCTION("""COMPUTED_VALUE"""),"")</f>
        <v/>
      </c>
      <c r="O93" s="5"/>
      <c r="P93" s="5"/>
      <c r="Q93" s="5" t="str">
        <f ca="1">IFERROR(__xludf.DUMMYFUNCTION("""COMPUTED_VALUE"""),"")</f>
        <v/>
      </c>
      <c r="R93" s="5" t="str">
        <f ca="1">IFERROR(__xludf.DUMMYFUNCTION("""COMPUTED_VALUE"""),"")</f>
        <v/>
      </c>
      <c r="S93" s="5" t="str">
        <f ca="1">IFERROR(__xludf.DUMMYFUNCTION("""COMPUTED_VALUE"""),"")</f>
        <v/>
      </c>
      <c r="T93" s="5" t="str">
        <f ca="1">IFERROR(__xludf.DUMMYFUNCTION("""COMPUTED_VALUE"""),"")</f>
        <v/>
      </c>
      <c r="U93" s="5"/>
      <c r="V93" s="5"/>
    </row>
    <row r="94" spans="1:22" ht="13.2">
      <c r="A94" s="1"/>
      <c r="B94" s="1"/>
      <c r="C94" s="1"/>
      <c r="D94" s="58"/>
      <c r="E94" s="1"/>
      <c r="F94" s="1"/>
      <c r="G94" s="59"/>
      <c r="H94" s="1"/>
      <c r="I94" s="1"/>
      <c r="J94" s="4"/>
      <c r="K94" s="5" t="str">
        <f ca="1">IFERROR(__xludf.DUMMYFUNCTION("""COMPUTED_VALUE"""),"")</f>
        <v/>
      </c>
      <c r="L94" s="5" t="str">
        <f ca="1">IFERROR(__xludf.DUMMYFUNCTION("""COMPUTED_VALUE"""),"")</f>
        <v/>
      </c>
      <c r="M94" s="5" t="str">
        <f ca="1">IFERROR(__xludf.DUMMYFUNCTION("""COMPUTED_VALUE"""),"")</f>
        <v/>
      </c>
      <c r="N94" s="5" t="str">
        <f ca="1">IFERROR(__xludf.DUMMYFUNCTION("""COMPUTED_VALUE"""),"")</f>
        <v/>
      </c>
      <c r="O94" s="5"/>
      <c r="P94" s="5"/>
      <c r="Q94" s="5" t="str">
        <f ca="1">IFERROR(__xludf.DUMMYFUNCTION("""COMPUTED_VALUE"""),"")</f>
        <v/>
      </c>
      <c r="R94" s="5" t="str">
        <f ca="1">IFERROR(__xludf.DUMMYFUNCTION("""COMPUTED_VALUE"""),"")</f>
        <v/>
      </c>
      <c r="S94" s="5" t="str">
        <f ca="1">IFERROR(__xludf.DUMMYFUNCTION("""COMPUTED_VALUE"""),"")</f>
        <v/>
      </c>
      <c r="T94" s="5" t="str">
        <f ca="1">IFERROR(__xludf.DUMMYFUNCTION("""COMPUTED_VALUE"""),"")</f>
        <v/>
      </c>
      <c r="U94" s="5"/>
      <c r="V94" s="5"/>
    </row>
    <row r="95" spans="1:22" ht="13.2">
      <c r="A95" s="1"/>
      <c r="B95" s="1"/>
      <c r="C95" s="1"/>
      <c r="D95" s="58"/>
      <c r="E95" s="1"/>
      <c r="F95" s="1"/>
      <c r="G95" s="59"/>
      <c r="H95" s="1"/>
      <c r="I95" s="1"/>
      <c r="J95" s="4"/>
      <c r="K95" s="5" t="str">
        <f ca="1">IFERROR(__xludf.DUMMYFUNCTION("""COMPUTED_VALUE"""),"")</f>
        <v/>
      </c>
      <c r="L95" s="5" t="str">
        <f ca="1">IFERROR(__xludf.DUMMYFUNCTION("""COMPUTED_VALUE"""),"")</f>
        <v/>
      </c>
      <c r="M95" s="5" t="str">
        <f ca="1">IFERROR(__xludf.DUMMYFUNCTION("""COMPUTED_VALUE"""),"")</f>
        <v/>
      </c>
      <c r="N95" s="5" t="str">
        <f ca="1">IFERROR(__xludf.DUMMYFUNCTION("""COMPUTED_VALUE"""),"")</f>
        <v/>
      </c>
      <c r="O95" s="5"/>
      <c r="P95" s="5"/>
      <c r="Q95" s="5" t="str">
        <f ca="1">IFERROR(__xludf.DUMMYFUNCTION("""COMPUTED_VALUE"""),"")</f>
        <v/>
      </c>
      <c r="R95" s="5" t="str">
        <f ca="1">IFERROR(__xludf.DUMMYFUNCTION("""COMPUTED_VALUE"""),"")</f>
        <v/>
      </c>
      <c r="S95" s="5" t="str">
        <f ca="1">IFERROR(__xludf.DUMMYFUNCTION("""COMPUTED_VALUE"""),"")</f>
        <v/>
      </c>
      <c r="T95" s="5" t="str">
        <f ca="1">IFERROR(__xludf.DUMMYFUNCTION("""COMPUTED_VALUE"""),"")</f>
        <v/>
      </c>
      <c r="U95" s="5"/>
      <c r="V95" s="5"/>
    </row>
    <row r="96" spans="1:22" ht="13.2">
      <c r="A96" s="1"/>
      <c r="B96" s="1"/>
      <c r="C96" s="1"/>
      <c r="D96" s="58"/>
      <c r="E96" s="1"/>
      <c r="F96" s="1"/>
      <c r="G96" s="59"/>
      <c r="H96" s="1"/>
      <c r="I96" s="1"/>
      <c r="J96" s="4"/>
      <c r="K96" s="5" t="str">
        <f ca="1">IFERROR(__xludf.DUMMYFUNCTION("""COMPUTED_VALUE"""),"")</f>
        <v/>
      </c>
      <c r="L96" s="5" t="str">
        <f ca="1">IFERROR(__xludf.DUMMYFUNCTION("""COMPUTED_VALUE"""),"")</f>
        <v/>
      </c>
      <c r="M96" s="5" t="str">
        <f ca="1">IFERROR(__xludf.DUMMYFUNCTION("""COMPUTED_VALUE"""),"")</f>
        <v/>
      </c>
      <c r="N96" s="5" t="str">
        <f ca="1">IFERROR(__xludf.DUMMYFUNCTION("""COMPUTED_VALUE"""),"")</f>
        <v/>
      </c>
      <c r="O96" s="5"/>
      <c r="P96" s="5"/>
      <c r="Q96" s="5" t="str">
        <f ca="1">IFERROR(__xludf.DUMMYFUNCTION("""COMPUTED_VALUE"""),"")</f>
        <v/>
      </c>
      <c r="R96" s="5" t="str">
        <f ca="1">IFERROR(__xludf.DUMMYFUNCTION("""COMPUTED_VALUE"""),"")</f>
        <v/>
      </c>
      <c r="S96" s="5" t="str">
        <f ca="1">IFERROR(__xludf.DUMMYFUNCTION("""COMPUTED_VALUE"""),"")</f>
        <v/>
      </c>
      <c r="T96" s="5" t="str">
        <f ca="1">IFERROR(__xludf.DUMMYFUNCTION("""COMPUTED_VALUE"""),"")</f>
        <v/>
      </c>
      <c r="U96" s="5"/>
      <c r="V96" s="5"/>
    </row>
    <row r="97" spans="1:22" ht="13.2">
      <c r="A97" s="1"/>
      <c r="B97" s="1"/>
      <c r="C97" s="1"/>
      <c r="D97" s="58"/>
      <c r="E97" s="1"/>
      <c r="F97" s="1"/>
      <c r="G97" s="59"/>
      <c r="H97" s="1"/>
      <c r="I97" s="1"/>
      <c r="J97" s="4"/>
      <c r="K97" s="5" t="str">
        <f ca="1">IFERROR(__xludf.DUMMYFUNCTION("""COMPUTED_VALUE"""),"")</f>
        <v/>
      </c>
      <c r="L97" s="5" t="str">
        <f ca="1">IFERROR(__xludf.DUMMYFUNCTION("""COMPUTED_VALUE"""),"")</f>
        <v/>
      </c>
      <c r="M97" s="5" t="str">
        <f ca="1">IFERROR(__xludf.DUMMYFUNCTION("""COMPUTED_VALUE"""),"")</f>
        <v/>
      </c>
      <c r="N97" s="5" t="str">
        <f ca="1">IFERROR(__xludf.DUMMYFUNCTION("""COMPUTED_VALUE"""),"")</f>
        <v/>
      </c>
      <c r="O97" s="5"/>
      <c r="P97" s="5"/>
      <c r="Q97" s="5" t="str">
        <f ca="1">IFERROR(__xludf.DUMMYFUNCTION("""COMPUTED_VALUE"""),"")</f>
        <v/>
      </c>
      <c r="R97" s="5" t="str">
        <f ca="1">IFERROR(__xludf.DUMMYFUNCTION("""COMPUTED_VALUE"""),"")</f>
        <v/>
      </c>
      <c r="S97" s="5" t="str">
        <f ca="1">IFERROR(__xludf.DUMMYFUNCTION("""COMPUTED_VALUE"""),"")</f>
        <v/>
      </c>
      <c r="T97" s="5" t="str">
        <f ca="1">IFERROR(__xludf.DUMMYFUNCTION("""COMPUTED_VALUE"""),"")</f>
        <v/>
      </c>
      <c r="U97" s="5"/>
      <c r="V97" s="5"/>
    </row>
    <row r="98" spans="1:22" ht="13.2">
      <c r="A98" s="1"/>
      <c r="B98" s="1"/>
      <c r="C98" s="1"/>
      <c r="D98" s="58"/>
      <c r="E98" s="1"/>
      <c r="F98" s="1"/>
      <c r="G98" s="59"/>
      <c r="H98" s="1"/>
      <c r="I98" s="1"/>
      <c r="J98" s="4"/>
      <c r="K98" s="5" t="str">
        <f ca="1">IFERROR(__xludf.DUMMYFUNCTION("""COMPUTED_VALUE"""),"")</f>
        <v/>
      </c>
      <c r="L98" s="5" t="str">
        <f ca="1">IFERROR(__xludf.DUMMYFUNCTION("""COMPUTED_VALUE"""),"")</f>
        <v/>
      </c>
      <c r="M98" s="5" t="str">
        <f ca="1">IFERROR(__xludf.DUMMYFUNCTION("""COMPUTED_VALUE"""),"")</f>
        <v/>
      </c>
      <c r="N98" s="5" t="str">
        <f ca="1">IFERROR(__xludf.DUMMYFUNCTION("""COMPUTED_VALUE"""),"")</f>
        <v/>
      </c>
      <c r="O98" s="5"/>
      <c r="P98" s="5"/>
      <c r="Q98" s="5" t="str">
        <f ca="1">IFERROR(__xludf.DUMMYFUNCTION("""COMPUTED_VALUE"""),"")</f>
        <v/>
      </c>
      <c r="R98" s="5" t="str">
        <f ca="1">IFERROR(__xludf.DUMMYFUNCTION("""COMPUTED_VALUE"""),"")</f>
        <v/>
      </c>
      <c r="S98" s="5" t="str">
        <f ca="1">IFERROR(__xludf.DUMMYFUNCTION("""COMPUTED_VALUE"""),"")</f>
        <v/>
      </c>
      <c r="T98" s="5" t="str">
        <f ca="1">IFERROR(__xludf.DUMMYFUNCTION("""COMPUTED_VALUE"""),"")</f>
        <v/>
      </c>
      <c r="U98" s="5"/>
      <c r="V98" s="5"/>
    </row>
    <row r="99" spans="1:22" ht="13.2">
      <c r="A99" s="1"/>
      <c r="B99" s="1"/>
      <c r="C99" s="1"/>
      <c r="D99" s="58"/>
      <c r="E99" s="1"/>
      <c r="F99" s="1"/>
      <c r="G99" s="59"/>
      <c r="H99" s="1"/>
      <c r="I99" s="1"/>
      <c r="J99" s="4"/>
      <c r="K99" s="5" t="str">
        <f ca="1">IFERROR(__xludf.DUMMYFUNCTION("""COMPUTED_VALUE"""),"")</f>
        <v/>
      </c>
      <c r="L99" s="5" t="str">
        <f ca="1">IFERROR(__xludf.DUMMYFUNCTION("""COMPUTED_VALUE"""),"")</f>
        <v/>
      </c>
      <c r="M99" s="5" t="str">
        <f ca="1">IFERROR(__xludf.DUMMYFUNCTION("""COMPUTED_VALUE"""),"")</f>
        <v/>
      </c>
      <c r="N99" s="5" t="str">
        <f ca="1">IFERROR(__xludf.DUMMYFUNCTION("""COMPUTED_VALUE"""),"")</f>
        <v/>
      </c>
      <c r="O99" s="5"/>
      <c r="P99" s="5"/>
      <c r="Q99" s="5" t="str">
        <f ca="1">IFERROR(__xludf.DUMMYFUNCTION("""COMPUTED_VALUE"""),"")</f>
        <v/>
      </c>
      <c r="R99" s="5" t="str">
        <f ca="1">IFERROR(__xludf.DUMMYFUNCTION("""COMPUTED_VALUE"""),"")</f>
        <v/>
      </c>
      <c r="S99" s="5" t="str">
        <f ca="1">IFERROR(__xludf.DUMMYFUNCTION("""COMPUTED_VALUE"""),"")</f>
        <v/>
      </c>
      <c r="T99" s="5" t="str">
        <f ca="1">IFERROR(__xludf.DUMMYFUNCTION("""COMPUTED_VALUE"""),"")</f>
        <v/>
      </c>
      <c r="U99" s="5"/>
      <c r="V99" s="5"/>
    </row>
    <row r="100" spans="1:22" ht="13.2">
      <c r="A100" s="1"/>
      <c r="B100" s="1"/>
      <c r="C100" s="1"/>
      <c r="D100" s="58"/>
      <c r="E100" s="1"/>
      <c r="F100" s="1"/>
      <c r="G100" s="59"/>
      <c r="H100" s="1"/>
      <c r="I100" s="1"/>
      <c r="J100" s="4"/>
      <c r="K100" s="5" t="str">
        <f ca="1">IFERROR(__xludf.DUMMYFUNCTION("""COMPUTED_VALUE"""),"")</f>
        <v/>
      </c>
      <c r="L100" s="5" t="str">
        <f ca="1">IFERROR(__xludf.DUMMYFUNCTION("""COMPUTED_VALUE"""),"")</f>
        <v/>
      </c>
      <c r="M100" s="5" t="str">
        <f ca="1">IFERROR(__xludf.DUMMYFUNCTION("""COMPUTED_VALUE"""),"")</f>
        <v/>
      </c>
      <c r="N100" s="5" t="str">
        <f ca="1">IFERROR(__xludf.DUMMYFUNCTION("""COMPUTED_VALUE"""),"")</f>
        <v/>
      </c>
      <c r="O100" s="5"/>
      <c r="P100" s="5"/>
      <c r="Q100" s="5" t="str">
        <f ca="1">IFERROR(__xludf.DUMMYFUNCTION("""COMPUTED_VALUE"""),"")</f>
        <v/>
      </c>
      <c r="R100" s="5" t="str">
        <f ca="1">IFERROR(__xludf.DUMMYFUNCTION("""COMPUTED_VALUE"""),"")</f>
        <v/>
      </c>
      <c r="S100" s="5" t="str">
        <f ca="1">IFERROR(__xludf.DUMMYFUNCTION("""COMPUTED_VALUE"""),"")</f>
        <v/>
      </c>
      <c r="T100" s="5" t="str">
        <f ca="1">IFERROR(__xludf.DUMMYFUNCTION("""COMPUTED_VALUE"""),"")</f>
        <v/>
      </c>
      <c r="U100" s="5"/>
      <c r="V100" s="5"/>
    </row>
    <row r="101" spans="1:22" ht="13.2">
      <c r="A101" s="1"/>
      <c r="B101" s="1"/>
      <c r="C101" s="1"/>
      <c r="D101" s="58"/>
      <c r="E101" s="1"/>
      <c r="F101" s="1"/>
      <c r="G101" s="59"/>
      <c r="H101" s="1"/>
      <c r="I101" s="1"/>
      <c r="J101" s="4"/>
      <c r="K101" s="5" t="str">
        <f ca="1">IFERROR(__xludf.DUMMYFUNCTION("""COMPUTED_VALUE"""),"")</f>
        <v/>
      </c>
      <c r="L101" s="5" t="str">
        <f ca="1">IFERROR(__xludf.DUMMYFUNCTION("""COMPUTED_VALUE"""),"")</f>
        <v/>
      </c>
      <c r="M101" s="5" t="str">
        <f ca="1">IFERROR(__xludf.DUMMYFUNCTION("""COMPUTED_VALUE"""),"")</f>
        <v/>
      </c>
      <c r="N101" s="5" t="str">
        <f ca="1">IFERROR(__xludf.DUMMYFUNCTION("""COMPUTED_VALUE"""),"")</f>
        <v/>
      </c>
      <c r="O101" s="5"/>
      <c r="P101" s="5"/>
      <c r="Q101" s="5" t="str">
        <f ca="1">IFERROR(__xludf.DUMMYFUNCTION("""COMPUTED_VALUE"""),"")</f>
        <v/>
      </c>
      <c r="R101" s="5" t="str">
        <f ca="1">IFERROR(__xludf.DUMMYFUNCTION("""COMPUTED_VALUE"""),"")</f>
        <v/>
      </c>
      <c r="S101" s="5" t="str">
        <f ca="1">IFERROR(__xludf.DUMMYFUNCTION("""COMPUTED_VALUE"""),"")</f>
        <v/>
      </c>
      <c r="T101" s="5" t="str">
        <f ca="1">IFERROR(__xludf.DUMMYFUNCTION("""COMPUTED_VALUE"""),"")</f>
        <v/>
      </c>
      <c r="U101" s="5"/>
      <c r="V101" s="5"/>
    </row>
    <row r="102" spans="1:22" ht="13.2">
      <c r="A102" s="1"/>
      <c r="B102" s="1"/>
      <c r="C102" s="1"/>
      <c r="D102" s="58"/>
      <c r="E102" s="1"/>
      <c r="F102" s="1"/>
      <c r="G102" s="59"/>
      <c r="H102" s="1"/>
      <c r="I102" s="1"/>
      <c r="J102" s="4"/>
      <c r="K102" s="5" t="str">
        <f ca="1">IFERROR(__xludf.DUMMYFUNCTION("""COMPUTED_VALUE"""),"")</f>
        <v/>
      </c>
      <c r="L102" s="5" t="str">
        <f ca="1">IFERROR(__xludf.DUMMYFUNCTION("""COMPUTED_VALUE"""),"")</f>
        <v/>
      </c>
      <c r="M102" s="5" t="str">
        <f ca="1">IFERROR(__xludf.DUMMYFUNCTION("""COMPUTED_VALUE"""),"")</f>
        <v/>
      </c>
      <c r="N102" s="5" t="str">
        <f ca="1">IFERROR(__xludf.DUMMYFUNCTION("""COMPUTED_VALUE"""),"")</f>
        <v/>
      </c>
      <c r="O102" s="5"/>
      <c r="P102" s="5"/>
      <c r="Q102" s="5" t="str">
        <f ca="1">IFERROR(__xludf.DUMMYFUNCTION("""COMPUTED_VALUE"""),"")</f>
        <v/>
      </c>
      <c r="R102" s="5" t="str">
        <f ca="1">IFERROR(__xludf.DUMMYFUNCTION("""COMPUTED_VALUE"""),"")</f>
        <v/>
      </c>
      <c r="S102" s="5" t="str">
        <f ca="1">IFERROR(__xludf.DUMMYFUNCTION("""COMPUTED_VALUE"""),"")</f>
        <v/>
      </c>
      <c r="T102" s="5" t="str">
        <f ca="1">IFERROR(__xludf.DUMMYFUNCTION("""COMPUTED_VALUE"""),"")</f>
        <v/>
      </c>
      <c r="U102" s="5"/>
      <c r="V102" s="5"/>
    </row>
    <row r="103" spans="1:22" ht="13.2">
      <c r="A103" s="1"/>
      <c r="B103" s="1"/>
      <c r="C103" s="1"/>
      <c r="D103" s="58"/>
      <c r="E103" s="1"/>
      <c r="F103" s="1"/>
      <c r="G103" s="59"/>
      <c r="H103" s="1"/>
      <c r="I103" s="1"/>
      <c r="J103" s="4"/>
      <c r="K103" s="5" t="str">
        <f ca="1">IFERROR(__xludf.DUMMYFUNCTION("""COMPUTED_VALUE"""),"")</f>
        <v/>
      </c>
      <c r="L103" s="5" t="str">
        <f ca="1">IFERROR(__xludf.DUMMYFUNCTION("""COMPUTED_VALUE"""),"")</f>
        <v/>
      </c>
      <c r="M103" s="5" t="str">
        <f ca="1">IFERROR(__xludf.DUMMYFUNCTION("""COMPUTED_VALUE"""),"")</f>
        <v/>
      </c>
      <c r="N103" s="5" t="str">
        <f ca="1">IFERROR(__xludf.DUMMYFUNCTION("""COMPUTED_VALUE"""),"")</f>
        <v/>
      </c>
      <c r="O103" s="5"/>
      <c r="P103" s="5"/>
      <c r="Q103" s="5" t="str">
        <f ca="1">IFERROR(__xludf.DUMMYFUNCTION("""COMPUTED_VALUE"""),"")</f>
        <v/>
      </c>
      <c r="R103" s="5" t="str">
        <f ca="1">IFERROR(__xludf.DUMMYFUNCTION("""COMPUTED_VALUE"""),"")</f>
        <v/>
      </c>
      <c r="S103" s="5" t="str">
        <f ca="1">IFERROR(__xludf.DUMMYFUNCTION("""COMPUTED_VALUE"""),"")</f>
        <v/>
      </c>
      <c r="T103" s="5" t="str">
        <f ca="1">IFERROR(__xludf.DUMMYFUNCTION("""COMPUTED_VALUE"""),"")</f>
        <v/>
      </c>
      <c r="U103" s="5"/>
      <c r="V103" s="5"/>
    </row>
    <row r="104" spans="1:22" ht="13.2">
      <c r="A104" s="1"/>
      <c r="B104" s="1"/>
      <c r="C104" s="1"/>
      <c r="D104" s="58"/>
      <c r="E104" s="1"/>
      <c r="F104" s="1"/>
      <c r="G104" s="59"/>
      <c r="H104" s="1"/>
      <c r="I104" s="1"/>
      <c r="J104" s="4"/>
      <c r="K104" s="5" t="str">
        <f ca="1">IFERROR(__xludf.DUMMYFUNCTION("""COMPUTED_VALUE"""),"")</f>
        <v/>
      </c>
      <c r="L104" s="5" t="str">
        <f ca="1">IFERROR(__xludf.DUMMYFUNCTION("""COMPUTED_VALUE"""),"")</f>
        <v/>
      </c>
      <c r="M104" s="5" t="str">
        <f ca="1">IFERROR(__xludf.DUMMYFUNCTION("""COMPUTED_VALUE"""),"")</f>
        <v/>
      </c>
      <c r="N104" s="5" t="str">
        <f ca="1">IFERROR(__xludf.DUMMYFUNCTION("""COMPUTED_VALUE"""),"")</f>
        <v/>
      </c>
      <c r="O104" s="5"/>
      <c r="P104" s="5"/>
      <c r="Q104" s="5" t="str">
        <f ca="1">IFERROR(__xludf.DUMMYFUNCTION("""COMPUTED_VALUE"""),"")</f>
        <v/>
      </c>
      <c r="R104" s="5" t="str">
        <f ca="1">IFERROR(__xludf.DUMMYFUNCTION("""COMPUTED_VALUE"""),"")</f>
        <v/>
      </c>
      <c r="S104" s="5" t="str">
        <f ca="1">IFERROR(__xludf.DUMMYFUNCTION("""COMPUTED_VALUE"""),"")</f>
        <v/>
      </c>
      <c r="T104" s="5" t="str">
        <f ca="1">IFERROR(__xludf.DUMMYFUNCTION("""COMPUTED_VALUE"""),"")</f>
        <v/>
      </c>
      <c r="U104" s="5"/>
      <c r="V104" s="5"/>
    </row>
    <row r="105" spans="1:22" ht="13.2">
      <c r="A105" s="1"/>
      <c r="B105" s="1"/>
      <c r="C105" s="1"/>
      <c r="D105" s="58"/>
      <c r="E105" s="1"/>
      <c r="F105" s="1"/>
      <c r="G105" s="59"/>
      <c r="H105" s="1"/>
      <c r="I105" s="1"/>
      <c r="J105" s="4"/>
      <c r="K105" s="5" t="str">
        <f ca="1">IFERROR(__xludf.DUMMYFUNCTION("""COMPUTED_VALUE"""),"")</f>
        <v/>
      </c>
      <c r="L105" s="5" t="str">
        <f ca="1">IFERROR(__xludf.DUMMYFUNCTION("""COMPUTED_VALUE"""),"")</f>
        <v/>
      </c>
      <c r="M105" s="5" t="str">
        <f ca="1">IFERROR(__xludf.DUMMYFUNCTION("""COMPUTED_VALUE"""),"")</f>
        <v/>
      </c>
      <c r="N105" s="5" t="str">
        <f ca="1">IFERROR(__xludf.DUMMYFUNCTION("""COMPUTED_VALUE"""),"")</f>
        <v/>
      </c>
      <c r="O105" s="5"/>
      <c r="P105" s="5"/>
      <c r="Q105" s="5" t="str">
        <f ca="1">IFERROR(__xludf.DUMMYFUNCTION("""COMPUTED_VALUE"""),"")</f>
        <v/>
      </c>
      <c r="R105" s="5" t="str">
        <f ca="1">IFERROR(__xludf.DUMMYFUNCTION("""COMPUTED_VALUE"""),"")</f>
        <v/>
      </c>
      <c r="S105" s="5" t="str">
        <f ca="1">IFERROR(__xludf.DUMMYFUNCTION("""COMPUTED_VALUE"""),"")</f>
        <v/>
      </c>
      <c r="T105" s="5" t="str">
        <f ca="1">IFERROR(__xludf.DUMMYFUNCTION("""COMPUTED_VALUE"""),"")</f>
        <v/>
      </c>
      <c r="U105" s="5"/>
      <c r="V105" s="5"/>
    </row>
    <row r="106" spans="1:22" ht="13.2">
      <c r="A106" s="1"/>
      <c r="B106" s="1"/>
      <c r="C106" s="1"/>
      <c r="D106" s="58"/>
      <c r="E106" s="1"/>
      <c r="F106" s="1"/>
      <c r="G106" s="59"/>
      <c r="H106" s="1"/>
      <c r="I106" s="1"/>
      <c r="J106" s="4"/>
      <c r="K106" s="5" t="str">
        <f ca="1">IFERROR(__xludf.DUMMYFUNCTION("""COMPUTED_VALUE"""),"")</f>
        <v/>
      </c>
      <c r="L106" s="5" t="str">
        <f ca="1">IFERROR(__xludf.DUMMYFUNCTION("""COMPUTED_VALUE"""),"")</f>
        <v/>
      </c>
      <c r="M106" s="5" t="str">
        <f ca="1">IFERROR(__xludf.DUMMYFUNCTION("""COMPUTED_VALUE"""),"")</f>
        <v/>
      </c>
      <c r="N106" s="5" t="str">
        <f ca="1">IFERROR(__xludf.DUMMYFUNCTION("""COMPUTED_VALUE"""),"")</f>
        <v/>
      </c>
      <c r="O106" s="5"/>
      <c r="P106" s="5"/>
      <c r="Q106" s="5" t="str">
        <f ca="1">IFERROR(__xludf.DUMMYFUNCTION("""COMPUTED_VALUE"""),"")</f>
        <v/>
      </c>
      <c r="R106" s="5" t="str">
        <f ca="1">IFERROR(__xludf.DUMMYFUNCTION("""COMPUTED_VALUE"""),"")</f>
        <v/>
      </c>
      <c r="S106" s="5" t="str">
        <f ca="1">IFERROR(__xludf.DUMMYFUNCTION("""COMPUTED_VALUE"""),"")</f>
        <v/>
      </c>
      <c r="T106" s="5" t="str">
        <f ca="1">IFERROR(__xludf.DUMMYFUNCTION("""COMPUTED_VALUE"""),"")</f>
        <v/>
      </c>
      <c r="U106" s="5"/>
      <c r="V106" s="5"/>
    </row>
    <row r="107" spans="1:22" ht="13.2">
      <c r="A107" s="1"/>
      <c r="B107" s="1"/>
      <c r="C107" s="1"/>
      <c r="D107" s="58"/>
      <c r="E107" s="1"/>
      <c r="F107" s="1"/>
      <c r="G107" s="59"/>
      <c r="H107" s="1"/>
      <c r="I107" s="1"/>
      <c r="J107" s="4"/>
      <c r="K107" s="29" t="str">
        <f ca="1">IFERROR(__xludf.DUMMYFUNCTION("""COMPUTED_VALUE"""),"")</f>
        <v/>
      </c>
      <c r="L107" s="29" t="str">
        <f ca="1">IFERROR(__xludf.DUMMYFUNCTION("""COMPUTED_VALUE"""),"")</f>
        <v/>
      </c>
      <c r="M107" s="29" t="str">
        <f ca="1">IFERROR(__xludf.DUMMYFUNCTION("""COMPUTED_VALUE"""),"")</f>
        <v/>
      </c>
      <c r="N107" s="29" t="str">
        <f ca="1">IFERROR(__xludf.DUMMYFUNCTION("""COMPUTED_VALUE"""),"")</f>
        <v/>
      </c>
      <c r="O107" s="29"/>
      <c r="P107" s="29"/>
      <c r="Q107" s="29" t="str">
        <f ca="1">IFERROR(__xludf.DUMMYFUNCTION("""COMPUTED_VALUE"""),"")</f>
        <v/>
      </c>
      <c r="R107" s="29" t="str">
        <f ca="1">IFERROR(__xludf.DUMMYFUNCTION("""COMPUTED_VALUE"""),"")</f>
        <v/>
      </c>
      <c r="S107" s="29" t="str">
        <f ca="1">IFERROR(__xludf.DUMMYFUNCTION("""COMPUTED_VALUE"""),"")</f>
        <v/>
      </c>
      <c r="T107" s="29" t="str">
        <f ca="1">IFERROR(__xludf.DUMMYFUNCTION("""COMPUTED_VALUE"""),"")</f>
        <v/>
      </c>
      <c r="U107" s="29"/>
      <c r="V107" s="29"/>
    </row>
    <row r="108" spans="1:22" ht="15.6">
      <c r="A108" s="19" t="str">
        <f>LEFT($D111,2)&amp;"b"</f>
        <v>12b</v>
      </c>
      <c r="B108" s="20"/>
      <c r="C108" s="14" t="str">
        <f>"Age Group: " &amp; D111</f>
        <v>Age Group: 12 &amp; Under Boys</v>
      </c>
      <c r="D108" s="21"/>
      <c r="E108" s="20"/>
      <c r="F108" s="20"/>
      <c r="G108" s="23" t="str">
        <f>G8</f>
        <v>Event Date:</v>
      </c>
      <c r="H108" s="199">
        <f>C$1</f>
        <v>45480</v>
      </c>
      <c r="I108" s="194"/>
      <c r="J108" s="4"/>
      <c r="K108" s="5" t="str">
        <f ca="1">IFERROR(__xludf.DUMMYFUNCTION("""COMPUTED_VALUE"""),"")</f>
        <v/>
      </c>
      <c r="L108" s="5" t="str">
        <f ca="1">IFERROR(__xludf.DUMMYFUNCTION("""COMPUTED_VALUE"""),"")</f>
        <v/>
      </c>
      <c r="M108" s="5" t="str">
        <f ca="1">IFERROR(__xludf.DUMMYFUNCTION("""COMPUTED_VALUE"""),"")</f>
        <v/>
      </c>
      <c r="N108" s="5" t="str">
        <f ca="1">IFERROR(__xludf.DUMMYFUNCTION("""COMPUTED_VALUE"""),"")</f>
        <v/>
      </c>
      <c r="O108" s="5"/>
      <c r="P108" s="5"/>
      <c r="Q108" s="5" t="str">
        <f ca="1">IFERROR(__xludf.DUMMYFUNCTION("""COMPUTED_VALUE"""),"")</f>
        <v/>
      </c>
      <c r="R108" s="5" t="str">
        <f ca="1">IFERROR(__xludf.DUMMYFUNCTION("""COMPUTED_VALUE"""),"")</f>
        <v/>
      </c>
      <c r="S108" s="5" t="str">
        <f ca="1">IFERROR(__xludf.DUMMYFUNCTION("""COMPUTED_VALUE"""),"")</f>
        <v/>
      </c>
      <c r="T108" s="5" t="str">
        <f ca="1">IFERROR(__xludf.DUMMYFUNCTION("""COMPUTED_VALUE"""),"")</f>
        <v/>
      </c>
      <c r="U108" s="5"/>
      <c r="V108" s="5"/>
    </row>
    <row r="109" spans="1:22" ht="13.2">
      <c r="A109" s="1"/>
      <c r="B109" s="20"/>
      <c r="C109" s="25" t="str">
        <f t="shared" ref="C109:C112" si="5">C9</f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109" s="2"/>
      <c r="E109" s="20"/>
      <c r="F109" s="20"/>
      <c r="G109" s="71"/>
      <c r="H109" s="20"/>
      <c r="I109" s="20"/>
      <c r="J109" s="4"/>
      <c r="K109" s="5" t="str">
        <f ca="1">IFERROR(__xludf.DUMMYFUNCTION("""COMPUTED_VALUE"""),"")</f>
        <v/>
      </c>
      <c r="L109" s="5" t="str">
        <f ca="1">IFERROR(__xludf.DUMMYFUNCTION("""COMPUTED_VALUE"""),"")</f>
        <v/>
      </c>
      <c r="M109" s="5" t="str">
        <f ca="1">IFERROR(__xludf.DUMMYFUNCTION("""COMPUTED_VALUE"""),"")</f>
        <v/>
      </c>
      <c r="N109" s="5" t="str">
        <f ca="1">IFERROR(__xludf.DUMMYFUNCTION("""COMPUTED_VALUE"""),"")</f>
        <v/>
      </c>
      <c r="O109" s="5"/>
      <c r="P109" s="5"/>
      <c r="Q109" s="5" t="str">
        <f ca="1">IFERROR(__xludf.DUMMYFUNCTION("""COMPUTED_VALUE"""),"")</f>
        <v/>
      </c>
      <c r="R109" s="5" t="str">
        <f ca="1">IFERROR(__xludf.DUMMYFUNCTION("""COMPUTED_VALUE"""),"")</f>
        <v/>
      </c>
      <c r="S109" s="5" t="str">
        <f ca="1">IFERROR(__xludf.DUMMYFUNCTION("""COMPUTED_VALUE"""),"")</f>
        <v/>
      </c>
      <c r="T109" s="5" t="str">
        <f ca="1">IFERROR(__xludf.DUMMYFUNCTION("""COMPUTED_VALUE"""),"")</f>
        <v/>
      </c>
      <c r="U109" s="5"/>
      <c r="V109" s="5"/>
    </row>
    <row r="110" spans="1:22" ht="13.2">
      <c r="A110" s="1"/>
      <c r="B110" s="20"/>
      <c r="C110" s="25" t="str">
        <f t="shared" si="5"/>
        <v>* Enter Judge, Rep and any comments below Diver Details, and change "Report Status" when done
* Click "MeetResults" tab at bottom to review team scores and diver placement</v>
      </c>
      <c r="D110" s="2"/>
      <c r="E110" s="20"/>
      <c r="F110" s="20"/>
      <c r="G110" s="71"/>
      <c r="H110" s="20"/>
      <c r="I110" s="20"/>
      <c r="J110" s="4"/>
      <c r="K110" s="5" t="str">
        <f ca="1">IFERROR(__xludf.DUMMYFUNCTION("""COMPUTED_VALUE"""),"")</f>
        <v/>
      </c>
      <c r="L110" s="5" t="str">
        <f ca="1">IFERROR(__xludf.DUMMYFUNCTION("""COMPUTED_VALUE"""),"")</f>
        <v/>
      </c>
      <c r="M110" s="5" t="str">
        <f ca="1">IFERROR(__xludf.DUMMYFUNCTION("""COMPUTED_VALUE"""),"")</f>
        <v/>
      </c>
      <c r="N110" s="5" t="str">
        <f ca="1">IFERROR(__xludf.DUMMYFUNCTION("""COMPUTED_VALUE"""),"")</f>
        <v/>
      </c>
      <c r="O110" s="5"/>
      <c r="P110" s="5"/>
      <c r="Q110" s="5" t="str">
        <f ca="1">IFERROR(__xludf.DUMMYFUNCTION("""COMPUTED_VALUE"""),"")</f>
        <v/>
      </c>
      <c r="R110" s="5" t="str">
        <f ca="1">IFERROR(__xludf.DUMMYFUNCTION("""COMPUTED_VALUE"""),"")</f>
        <v/>
      </c>
      <c r="S110" s="5" t="str">
        <f ca="1">IFERROR(__xludf.DUMMYFUNCTION("""COMPUTED_VALUE"""),"")</f>
        <v/>
      </c>
      <c r="T110" s="5" t="str">
        <f ca="1">IFERROR(__xludf.DUMMYFUNCTION("""COMPUTED_VALUE"""),"")</f>
        <v/>
      </c>
      <c r="U110" s="5"/>
      <c r="V110" s="5"/>
    </row>
    <row r="111" spans="1:22" ht="15.6">
      <c r="A111" s="1"/>
      <c r="B111" s="27"/>
      <c r="C111" s="28" t="str">
        <f t="shared" si="5"/>
        <v>Age and Gender</v>
      </c>
      <c r="D111" s="200" t="s">
        <v>7</v>
      </c>
      <c r="E111" s="201"/>
      <c r="F111" s="201"/>
      <c r="G111" s="201"/>
      <c r="H111" s="27"/>
      <c r="I111" s="27"/>
      <c r="J111" s="4"/>
      <c r="K111" s="24" t="str">
        <f ca="1">IFERROR(__xludf.DUMMYFUNCTION("""COMPUTED_VALUE"""),"")</f>
        <v/>
      </c>
      <c r="L111" s="24" t="str">
        <f ca="1">IFERROR(__xludf.DUMMYFUNCTION("""COMPUTED_VALUE"""),"")</f>
        <v/>
      </c>
      <c r="M111" s="24" t="str">
        <f ca="1">IFERROR(__xludf.DUMMYFUNCTION("""COMPUTED_VALUE"""),"")</f>
        <v/>
      </c>
      <c r="N111" s="24" t="str">
        <f ca="1">IFERROR(__xludf.DUMMYFUNCTION("""COMPUTED_VALUE"""),"")</f>
        <v/>
      </c>
      <c r="O111" s="24"/>
      <c r="P111" s="24"/>
      <c r="Q111" s="24" t="str">
        <f ca="1">IFERROR(__xludf.DUMMYFUNCTION("""COMPUTED_VALUE"""),"")</f>
        <v/>
      </c>
      <c r="R111" s="24" t="str">
        <f ca="1">IFERROR(__xludf.DUMMYFUNCTION("""COMPUTED_VALUE"""),"")</f>
        <v/>
      </c>
      <c r="S111" s="5" t="str">
        <f ca="1">IFERROR(__xludf.DUMMYFUNCTION("""COMPUTED_VALUE"""),"")</f>
        <v/>
      </c>
      <c r="T111" s="5" t="str">
        <f ca="1">IFERROR(__xludf.DUMMYFUNCTION("""COMPUTED_VALUE"""),"")</f>
        <v/>
      </c>
      <c r="U111" s="5"/>
      <c r="V111" s="5"/>
    </row>
    <row r="112" spans="1:22" ht="15.6">
      <c r="A112" s="1"/>
      <c r="B112" s="30"/>
      <c r="C112" s="31" t="str">
        <f t="shared" si="5"/>
        <v>Diver 1 Name</v>
      </c>
      <c r="D112" s="32" t="str">
        <f t="shared" ref="D112:G112" si="6">D12</f>
        <v>Diver 1 Club</v>
      </c>
      <c r="E112" s="31" t="str">
        <f t="shared" si="6"/>
        <v>Diver 2 Name</v>
      </c>
      <c r="F112" s="32" t="str">
        <f t="shared" si="6"/>
        <v>Diver 2 Club</v>
      </c>
      <c r="G112" s="33" t="str">
        <f t="shared" si="6"/>
        <v>Score</v>
      </c>
      <c r="H112" s="34" t="s">
        <v>268</v>
      </c>
      <c r="I112" s="34" t="s">
        <v>269</v>
      </c>
      <c r="J112" s="4"/>
      <c r="K112" s="24" t="str">
        <f ca="1">IFERROR(__xludf.DUMMYFUNCTION("""COMPUTED_VALUE"""),"")</f>
        <v/>
      </c>
      <c r="L112" s="24" t="str">
        <f ca="1">IFERROR(__xludf.DUMMYFUNCTION("""COMPUTED_VALUE"""),"")</f>
        <v/>
      </c>
      <c r="M112" s="24" t="str">
        <f ca="1">IFERROR(__xludf.DUMMYFUNCTION("""COMPUTED_VALUE"""),"")</f>
        <v/>
      </c>
      <c r="N112" s="24" t="str">
        <f ca="1">IFERROR(__xludf.DUMMYFUNCTION("""COMPUTED_VALUE"""),"")</f>
        <v/>
      </c>
      <c r="O112" s="24"/>
      <c r="P112" s="24"/>
      <c r="Q112" s="24" t="str">
        <f ca="1">IFERROR(__xludf.DUMMYFUNCTION("""COMPUTED_VALUE"""),"")</f>
        <v/>
      </c>
      <c r="R112" s="24" t="str">
        <f ca="1">IFERROR(__xludf.DUMMYFUNCTION("""COMPUTED_VALUE"""),"")</f>
        <v/>
      </c>
      <c r="S112" s="24" t="str">
        <f ca="1">IFERROR(__xludf.DUMMYFUNCTION("""COMPUTED_VALUE"""),"")</f>
        <v/>
      </c>
      <c r="T112" s="24" t="str">
        <f ca="1">IFERROR(__xludf.DUMMYFUNCTION("""COMPUTED_VALUE"""),"")</f>
        <v/>
      </c>
      <c r="U112" s="24" t="str">
        <f t="shared" ref="U112:V112" si="7">U$12</f>
        <v/>
      </c>
      <c r="V112" s="24">
        <f t="shared" si="7"/>
        <v>0</v>
      </c>
    </row>
    <row r="113" spans="1:22" ht="13.2">
      <c r="A113" s="1" t="e">
        <f t="array" aca="1" ref="A113:A162" ca="1">_xludf.SEQUENCE( 50 )</f>
        <v>#NAME?</v>
      </c>
      <c r="B113" s="35">
        <v>147</v>
      </c>
      <c r="C113" s="36" t="s">
        <v>118</v>
      </c>
      <c r="D113" s="37" t="s">
        <v>58</v>
      </c>
      <c r="E113" s="36" t="s">
        <v>119</v>
      </c>
      <c r="F113" s="37" t="s">
        <v>58</v>
      </c>
      <c r="G113" s="42">
        <v>52.83</v>
      </c>
      <c r="H113" s="40" t="s">
        <v>38</v>
      </c>
      <c r="I113" s="40" t="s">
        <v>38</v>
      </c>
      <c r="J113" s="4"/>
      <c r="K113" s="41" t="str">
        <f ca="1">IFERROR(__xludf.DUMMYFUNCTION("""COMPUTED_VALUE"""),"Alex Kroely")</f>
        <v>Alex Kroely</v>
      </c>
      <c r="L113" s="5" t="str">
        <f ca="1">IFERROR(__xludf.DUMMYFUNCTION("""COMPUTED_VALUE"""),"GF")</f>
        <v>GF</v>
      </c>
      <c r="M113" s="5" t="str">
        <f ca="1">IFERROR(__xludf.DUMMYFUNCTION("""COMPUTED_VALUE"""),"B12")</f>
        <v>B12</v>
      </c>
      <c r="N113" s="5">
        <f ca="1">IFERROR(__xludf.DUMMYFUNCTION("""COMPUTED_VALUE"""),5)</f>
        <v>5</v>
      </c>
      <c r="O113" s="5"/>
      <c r="P113" s="41" t="str">
        <f ca="1">IFERROR(__xludf.DUMMYFUNCTION("ARRAYFORMULA( IF(  (   NOT( ISNUMBER( VALUE($A113:$A162)) )+(   ( C113:C162="""" )*( E113:E162="""" )   )   ), """", 
 IF( ISNA( K113:K162 ), ""Diver-NF"", 
 IF( (K113:K162 = """") * (Q113:Q162 &lt;&gt; """"), ""Diver-NF"", 
 IF( (   ( ISNA( L113:L162 ))+( D113"&amp;":D162 &lt;&gt; L113:L162 )   ), ""Club-""&amp;L113:L162,
 IF( VLOOKUP( K113:K162&amp;L113:L162, QUERY( { $C:$C&amp;$D:$D; $E:$E&amp;$F:$F }, ""SELECT Col1, COUNT(Col1) GROUP BY Col1 LABEL COUNT(Col1) ''""),2,0 ) &gt; 1, ""Duplicate"",
 IF( UPPER( LEFT( M113:M162,1))&lt;&gt; UPPER( RIGH"&amp;"T( $A108, 1)),""Gender"",
 IF( VALUE( MID( M113:M162,2,2)) &gt; VALUE( TRIM( LEFT( $D111,2))),""Age-"" &amp; MID( M113:M162,2,2),""""))))
))))"),"")</f>
        <v/>
      </c>
      <c r="Q113" s="41" t="str">
        <f ca="1">IFERROR(__xludf.DUMMYFUNCTION("""COMPUTED_VALUE"""),"Pierre Kroely")</f>
        <v>Pierre Kroely</v>
      </c>
      <c r="R113" s="5" t="str">
        <f ca="1">IFERROR(__xludf.DUMMYFUNCTION("""COMPUTED_VALUE"""),"GF")</f>
        <v>GF</v>
      </c>
      <c r="S113" s="5" t="str">
        <f ca="1">IFERROR(__xludf.DUMMYFUNCTION("""COMPUTED_VALUE"""),"B9")</f>
        <v>B9</v>
      </c>
      <c r="T113" s="5">
        <f ca="1">IFERROR(__xludf.DUMMYFUNCTION("""COMPUTED_VALUE"""),5)</f>
        <v>5</v>
      </c>
      <c r="U113" s="5">
        <f t="array" aca="1" ref="U113:U162" ca="1">IF($E113:$E162="","", VLOOKUP(VLOOKUP(VALUE(MID(S113:S162,2,2)),'Lookup-Generic'!$G:$H,2,0)&amp;LEFT(S113:S162,1),'Lookup-Generic'!$M:$N,2,0))</f>
        <v>65</v>
      </c>
      <c r="V113" s="5" t="str">
        <f ca="1">IFERROR(__xludf.DUMMYFUNCTION("ARRAYFORMULA( IF(  (   NOT( ISNUMBER( VALUE($A113:$A162)) )+(   ( $C113:$C162="""" )*( $E113:$E162="""" )   )   ), """",  
 IF( ISNA( Q113:Q162 ), ""Diver-NF"", 
 IF( ($K113:$K162 &lt;&gt; """") * ($Q113:$Q162 = """"), ""Diver-NF"", 
 IF( (   ( ISNA( R113:R162 "&amp;"))+( F113:F162 &lt;&gt; R113:R162 )   ), ""Club-""&amp;R113:R162,
 IF( VLOOKUP( Q113:Q162&amp;R113:R162, QUERY( { $C:$C&amp;$D:$D; $E:$E&amp;$F:$F }, ""SELECT Col1, COUNT(Col1) GROUP BY Col1 LABEL COUNT(Col1) ''""),2,0 ) &gt; 1, ""Duplicate"",
 IF( UPPER( LEFT( S113:S162,1))&lt;&gt; UP"&amp;"PER( RIGHT( $A108, 1)),""Gender"",
 IF( VALUE( MID( S113:S162,2,2)) &gt; VALUE( TRIM( LEFT( $D111,2))),""Age-"" &amp; MID( S113:S162,2,2),""""))))
))))"),"")</f>
        <v/>
      </c>
    </row>
    <row r="114" spans="1:22" ht="13.2">
      <c r="A114" s="1" t="e">
        <f ca="1"/>
        <v>#NAME?</v>
      </c>
      <c r="B114" s="30">
        <v>223</v>
      </c>
      <c r="C114" s="36" t="s">
        <v>120</v>
      </c>
      <c r="D114" s="37" t="s">
        <v>92</v>
      </c>
      <c r="E114" s="36" t="s">
        <v>121</v>
      </c>
      <c r="F114" s="37" t="s">
        <v>92</v>
      </c>
      <c r="G114" s="42">
        <v>46.29</v>
      </c>
      <c r="H114" s="40" t="s">
        <v>38</v>
      </c>
      <c r="I114" s="40" t="s">
        <v>38</v>
      </c>
      <c r="J114" s="4"/>
      <c r="K114" s="41" t="str">
        <f ca="1">IFERROR(__xludf.DUMMYFUNCTION("""COMPUTED_VALUE"""),"Lincoln Kemp")</f>
        <v>Lincoln Kemp</v>
      </c>
      <c r="L114" s="5" t="str">
        <f ca="1">IFERROR(__xludf.DUMMYFUNCTION("""COMPUTED_VALUE"""),"HV")</f>
        <v>HV</v>
      </c>
      <c r="M114" s="5" t="str">
        <f ca="1">IFERROR(__xludf.DUMMYFUNCTION("""COMPUTED_VALUE"""),"B8")</f>
        <v>B8</v>
      </c>
      <c r="N114" s="5">
        <f ca="1">IFERROR(__xludf.DUMMYFUNCTION("""COMPUTED_VALUE"""),5)</f>
        <v>5</v>
      </c>
      <c r="O114" s="5"/>
      <c r="P114" s="41" t="str">
        <f ca="1">IFERROR(__xludf.DUMMYFUNCTION("""COMPUTED_VALUE"""),"")</f>
        <v/>
      </c>
      <c r="Q114" s="41" t="str">
        <f ca="1">IFERROR(__xludf.DUMMYFUNCTION("""COMPUTED_VALUE"""),"Alexander Ogrodny")</f>
        <v>Alexander Ogrodny</v>
      </c>
      <c r="R114" s="5" t="str">
        <f ca="1">IFERROR(__xludf.DUMMYFUNCTION("""COMPUTED_VALUE"""),"HV")</f>
        <v>HV</v>
      </c>
      <c r="S114" s="5" t="str">
        <f ca="1">IFERROR(__xludf.DUMMYFUNCTION("""COMPUTED_VALUE"""),"B9")</f>
        <v>B9</v>
      </c>
      <c r="T114" s="5">
        <f ca="1">IFERROR(__xludf.DUMMYFUNCTION("""COMPUTED_VALUE"""),4)</f>
        <v>4</v>
      </c>
      <c r="U114" s="5">
        <f ca="1"/>
        <v>65</v>
      </c>
      <c r="V114" s="5" t="str">
        <f ca="1">IFERROR(__xludf.DUMMYFUNCTION("""COMPUTED_VALUE"""),"")</f>
        <v/>
      </c>
    </row>
    <row r="115" spans="1:22" ht="13.2">
      <c r="A115" s="1" t="e">
        <f ca="1"/>
        <v>#NAME?</v>
      </c>
      <c r="B115" s="30">
        <v>414</v>
      </c>
      <c r="C115" s="36" t="s">
        <v>122</v>
      </c>
      <c r="D115" s="37" t="s">
        <v>43</v>
      </c>
      <c r="E115" s="36" t="s">
        <v>123</v>
      </c>
      <c r="F115" s="37" t="s">
        <v>43</v>
      </c>
      <c r="G115" s="42">
        <v>52.56</v>
      </c>
      <c r="H115" s="40" t="s">
        <v>38</v>
      </c>
      <c r="I115" s="40" t="s">
        <v>38</v>
      </c>
      <c r="J115" s="4"/>
      <c r="K115" s="41" t="str">
        <f ca="1">IFERROR(__xludf.DUMMYFUNCTION("""COMPUTED_VALUE"""),"Ian Thackaberry")</f>
        <v>Ian Thackaberry</v>
      </c>
      <c r="L115" s="5" t="str">
        <f ca="1">IFERROR(__xludf.DUMMYFUNCTION("""COMPUTED_VALUE"""),"RH")</f>
        <v>RH</v>
      </c>
      <c r="M115" s="5" t="str">
        <f ca="1">IFERROR(__xludf.DUMMYFUNCTION("""COMPUTED_VALUE"""),"B11")</f>
        <v>B11</v>
      </c>
      <c r="N115" s="5">
        <f ca="1">IFERROR(__xludf.DUMMYFUNCTION("""COMPUTED_VALUE"""),4)</f>
        <v>4</v>
      </c>
      <c r="O115" s="5"/>
      <c r="P115" s="41" t="str">
        <f ca="1">IFERROR(__xludf.DUMMYFUNCTION("""COMPUTED_VALUE"""),"")</f>
        <v/>
      </c>
      <c r="Q115" s="41" t="str">
        <f ca="1">IFERROR(__xludf.DUMMYFUNCTION("""COMPUTED_VALUE"""),"Curt Berry")</f>
        <v>Curt Berry</v>
      </c>
      <c r="R115" s="5" t="str">
        <f ca="1">IFERROR(__xludf.DUMMYFUNCTION("""COMPUTED_VALUE"""),"RH")</f>
        <v>RH</v>
      </c>
      <c r="S115" s="5" t="str">
        <f ca="1">IFERROR(__xludf.DUMMYFUNCTION("""COMPUTED_VALUE"""),"B11")</f>
        <v>B11</v>
      </c>
      <c r="T115" s="5">
        <f ca="1">IFERROR(__xludf.DUMMYFUNCTION("""COMPUTED_VALUE"""),3)</f>
        <v>3</v>
      </c>
      <c r="U115" s="5">
        <f ca="1"/>
        <v>95</v>
      </c>
      <c r="V115" s="5" t="str">
        <f ca="1">IFERROR(__xludf.DUMMYFUNCTION("""COMPUTED_VALUE"""),"")</f>
        <v/>
      </c>
    </row>
    <row r="116" spans="1:22" ht="13.2">
      <c r="A116" s="1" t="e">
        <f ca="1"/>
        <v>#NAME?</v>
      </c>
      <c r="B116" s="30">
        <v>530</v>
      </c>
      <c r="C116" s="36" t="s">
        <v>124</v>
      </c>
      <c r="D116" s="37" t="s">
        <v>125</v>
      </c>
      <c r="E116" s="36" t="s">
        <v>126</v>
      </c>
      <c r="F116" s="37" t="s">
        <v>125</v>
      </c>
      <c r="G116" s="42" t="s">
        <v>127</v>
      </c>
      <c r="H116" s="40" t="s">
        <v>38</v>
      </c>
      <c r="I116" s="40" t="s">
        <v>38</v>
      </c>
      <c r="J116" s="4"/>
      <c r="K116" s="41" t="str">
        <f ca="1">IFERROR(__xludf.DUMMYFUNCTION("""COMPUTED_VALUE"""),"Matthew Robertson")</f>
        <v>Matthew Robertson</v>
      </c>
      <c r="L116" s="5" t="str">
        <f ca="1">IFERROR(__xludf.DUMMYFUNCTION("""COMPUTED_VALUE"""),"WC")</f>
        <v>WC</v>
      </c>
      <c r="M116" s="5" t="str">
        <f ca="1">IFERROR(__xludf.DUMMYFUNCTION("""COMPUTED_VALUE"""),"B9")</f>
        <v>B9</v>
      </c>
      <c r="N116" s="5">
        <f ca="1">IFERROR(__xludf.DUMMYFUNCTION("""COMPUTED_VALUE"""),5)</f>
        <v>5</v>
      </c>
      <c r="O116" s="5"/>
      <c r="P116" s="41" t="str">
        <f ca="1">IFERROR(__xludf.DUMMYFUNCTION("""COMPUTED_VALUE"""),"")</f>
        <v/>
      </c>
      <c r="Q116" s="41" t="str">
        <f ca="1">IFERROR(__xludf.DUMMYFUNCTION("""COMPUTED_VALUE"""),"Rowen Stenberg")</f>
        <v>Rowen Stenberg</v>
      </c>
      <c r="R116" s="5" t="str">
        <f ca="1">IFERROR(__xludf.DUMMYFUNCTION("""COMPUTED_VALUE"""),"WC")</f>
        <v>WC</v>
      </c>
      <c r="S116" s="5" t="str">
        <f ca="1">IFERROR(__xludf.DUMMYFUNCTION("""COMPUTED_VALUE"""),"B7")</f>
        <v>B7</v>
      </c>
      <c r="T116" s="5">
        <f ca="1">IFERROR(__xludf.DUMMYFUNCTION("""COMPUTED_VALUE"""),5)</f>
        <v>5</v>
      </c>
      <c r="U116" s="5">
        <f ca="1"/>
        <v>65</v>
      </c>
      <c r="V116" s="5" t="str">
        <f ca="1">IFERROR(__xludf.DUMMYFUNCTION("""COMPUTED_VALUE"""),"")</f>
        <v/>
      </c>
    </row>
    <row r="117" spans="1:22" ht="13.2">
      <c r="A117" s="1" t="e">
        <f ca="1"/>
        <v>#NAME?</v>
      </c>
      <c r="B117" s="30">
        <v>721</v>
      </c>
      <c r="C117" s="36" t="s">
        <v>128</v>
      </c>
      <c r="D117" s="37" t="s">
        <v>54</v>
      </c>
      <c r="E117" s="36" t="s">
        <v>129</v>
      </c>
      <c r="F117" s="37" t="s">
        <v>54</v>
      </c>
      <c r="G117" s="42">
        <v>49.38</v>
      </c>
      <c r="H117" s="40" t="s">
        <v>38</v>
      </c>
      <c r="I117" s="40" t="s">
        <v>38</v>
      </c>
      <c r="J117" s="4"/>
      <c r="K117" s="41" t="str">
        <f ca="1">IFERROR(__xludf.DUMMYFUNCTION("""COMPUTED_VALUE"""),"Luke Brannan")</f>
        <v>Luke Brannan</v>
      </c>
      <c r="L117" s="5" t="str">
        <f ca="1">IFERROR(__xludf.DUMMYFUNCTION("""COMPUTED_VALUE"""),"DR")</f>
        <v>DR</v>
      </c>
      <c r="M117" s="5" t="str">
        <f ca="1">IFERROR(__xludf.DUMMYFUNCTION("""COMPUTED_VALUE"""),"B9")</f>
        <v>B9</v>
      </c>
      <c r="N117" s="5">
        <f ca="1">IFERROR(__xludf.DUMMYFUNCTION("""COMPUTED_VALUE"""),4)</f>
        <v>4</v>
      </c>
      <c r="O117" s="5"/>
      <c r="P117" s="41" t="str">
        <f ca="1">IFERROR(__xludf.DUMMYFUNCTION("""COMPUTED_VALUE"""),"")</f>
        <v/>
      </c>
      <c r="Q117" s="41" t="str">
        <f ca="1">IFERROR(__xludf.DUMMYFUNCTION("""COMPUTED_VALUE"""),"Markus Krumins")</f>
        <v>Markus Krumins</v>
      </c>
      <c r="R117" s="5" t="str">
        <f ca="1">IFERROR(__xludf.DUMMYFUNCTION("""COMPUTED_VALUE"""),"DR")</f>
        <v>DR</v>
      </c>
      <c r="S117" s="5" t="str">
        <f ca="1">IFERROR(__xludf.DUMMYFUNCTION("""COMPUTED_VALUE"""),"B9")</f>
        <v>B9</v>
      </c>
      <c r="T117" s="5">
        <f ca="1">IFERROR(__xludf.DUMMYFUNCTION("""COMPUTED_VALUE"""),5)</f>
        <v>5</v>
      </c>
      <c r="U117" s="5">
        <f ca="1"/>
        <v>65</v>
      </c>
      <c r="V117" s="5" t="str">
        <f ca="1">IFERROR(__xludf.DUMMYFUNCTION("""COMPUTED_VALUE"""),"")</f>
        <v/>
      </c>
    </row>
    <row r="118" spans="1:22" ht="13.2">
      <c r="A118" s="1" t="e">
        <f ca="1"/>
        <v>#NAME?</v>
      </c>
      <c r="B118" s="30">
        <v>743</v>
      </c>
      <c r="C118" s="36" t="s">
        <v>130</v>
      </c>
      <c r="D118" s="37" t="s">
        <v>61</v>
      </c>
      <c r="E118" s="36" t="s">
        <v>131</v>
      </c>
      <c r="F118" s="37" t="s">
        <v>61</v>
      </c>
      <c r="G118" s="42">
        <v>58.41</v>
      </c>
      <c r="H118" s="40" t="s">
        <v>38</v>
      </c>
      <c r="I118" s="40" t="s">
        <v>38</v>
      </c>
      <c r="J118" s="4"/>
      <c r="K118" s="41" t="str">
        <f ca="1">IFERROR(__xludf.DUMMYFUNCTION("""COMPUTED_VALUE"""),"Jacob Stanley")</f>
        <v>Jacob Stanley</v>
      </c>
      <c r="L118" s="5" t="str">
        <f ca="1">IFERROR(__xludf.DUMMYFUNCTION("""COMPUTED_VALUE"""),"PAR")</f>
        <v>PAR</v>
      </c>
      <c r="M118" s="5" t="str">
        <f ca="1">IFERROR(__xludf.DUMMYFUNCTION("""COMPUTED_VALUE"""),"B10")</f>
        <v>B10</v>
      </c>
      <c r="N118" s="5">
        <f ca="1">IFERROR(__xludf.DUMMYFUNCTION("""COMPUTED_VALUE"""),5)</f>
        <v>5</v>
      </c>
      <c r="O118" s="5"/>
      <c r="P118" s="41" t="str">
        <f ca="1">IFERROR(__xludf.DUMMYFUNCTION("""COMPUTED_VALUE"""),"")</f>
        <v/>
      </c>
      <c r="Q118" s="41" t="str">
        <f ca="1">IFERROR(__xludf.DUMMYFUNCTION("""COMPUTED_VALUE"""),"Flynn Miller")</f>
        <v>Flynn Miller</v>
      </c>
      <c r="R118" s="5" t="str">
        <f ca="1">IFERROR(__xludf.DUMMYFUNCTION("""COMPUTED_VALUE"""),"PAR")</f>
        <v>PAR</v>
      </c>
      <c r="S118" s="5" t="str">
        <f ca="1">IFERROR(__xludf.DUMMYFUNCTION("""COMPUTED_VALUE"""),"B10")</f>
        <v>B10</v>
      </c>
      <c r="T118" s="5">
        <f ca="1">IFERROR(__xludf.DUMMYFUNCTION("""COMPUTED_VALUE"""),5)</f>
        <v>5</v>
      </c>
      <c r="U118" s="5">
        <f ca="1"/>
        <v>65</v>
      </c>
      <c r="V118" s="5" t="str">
        <f ca="1">IFERROR(__xludf.DUMMYFUNCTION("""COMPUTED_VALUE"""),"")</f>
        <v/>
      </c>
    </row>
    <row r="119" spans="1:22" ht="13.2">
      <c r="A119" s="1" t="e">
        <f ca="1"/>
        <v>#NAME?</v>
      </c>
      <c r="B119" s="30">
        <v>1054</v>
      </c>
      <c r="C119" s="36" t="s">
        <v>132</v>
      </c>
      <c r="D119" s="37" t="s">
        <v>54</v>
      </c>
      <c r="E119" s="36" t="s">
        <v>133</v>
      </c>
      <c r="F119" s="37" t="s">
        <v>54</v>
      </c>
      <c r="G119" s="42">
        <v>62.52</v>
      </c>
      <c r="H119" s="40" t="s">
        <v>38</v>
      </c>
      <c r="I119" s="40" t="s">
        <v>38</v>
      </c>
      <c r="J119" s="4"/>
      <c r="K119" s="41" t="str">
        <f ca="1">IFERROR(__xludf.DUMMYFUNCTION("""COMPUTED_VALUE"""),"Ravi Martinez")</f>
        <v>Ravi Martinez</v>
      </c>
      <c r="L119" s="5" t="str">
        <f ca="1">IFERROR(__xludf.DUMMYFUNCTION("""COMPUTED_VALUE"""),"DR")</f>
        <v>DR</v>
      </c>
      <c r="M119" s="5" t="str">
        <f ca="1">IFERROR(__xludf.DUMMYFUNCTION("""COMPUTED_VALUE"""),"B11")</f>
        <v>B11</v>
      </c>
      <c r="N119" s="5">
        <f ca="1">IFERROR(__xludf.DUMMYFUNCTION("""COMPUTED_VALUE"""),5)</f>
        <v>5</v>
      </c>
      <c r="O119" s="5"/>
      <c r="P119" s="41" t="str">
        <f ca="1">IFERROR(__xludf.DUMMYFUNCTION("""COMPUTED_VALUE"""),"")</f>
        <v/>
      </c>
      <c r="Q119" s="41" t="str">
        <f ca="1">IFERROR(__xludf.DUMMYFUNCTION("""COMPUTED_VALUE"""),"Will McCool")</f>
        <v>Will McCool</v>
      </c>
      <c r="R119" s="5" t="str">
        <f ca="1">IFERROR(__xludf.DUMMYFUNCTION("""COMPUTED_VALUE"""),"DR")</f>
        <v>DR</v>
      </c>
      <c r="S119" s="5" t="str">
        <f ca="1">IFERROR(__xludf.DUMMYFUNCTION("""COMPUTED_VALUE"""),"B10")</f>
        <v>B10</v>
      </c>
      <c r="T119" s="5">
        <f ca="1">IFERROR(__xludf.DUMMYFUNCTION("""COMPUTED_VALUE"""),5)</f>
        <v>5</v>
      </c>
      <c r="U119" s="5">
        <f ca="1"/>
        <v>65</v>
      </c>
      <c r="V119" s="5" t="str">
        <f ca="1">IFERROR(__xludf.DUMMYFUNCTION("""COMPUTED_VALUE"""),"")</f>
        <v/>
      </c>
    </row>
    <row r="120" spans="1:22" ht="13.2">
      <c r="A120" s="1" t="e">
        <f ca="1"/>
        <v>#NAME?</v>
      </c>
      <c r="B120" s="30">
        <v>1794</v>
      </c>
      <c r="C120" s="36" t="s">
        <v>134</v>
      </c>
      <c r="D120" s="37" t="s">
        <v>71</v>
      </c>
      <c r="E120" s="36" t="s">
        <v>135</v>
      </c>
      <c r="F120" s="37" t="s">
        <v>71</v>
      </c>
      <c r="G120" s="42">
        <v>52.26</v>
      </c>
      <c r="H120" s="40" t="s">
        <v>38</v>
      </c>
      <c r="I120" s="40" t="s">
        <v>38</v>
      </c>
      <c r="J120" s="4"/>
      <c r="K120" s="41" t="str">
        <f ca="1">IFERROR(__xludf.DUMMYFUNCTION("""COMPUTED_VALUE"""),"Nicholas Beier")</f>
        <v>Nicholas Beier</v>
      </c>
      <c r="L120" s="5" t="str">
        <f ca="1">IFERROR(__xludf.DUMMYFUNCTION("""COMPUTED_VALUE"""),"AF")</f>
        <v>AF</v>
      </c>
      <c r="M120" s="5" t="str">
        <f ca="1">IFERROR(__xludf.DUMMYFUNCTION("""COMPUTED_VALUE"""),"B12")</f>
        <v>B12</v>
      </c>
      <c r="N120" s="5">
        <f ca="1">IFERROR(__xludf.DUMMYFUNCTION("""COMPUTED_VALUE"""),5)</f>
        <v>5</v>
      </c>
      <c r="O120" s="5"/>
      <c r="P120" s="41" t="str">
        <f ca="1">IFERROR(__xludf.DUMMYFUNCTION("""COMPUTED_VALUE"""),"")</f>
        <v/>
      </c>
      <c r="Q120" s="41" t="str">
        <f ca="1">IFERROR(__xludf.DUMMYFUNCTION("""COMPUTED_VALUE"""),"Nicholas Petruccelli")</f>
        <v>Nicholas Petruccelli</v>
      </c>
      <c r="R120" s="5" t="str">
        <f ca="1">IFERROR(__xludf.DUMMYFUNCTION("""COMPUTED_VALUE"""),"AF")</f>
        <v>AF</v>
      </c>
      <c r="S120" s="5" t="str">
        <f ca="1">IFERROR(__xludf.DUMMYFUNCTION("""COMPUTED_VALUE"""),"B11")</f>
        <v>B11</v>
      </c>
      <c r="T120" s="5">
        <f ca="1">IFERROR(__xludf.DUMMYFUNCTION("""COMPUTED_VALUE"""),5)</f>
        <v>5</v>
      </c>
      <c r="U120" s="5">
        <f ca="1"/>
        <v>95</v>
      </c>
      <c r="V120" s="5" t="str">
        <f ca="1">IFERROR(__xludf.DUMMYFUNCTION("""COMPUTED_VALUE"""),"")</f>
        <v/>
      </c>
    </row>
    <row r="121" spans="1:22" ht="13.2">
      <c r="A121" s="1" t="e">
        <f ca="1"/>
        <v>#NAME?</v>
      </c>
      <c r="B121" s="30">
        <v>1823</v>
      </c>
      <c r="C121" s="44" t="s">
        <v>136</v>
      </c>
      <c r="D121" s="45" t="s">
        <v>74</v>
      </c>
      <c r="E121" s="72" t="s">
        <v>137</v>
      </c>
      <c r="F121" s="45" t="s">
        <v>74</v>
      </c>
      <c r="G121" s="46">
        <v>52.23</v>
      </c>
      <c r="H121" s="40" t="s">
        <v>38</v>
      </c>
      <c r="I121" s="40" t="s">
        <v>38</v>
      </c>
      <c r="J121" s="4"/>
      <c r="K121" s="41" t="str">
        <f ca="1">IFERROR(__xludf.DUMMYFUNCTION("""COMPUTED_VALUE"""),"Patrick Walsh")</f>
        <v>Patrick Walsh</v>
      </c>
      <c r="L121" s="5" t="str">
        <f ca="1">IFERROR(__xludf.DUMMYFUNCTION("""COMPUTED_VALUE"""),"OAK")</f>
        <v>OAK</v>
      </c>
      <c r="M121" s="5" t="str">
        <f ca="1">IFERROR(__xludf.DUMMYFUNCTION("""COMPUTED_VALUE"""),"B9")</f>
        <v>B9</v>
      </c>
      <c r="N121" s="5">
        <f ca="1">IFERROR(__xludf.DUMMYFUNCTION("""COMPUTED_VALUE"""),5)</f>
        <v>5</v>
      </c>
      <c r="O121" s="5"/>
      <c r="P121" s="41" t="str">
        <f ca="1">IFERROR(__xludf.DUMMYFUNCTION("""COMPUTED_VALUE"""),"")</f>
        <v/>
      </c>
      <c r="Q121" s="41" t="str">
        <f ca="1">IFERROR(__xludf.DUMMYFUNCTION("""COMPUTED_VALUE"""),"Brayden Lane")</f>
        <v>Brayden Lane</v>
      </c>
      <c r="R121" s="5" t="str">
        <f ca="1">IFERROR(__xludf.DUMMYFUNCTION("""COMPUTED_VALUE"""),"OAK")</f>
        <v>OAK</v>
      </c>
      <c r="S121" s="5" t="str">
        <f ca="1">IFERROR(__xludf.DUMMYFUNCTION("""COMPUTED_VALUE"""),"B9")</f>
        <v>B9</v>
      </c>
      <c r="T121" s="5">
        <f ca="1">IFERROR(__xludf.DUMMYFUNCTION("""COMPUTED_VALUE"""),5)</f>
        <v>5</v>
      </c>
      <c r="U121" s="5">
        <f ca="1"/>
        <v>65</v>
      </c>
      <c r="V121" s="5" t="str">
        <f ca="1">IFERROR(__xludf.DUMMYFUNCTION("""COMPUTED_VALUE"""),"")</f>
        <v/>
      </c>
    </row>
    <row r="122" spans="1:22" ht="13.2">
      <c r="A122" s="1" t="e">
        <f ca="1"/>
        <v>#NAME?</v>
      </c>
      <c r="B122" s="30">
        <v>2077</v>
      </c>
      <c r="C122" s="44" t="s">
        <v>138</v>
      </c>
      <c r="D122" s="45" t="s">
        <v>139</v>
      </c>
      <c r="E122" s="72" t="s">
        <v>140</v>
      </c>
      <c r="F122" s="45" t="s">
        <v>139</v>
      </c>
      <c r="G122" s="46">
        <v>39.57</v>
      </c>
      <c r="H122" s="40" t="s">
        <v>38</v>
      </c>
      <c r="I122" s="40" t="s">
        <v>38</v>
      </c>
      <c r="J122" s="4"/>
      <c r="K122" s="41" t="str">
        <f ca="1">IFERROR(__xludf.DUMMYFUNCTION("""COMPUTED_VALUE"""),"Fionn Cahill")</f>
        <v>Fionn Cahill</v>
      </c>
      <c r="L122" s="5" t="str">
        <f ca="1">IFERROR(__xludf.DUMMYFUNCTION("""COMPUTED_VALUE"""),"S")</f>
        <v>S</v>
      </c>
      <c r="M122" s="5" t="str">
        <f ca="1">IFERROR(__xludf.DUMMYFUNCTION("""COMPUTED_VALUE"""),"B9")</f>
        <v>B9</v>
      </c>
      <c r="N122" s="5">
        <f ca="1">IFERROR(__xludf.DUMMYFUNCTION("""COMPUTED_VALUE"""),5)</f>
        <v>5</v>
      </c>
      <c r="O122" s="5"/>
      <c r="P122" s="41" t="str">
        <f ca="1">IFERROR(__xludf.DUMMYFUNCTION("""COMPUTED_VALUE"""),"")</f>
        <v/>
      </c>
      <c r="Q122" s="41" t="str">
        <f ca="1">IFERROR(__xludf.DUMMYFUNCTION("""COMPUTED_VALUE"""),"Matthew Rempe")</f>
        <v>Matthew Rempe</v>
      </c>
      <c r="R122" s="5" t="str">
        <f ca="1">IFERROR(__xludf.DUMMYFUNCTION("""COMPUTED_VALUE"""),"S")</f>
        <v>S</v>
      </c>
      <c r="S122" s="5" t="str">
        <f ca="1">IFERROR(__xludf.DUMMYFUNCTION("""COMPUTED_VALUE"""),"B10")</f>
        <v>B10</v>
      </c>
      <c r="T122" s="5">
        <f ca="1">IFERROR(__xludf.DUMMYFUNCTION("""COMPUTED_VALUE"""),5)</f>
        <v>5</v>
      </c>
      <c r="U122" s="5">
        <f ca="1"/>
        <v>65</v>
      </c>
      <c r="V122" s="5" t="str">
        <f ca="1">IFERROR(__xludf.DUMMYFUNCTION("""COMPUTED_VALUE"""),"")</f>
        <v/>
      </c>
    </row>
    <row r="123" spans="1:22" ht="13.2">
      <c r="A123" s="1" t="e">
        <f ca="1"/>
        <v>#NAME?</v>
      </c>
      <c r="B123" s="30">
        <v>2159</v>
      </c>
      <c r="C123" s="36" t="s">
        <v>141</v>
      </c>
      <c r="D123" s="45" t="s">
        <v>139</v>
      </c>
      <c r="E123" s="72" t="s">
        <v>142</v>
      </c>
      <c r="F123" s="45" t="s">
        <v>139</v>
      </c>
      <c r="G123" s="46">
        <v>53.82</v>
      </c>
      <c r="H123" s="40" t="s">
        <v>38</v>
      </c>
      <c r="I123" s="40" t="s">
        <v>38</v>
      </c>
      <c r="J123" s="4"/>
      <c r="K123" s="41" t="str">
        <f ca="1">IFERROR(__xludf.DUMMYFUNCTION("""COMPUTED_VALUE"""),"Liam Cahill")</f>
        <v>Liam Cahill</v>
      </c>
      <c r="L123" s="5" t="str">
        <f ca="1">IFERROR(__xludf.DUMMYFUNCTION("""COMPUTED_VALUE"""),"S")</f>
        <v>S</v>
      </c>
      <c r="M123" s="5" t="str">
        <f ca="1">IFERROR(__xludf.DUMMYFUNCTION("""COMPUTED_VALUE"""),"B11")</f>
        <v>B11</v>
      </c>
      <c r="N123" s="5">
        <f ca="1">IFERROR(__xludf.DUMMYFUNCTION("""COMPUTED_VALUE"""),5)</f>
        <v>5</v>
      </c>
      <c r="O123" s="5"/>
      <c r="P123" s="41" t="str">
        <f ca="1">IFERROR(__xludf.DUMMYFUNCTION("""COMPUTED_VALUE"""),"")</f>
        <v/>
      </c>
      <c r="Q123" s="41" t="str">
        <f ca="1">IFERROR(__xludf.DUMMYFUNCTION("""COMPUTED_VALUE"""),"Samuel Rempe")</f>
        <v>Samuel Rempe</v>
      </c>
      <c r="R123" s="5" t="str">
        <f ca="1">IFERROR(__xludf.DUMMYFUNCTION("""COMPUTED_VALUE"""),"S")</f>
        <v>S</v>
      </c>
      <c r="S123" s="5" t="str">
        <f ca="1">IFERROR(__xludf.DUMMYFUNCTION("""COMPUTED_VALUE"""),"B11")</f>
        <v>B11</v>
      </c>
      <c r="T123" s="5">
        <f ca="1">IFERROR(__xludf.DUMMYFUNCTION("""COMPUTED_VALUE"""),2)</f>
        <v>2</v>
      </c>
      <c r="U123" s="5">
        <f ca="1"/>
        <v>95</v>
      </c>
      <c r="V123" s="5" t="str">
        <f ca="1">IFERROR(__xludf.DUMMYFUNCTION("""COMPUTED_VALUE"""),"")</f>
        <v/>
      </c>
    </row>
    <row r="124" spans="1:22" ht="13.2">
      <c r="A124" s="1" t="e">
        <f ca="1"/>
        <v>#NAME?</v>
      </c>
      <c r="B124" s="30">
        <v>2294</v>
      </c>
      <c r="C124" s="44" t="s">
        <v>143</v>
      </c>
      <c r="D124" s="45" t="s">
        <v>86</v>
      </c>
      <c r="E124" s="72" t="s">
        <v>144</v>
      </c>
      <c r="F124" s="45" t="s">
        <v>86</v>
      </c>
      <c r="G124" s="46">
        <v>35.28</v>
      </c>
      <c r="H124" s="40" t="s">
        <v>38</v>
      </c>
      <c r="I124" s="40" t="s">
        <v>38</v>
      </c>
      <c r="J124" s="4"/>
      <c r="K124" s="41" t="str">
        <f ca="1">IFERROR(__xludf.DUMMYFUNCTION("""COMPUTED_VALUE"""),"Cameron Cohen")</f>
        <v>Cameron Cohen</v>
      </c>
      <c r="L124" s="5" t="str">
        <f ca="1">IFERROR(__xludf.DUMMYFUNCTION("""COMPUTED_VALUE"""),"HP")</f>
        <v>HP</v>
      </c>
      <c r="M124" s="5" t="str">
        <f ca="1">IFERROR(__xludf.DUMMYFUNCTION("""COMPUTED_VALUE"""),"B11")</f>
        <v>B11</v>
      </c>
      <c r="N124" s="5">
        <f ca="1">IFERROR(__xludf.DUMMYFUNCTION("""COMPUTED_VALUE"""),4)</f>
        <v>4</v>
      </c>
      <c r="O124" s="5"/>
      <c r="P124" s="41" t="str">
        <f ca="1">IFERROR(__xludf.DUMMYFUNCTION("""COMPUTED_VALUE"""),"")</f>
        <v/>
      </c>
      <c r="Q124" s="41" t="str">
        <f ca="1">IFERROR(__xludf.DUMMYFUNCTION("""COMPUTED_VALUE"""),"Declan Fitzsimmons")</f>
        <v>Declan Fitzsimmons</v>
      </c>
      <c r="R124" s="5" t="str">
        <f ca="1">IFERROR(__xludf.DUMMYFUNCTION("""COMPUTED_VALUE"""),"HP")</f>
        <v>HP</v>
      </c>
      <c r="S124" s="5" t="str">
        <f ca="1">IFERROR(__xludf.DUMMYFUNCTION("""COMPUTED_VALUE"""),"B10")</f>
        <v>B10</v>
      </c>
      <c r="T124" s="5">
        <f ca="1">IFERROR(__xludf.DUMMYFUNCTION("""COMPUTED_VALUE"""),4)</f>
        <v>4</v>
      </c>
      <c r="U124" s="5">
        <f ca="1"/>
        <v>65</v>
      </c>
      <c r="V124" s="5" t="str">
        <f ca="1">IFERROR(__xludf.DUMMYFUNCTION("""COMPUTED_VALUE"""),"")</f>
        <v/>
      </c>
    </row>
    <row r="125" spans="1:22" ht="13.2">
      <c r="A125" s="1" t="e">
        <f ca="1"/>
        <v>#NAME?</v>
      </c>
      <c r="B125" s="30">
        <v>2396</v>
      </c>
      <c r="C125" s="44" t="s">
        <v>145</v>
      </c>
      <c r="D125" s="45" t="s">
        <v>86</v>
      </c>
      <c r="E125" s="72" t="s">
        <v>146</v>
      </c>
      <c r="F125" s="45" t="s">
        <v>86</v>
      </c>
      <c r="G125" s="46">
        <v>64.41</v>
      </c>
      <c r="H125" s="40" t="s">
        <v>38</v>
      </c>
      <c r="I125" s="40" t="s">
        <v>38</v>
      </c>
      <c r="J125" s="4"/>
      <c r="K125" s="41" t="str">
        <f ca="1">IFERROR(__xludf.DUMMYFUNCTION("""COMPUTED_VALUE"""),"Ben Margolis")</f>
        <v>Ben Margolis</v>
      </c>
      <c r="L125" s="5" t="str">
        <f ca="1">IFERROR(__xludf.DUMMYFUNCTION("""COMPUTED_VALUE"""),"HP")</f>
        <v>HP</v>
      </c>
      <c r="M125" s="5" t="str">
        <f ca="1">IFERROR(__xludf.DUMMYFUNCTION("""COMPUTED_VALUE"""),"B12")</f>
        <v>B12</v>
      </c>
      <c r="N125" s="5">
        <f ca="1">IFERROR(__xludf.DUMMYFUNCTION("""COMPUTED_VALUE"""),5)</f>
        <v>5</v>
      </c>
      <c r="O125" s="5"/>
      <c r="P125" s="41" t="str">
        <f ca="1">IFERROR(__xludf.DUMMYFUNCTION("""COMPUTED_VALUE"""),"")</f>
        <v/>
      </c>
      <c r="Q125" s="41" t="str">
        <f ca="1">IFERROR(__xludf.DUMMYFUNCTION("""COMPUTED_VALUE"""),"Julian Castro")</f>
        <v>Julian Castro</v>
      </c>
      <c r="R125" s="5" t="str">
        <f ca="1">IFERROR(__xludf.DUMMYFUNCTION("""COMPUTED_VALUE"""),"HP")</f>
        <v>HP</v>
      </c>
      <c r="S125" s="5" t="str">
        <f ca="1">IFERROR(__xludf.DUMMYFUNCTION("""COMPUTED_VALUE"""),"B11")</f>
        <v>B11</v>
      </c>
      <c r="T125" s="5">
        <f ca="1">IFERROR(__xludf.DUMMYFUNCTION("""COMPUTED_VALUE"""),5)</f>
        <v>5</v>
      </c>
      <c r="U125" s="5">
        <f ca="1"/>
        <v>95</v>
      </c>
      <c r="V125" s="5" t="str">
        <f ca="1">IFERROR(__xludf.DUMMYFUNCTION("""COMPUTED_VALUE"""),"")</f>
        <v/>
      </c>
    </row>
    <row r="126" spans="1:22" ht="13.2">
      <c r="A126" s="1" t="e">
        <f ca="1"/>
        <v>#NAME?</v>
      </c>
      <c r="B126" s="30">
        <v>2467</v>
      </c>
      <c r="C126" s="44" t="s">
        <v>147</v>
      </c>
      <c r="D126" s="45" t="s">
        <v>148</v>
      </c>
      <c r="E126" s="72" t="s">
        <v>149</v>
      </c>
      <c r="F126" s="45" t="s">
        <v>148</v>
      </c>
      <c r="G126" s="46">
        <v>67.650000000000006</v>
      </c>
      <c r="H126" s="40" t="s">
        <v>38</v>
      </c>
      <c r="I126" s="40" t="s">
        <v>38</v>
      </c>
      <c r="J126" s="4"/>
      <c r="K126" s="41" t="str">
        <f ca="1">IFERROR(__xludf.DUMMYFUNCTION("""COMPUTED_VALUE"""),"Cormac Henderson")</f>
        <v>Cormac Henderson</v>
      </c>
      <c r="L126" s="5" t="str">
        <f ca="1">IFERROR(__xludf.DUMMYFUNCTION("""COMPUTED_VALUE"""),"PL")</f>
        <v>PL</v>
      </c>
      <c r="M126" s="5" t="str">
        <f ca="1">IFERROR(__xludf.DUMMYFUNCTION("""COMPUTED_VALUE"""),"B11")</f>
        <v>B11</v>
      </c>
      <c r="N126" s="5">
        <f ca="1">IFERROR(__xludf.DUMMYFUNCTION("""COMPUTED_VALUE"""),4)</f>
        <v>4</v>
      </c>
      <c r="O126" s="5"/>
      <c r="P126" s="41" t="str">
        <f ca="1">IFERROR(__xludf.DUMMYFUNCTION("""COMPUTED_VALUE"""),"")</f>
        <v/>
      </c>
      <c r="Q126" s="41" t="str">
        <f ca="1">IFERROR(__xludf.DUMMYFUNCTION("""COMPUTED_VALUE"""),"Miller Supple")</f>
        <v>Miller Supple</v>
      </c>
      <c r="R126" s="5" t="str">
        <f ca="1">IFERROR(__xludf.DUMMYFUNCTION("""COMPUTED_VALUE"""),"PL")</f>
        <v>PL</v>
      </c>
      <c r="S126" s="5" t="str">
        <f ca="1">IFERROR(__xludf.DUMMYFUNCTION("""COMPUTED_VALUE"""),"B11")</f>
        <v>B11</v>
      </c>
      <c r="T126" s="5">
        <f ca="1">IFERROR(__xludf.DUMMYFUNCTION("""COMPUTED_VALUE"""),5)</f>
        <v>5</v>
      </c>
      <c r="U126" s="5">
        <f ca="1"/>
        <v>95</v>
      </c>
      <c r="V126" s="5" t="str">
        <f ca="1">IFERROR(__xludf.DUMMYFUNCTION("""COMPUTED_VALUE"""),"")</f>
        <v/>
      </c>
    </row>
    <row r="127" spans="1:22" ht="13.2">
      <c r="A127" s="1" t="e">
        <f ca="1"/>
        <v>#NAME?</v>
      </c>
      <c r="B127" s="30">
        <v>2732</v>
      </c>
      <c r="C127" s="44" t="s">
        <v>150</v>
      </c>
      <c r="D127" s="45" t="s">
        <v>51</v>
      </c>
      <c r="E127" s="72" t="s">
        <v>151</v>
      </c>
      <c r="F127" s="45" t="s">
        <v>51</v>
      </c>
      <c r="G127" s="46">
        <v>51.51</v>
      </c>
      <c r="H127" s="40" t="s">
        <v>38</v>
      </c>
      <c r="I127" s="40" t="s">
        <v>38</v>
      </c>
      <c r="J127" s="4"/>
      <c r="K127" s="41" t="str">
        <f ca="1">IFERROR(__xludf.DUMMYFUNCTION("""COMPUTED_VALUE"""),"Cavan Telleen")</f>
        <v>Cavan Telleen</v>
      </c>
      <c r="L127" s="5" t="str">
        <f ca="1">IFERROR(__xludf.DUMMYFUNCTION("""COMPUTED_VALUE"""),"FS")</f>
        <v>FS</v>
      </c>
      <c r="M127" s="5" t="str">
        <f ca="1">IFERROR(__xludf.DUMMYFUNCTION("""COMPUTED_VALUE"""),"B9")</f>
        <v>B9</v>
      </c>
      <c r="N127" s="5">
        <f ca="1">IFERROR(__xludf.DUMMYFUNCTION("""COMPUTED_VALUE"""),5)</f>
        <v>5</v>
      </c>
      <c r="O127" s="5"/>
      <c r="P127" s="41" t="str">
        <f ca="1">IFERROR(__xludf.DUMMYFUNCTION("""COMPUTED_VALUE"""),"")</f>
        <v/>
      </c>
      <c r="Q127" s="41" t="str">
        <f ca="1">IFERROR(__xludf.DUMMYFUNCTION("""COMPUTED_VALUE"""),"Chanler Majiros")</f>
        <v>Chanler Majiros</v>
      </c>
      <c r="R127" s="5" t="str">
        <f ca="1">IFERROR(__xludf.DUMMYFUNCTION("""COMPUTED_VALUE"""),"FS")</f>
        <v>FS</v>
      </c>
      <c r="S127" s="5" t="str">
        <f ca="1">IFERROR(__xludf.DUMMYFUNCTION("""COMPUTED_VALUE"""),"B10")</f>
        <v>B10</v>
      </c>
      <c r="T127" s="5">
        <f ca="1">IFERROR(__xludf.DUMMYFUNCTION("""COMPUTED_VALUE"""),5)</f>
        <v>5</v>
      </c>
      <c r="U127" s="5">
        <f ca="1"/>
        <v>65</v>
      </c>
      <c r="V127" s="5" t="str">
        <f ca="1">IFERROR(__xludf.DUMMYFUNCTION("""COMPUTED_VALUE"""),"")</f>
        <v/>
      </c>
    </row>
    <row r="128" spans="1:22" ht="13.2">
      <c r="A128" s="1" t="e">
        <f ca="1"/>
        <v>#NAME?</v>
      </c>
      <c r="B128" s="30">
        <v>2783</v>
      </c>
      <c r="C128" s="44"/>
      <c r="D128" s="45"/>
      <c r="E128" s="72"/>
      <c r="F128" s="45"/>
      <c r="G128" s="46"/>
      <c r="H128" s="40" t="s">
        <v>38</v>
      </c>
      <c r="I128" s="40" t="s">
        <v>38</v>
      </c>
      <c r="J128" s="4"/>
      <c r="K128" s="41" t="str">
        <f ca="1">IFERROR(__xludf.DUMMYFUNCTION("""COMPUTED_VALUE"""),"")</f>
        <v/>
      </c>
      <c r="L128" s="5" t="str">
        <f ca="1">IFERROR(__xludf.DUMMYFUNCTION("""COMPUTED_VALUE"""),"")</f>
        <v/>
      </c>
      <c r="M128" s="5" t="str">
        <f ca="1">IFERROR(__xludf.DUMMYFUNCTION("""COMPUTED_VALUE"""),"")</f>
        <v/>
      </c>
      <c r="N128" s="5" t="str">
        <f ca="1">IFERROR(__xludf.DUMMYFUNCTION("""COMPUTED_VALUE"""),"")</f>
        <v/>
      </c>
      <c r="O128" s="5"/>
      <c r="P128" s="41" t="str">
        <f ca="1">IFERROR(__xludf.DUMMYFUNCTION("""COMPUTED_VALUE"""),"")</f>
        <v/>
      </c>
      <c r="Q128" s="41" t="str">
        <f ca="1">IFERROR(__xludf.DUMMYFUNCTION("""COMPUTED_VALUE"""),"")</f>
        <v/>
      </c>
      <c r="R128" s="5" t="str">
        <f ca="1">IFERROR(__xludf.DUMMYFUNCTION("""COMPUTED_VALUE"""),"")</f>
        <v/>
      </c>
      <c r="S128" s="5" t="str">
        <f ca="1">IFERROR(__xludf.DUMMYFUNCTION("""COMPUTED_VALUE"""),"")</f>
        <v/>
      </c>
      <c r="T128" s="5" t="str">
        <f ca="1">IFERROR(__xludf.DUMMYFUNCTION("""COMPUTED_VALUE"""),"")</f>
        <v/>
      </c>
      <c r="U128" s="5" t="str">
        <f ca="1"/>
        <v/>
      </c>
      <c r="V128" s="5" t="str">
        <f ca="1">IFERROR(__xludf.DUMMYFUNCTION("""COMPUTED_VALUE"""),"")</f>
        <v/>
      </c>
    </row>
    <row r="129" spans="1:22" ht="13.2">
      <c r="A129" s="1" t="e">
        <f ca="1"/>
        <v>#NAME?</v>
      </c>
      <c r="B129" s="30">
        <v>2904</v>
      </c>
      <c r="C129" s="44"/>
      <c r="D129" s="45"/>
      <c r="E129" s="72"/>
      <c r="F129" s="45"/>
      <c r="G129" s="46"/>
      <c r="H129" s="40" t="s">
        <v>38</v>
      </c>
      <c r="I129" s="40" t="s">
        <v>38</v>
      </c>
      <c r="J129" s="4"/>
      <c r="K129" s="41" t="str">
        <f ca="1">IFERROR(__xludf.DUMMYFUNCTION("""COMPUTED_VALUE"""),"")</f>
        <v/>
      </c>
      <c r="L129" s="5" t="str">
        <f ca="1">IFERROR(__xludf.DUMMYFUNCTION("""COMPUTED_VALUE"""),"")</f>
        <v/>
      </c>
      <c r="M129" s="5" t="str">
        <f ca="1">IFERROR(__xludf.DUMMYFUNCTION("""COMPUTED_VALUE"""),"")</f>
        <v/>
      </c>
      <c r="N129" s="5" t="str">
        <f ca="1">IFERROR(__xludf.DUMMYFUNCTION("""COMPUTED_VALUE"""),"")</f>
        <v/>
      </c>
      <c r="O129" s="5"/>
      <c r="P129" s="41" t="str">
        <f ca="1">IFERROR(__xludf.DUMMYFUNCTION("""COMPUTED_VALUE"""),"")</f>
        <v/>
      </c>
      <c r="Q129" s="41" t="str">
        <f ca="1">IFERROR(__xludf.DUMMYFUNCTION("""COMPUTED_VALUE"""),"")</f>
        <v/>
      </c>
      <c r="R129" s="5" t="str">
        <f ca="1">IFERROR(__xludf.DUMMYFUNCTION("""COMPUTED_VALUE"""),"")</f>
        <v/>
      </c>
      <c r="S129" s="5" t="str">
        <f ca="1">IFERROR(__xludf.DUMMYFUNCTION("""COMPUTED_VALUE"""),"")</f>
        <v/>
      </c>
      <c r="T129" s="5" t="str">
        <f ca="1">IFERROR(__xludf.DUMMYFUNCTION("""COMPUTED_VALUE"""),"")</f>
        <v/>
      </c>
      <c r="U129" s="5" t="str">
        <f ca="1"/>
        <v/>
      </c>
      <c r="V129" s="5" t="str">
        <f ca="1">IFERROR(__xludf.DUMMYFUNCTION("""COMPUTED_VALUE"""),"")</f>
        <v/>
      </c>
    </row>
    <row r="130" spans="1:22" ht="13.2">
      <c r="A130" s="1" t="e">
        <f ca="1"/>
        <v>#NAME?</v>
      </c>
      <c r="B130" s="30">
        <v>3830</v>
      </c>
      <c r="C130" s="36"/>
      <c r="D130" s="37"/>
      <c r="E130" s="36"/>
      <c r="F130" s="37"/>
      <c r="G130" s="42"/>
      <c r="H130" s="40" t="s">
        <v>38</v>
      </c>
      <c r="I130" s="40" t="s">
        <v>38</v>
      </c>
      <c r="J130" s="4"/>
      <c r="K130" s="41" t="str">
        <f ca="1">IFERROR(__xludf.DUMMYFUNCTION("""COMPUTED_VALUE"""),"")</f>
        <v/>
      </c>
      <c r="L130" s="5" t="str">
        <f ca="1">IFERROR(__xludf.DUMMYFUNCTION("""COMPUTED_VALUE"""),"")</f>
        <v/>
      </c>
      <c r="M130" s="5" t="str">
        <f ca="1">IFERROR(__xludf.DUMMYFUNCTION("""COMPUTED_VALUE"""),"")</f>
        <v/>
      </c>
      <c r="N130" s="5" t="str">
        <f ca="1">IFERROR(__xludf.DUMMYFUNCTION("""COMPUTED_VALUE"""),"")</f>
        <v/>
      </c>
      <c r="O130" s="5"/>
      <c r="P130" s="41" t="str">
        <f ca="1">IFERROR(__xludf.DUMMYFUNCTION("""COMPUTED_VALUE"""),"")</f>
        <v/>
      </c>
      <c r="Q130" s="41" t="str">
        <f ca="1">IFERROR(__xludf.DUMMYFUNCTION("""COMPUTED_VALUE"""),"")</f>
        <v/>
      </c>
      <c r="R130" s="5" t="str">
        <f ca="1">IFERROR(__xludf.DUMMYFUNCTION("""COMPUTED_VALUE"""),"")</f>
        <v/>
      </c>
      <c r="S130" s="5" t="str">
        <f ca="1">IFERROR(__xludf.DUMMYFUNCTION("""COMPUTED_VALUE"""),"")</f>
        <v/>
      </c>
      <c r="T130" s="5" t="str">
        <f ca="1">IFERROR(__xludf.DUMMYFUNCTION("""COMPUTED_VALUE"""),"")</f>
        <v/>
      </c>
      <c r="U130" s="5" t="str">
        <f ca="1"/>
        <v/>
      </c>
      <c r="V130" s="5" t="str">
        <f ca="1">IFERROR(__xludf.DUMMYFUNCTION("""COMPUTED_VALUE"""),"")</f>
        <v/>
      </c>
    </row>
    <row r="131" spans="1:22" ht="13.2">
      <c r="A131" s="1" t="e">
        <f ca="1"/>
        <v>#NAME?</v>
      </c>
      <c r="B131" s="30">
        <v>3855</v>
      </c>
      <c r="C131" s="36"/>
      <c r="D131" s="37"/>
      <c r="E131" s="36"/>
      <c r="F131" s="37"/>
      <c r="G131" s="42"/>
      <c r="H131" s="40" t="s">
        <v>38</v>
      </c>
      <c r="I131" s="40" t="s">
        <v>38</v>
      </c>
      <c r="J131" s="4"/>
      <c r="K131" s="41" t="str">
        <f ca="1">IFERROR(__xludf.DUMMYFUNCTION("""COMPUTED_VALUE"""),"")</f>
        <v/>
      </c>
      <c r="L131" s="5" t="str">
        <f ca="1">IFERROR(__xludf.DUMMYFUNCTION("""COMPUTED_VALUE"""),"")</f>
        <v/>
      </c>
      <c r="M131" s="5" t="str">
        <f ca="1">IFERROR(__xludf.DUMMYFUNCTION("""COMPUTED_VALUE"""),"")</f>
        <v/>
      </c>
      <c r="N131" s="5" t="str">
        <f ca="1">IFERROR(__xludf.DUMMYFUNCTION("""COMPUTED_VALUE"""),"")</f>
        <v/>
      </c>
      <c r="O131" s="5"/>
      <c r="P131" s="41" t="str">
        <f ca="1">IFERROR(__xludf.DUMMYFUNCTION("""COMPUTED_VALUE"""),"")</f>
        <v/>
      </c>
      <c r="Q131" s="41" t="str">
        <f ca="1">IFERROR(__xludf.DUMMYFUNCTION("""COMPUTED_VALUE"""),"")</f>
        <v/>
      </c>
      <c r="R131" s="5" t="str">
        <f ca="1">IFERROR(__xludf.DUMMYFUNCTION("""COMPUTED_VALUE"""),"")</f>
        <v/>
      </c>
      <c r="S131" s="5" t="str">
        <f ca="1">IFERROR(__xludf.DUMMYFUNCTION("""COMPUTED_VALUE"""),"")</f>
        <v/>
      </c>
      <c r="T131" s="5" t="str">
        <f ca="1">IFERROR(__xludf.DUMMYFUNCTION("""COMPUTED_VALUE"""),"")</f>
        <v/>
      </c>
      <c r="U131" s="5" t="str">
        <f ca="1"/>
        <v/>
      </c>
      <c r="V131" s="5" t="str">
        <f ca="1">IFERROR(__xludf.DUMMYFUNCTION("""COMPUTED_VALUE"""),"")</f>
        <v/>
      </c>
    </row>
    <row r="132" spans="1:22" ht="13.2">
      <c r="A132" s="1" t="e">
        <f ca="1"/>
        <v>#NAME?</v>
      </c>
      <c r="B132" s="30">
        <v>3957</v>
      </c>
      <c r="C132" s="36"/>
      <c r="D132" s="37"/>
      <c r="E132" s="36"/>
      <c r="F132" s="37"/>
      <c r="G132" s="42"/>
      <c r="H132" s="40" t="s">
        <v>38</v>
      </c>
      <c r="I132" s="40" t="s">
        <v>38</v>
      </c>
      <c r="J132" s="4"/>
      <c r="K132" s="41" t="str">
        <f ca="1">IFERROR(__xludf.DUMMYFUNCTION("""COMPUTED_VALUE"""),"")</f>
        <v/>
      </c>
      <c r="L132" s="5" t="str">
        <f ca="1">IFERROR(__xludf.DUMMYFUNCTION("""COMPUTED_VALUE"""),"")</f>
        <v/>
      </c>
      <c r="M132" s="5" t="str">
        <f ca="1">IFERROR(__xludf.DUMMYFUNCTION("""COMPUTED_VALUE"""),"")</f>
        <v/>
      </c>
      <c r="N132" s="5" t="str">
        <f ca="1">IFERROR(__xludf.DUMMYFUNCTION("""COMPUTED_VALUE"""),"")</f>
        <v/>
      </c>
      <c r="O132" s="5"/>
      <c r="P132" s="41" t="str">
        <f ca="1">IFERROR(__xludf.DUMMYFUNCTION("""COMPUTED_VALUE"""),"")</f>
        <v/>
      </c>
      <c r="Q132" s="41" t="str">
        <f ca="1">IFERROR(__xludf.DUMMYFUNCTION("""COMPUTED_VALUE"""),"")</f>
        <v/>
      </c>
      <c r="R132" s="5" t="str">
        <f ca="1">IFERROR(__xludf.DUMMYFUNCTION("""COMPUTED_VALUE"""),"")</f>
        <v/>
      </c>
      <c r="S132" s="5" t="str">
        <f ca="1">IFERROR(__xludf.DUMMYFUNCTION("""COMPUTED_VALUE"""),"")</f>
        <v/>
      </c>
      <c r="T132" s="5" t="str">
        <f ca="1">IFERROR(__xludf.DUMMYFUNCTION("""COMPUTED_VALUE"""),"")</f>
        <v/>
      </c>
      <c r="U132" s="5" t="str">
        <f ca="1"/>
        <v/>
      </c>
      <c r="V132" s="5" t="str">
        <f ca="1">IFERROR(__xludf.DUMMYFUNCTION("""COMPUTED_VALUE"""),"")</f>
        <v/>
      </c>
    </row>
    <row r="133" spans="1:22" ht="13.2">
      <c r="A133" s="1" t="e">
        <f ca="1"/>
        <v>#NAME?</v>
      </c>
      <c r="B133" s="30">
        <v>4042</v>
      </c>
      <c r="C133" s="36"/>
      <c r="D133" s="37"/>
      <c r="E133" s="36"/>
      <c r="F133" s="37"/>
      <c r="G133" s="42"/>
      <c r="H133" s="40" t="s">
        <v>38</v>
      </c>
      <c r="I133" s="40" t="s">
        <v>38</v>
      </c>
      <c r="J133" s="4"/>
      <c r="K133" s="41" t="str">
        <f ca="1">IFERROR(__xludf.DUMMYFUNCTION("""COMPUTED_VALUE"""),"")</f>
        <v/>
      </c>
      <c r="L133" s="5" t="str">
        <f ca="1">IFERROR(__xludf.DUMMYFUNCTION("""COMPUTED_VALUE"""),"")</f>
        <v/>
      </c>
      <c r="M133" s="5" t="str">
        <f ca="1">IFERROR(__xludf.DUMMYFUNCTION("""COMPUTED_VALUE"""),"")</f>
        <v/>
      </c>
      <c r="N133" s="5" t="str">
        <f ca="1">IFERROR(__xludf.DUMMYFUNCTION("""COMPUTED_VALUE"""),"")</f>
        <v/>
      </c>
      <c r="O133" s="5"/>
      <c r="P133" s="41" t="str">
        <f ca="1">IFERROR(__xludf.DUMMYFUNCTION("""COMPUTED_VALUE"""),"")</f>
        <v/>
      </c>
      <c r="Q133" s="41" t="str">
        <f ca="1">IFERROR(__xludf.DUMMYFUNCTION("""COMPUTED_VALUE"""),"")</f>
        <v/>
      </c>
      <c r="R133" s="5" t="str">
        <f ca="1">IFERROR(__xludf.DUMMYFUNCTION("""COMPUTED_VALUE"""),"")</f>
        <v/>
      </c>
      <c r="S133" s="5" t="str">
        <f ca="1">IFERROR(__xludf.DUMMYFUNCTION("""COMPUTED_VALUE"""),"")</f>
        <v/>
      </c>
      <c r="T133" s="5" t="str">
        <f ca="1">IFERROR(__xludf.DUMMYFUNCTION("""COMPUTED_VALUE"""),"")</f>
        <v/>
      </c>
      <c r="U133" s="5" t="str">
        <f ca="1"/>
        <v/>
      </c>
      <c r="V133" s="5" t="str">
        <f ca="1">IFERROR(__xludf.DUMMYFUNCTION("""COMPUTED_VALUE"""),"")</f>
        <v/>
      </c>
    </row>
    <row r="134" spans="1:22" ht="13.2">
      <c r="A134" s="1" t="e">
        <f ca="1"/>
        <v>#NAME?</v>
      </c>
      <c r="B134" s="30">
        <v>4109</v>
      </c>
      <c r="C134" s="36"/>
      <c r="D134" s="37"/>
      <c r="E134" s="36"/>
      <c r="F134" s="37"/>
      <c r="G134" s="42"/>
      <c r="H134" s="40" t="s">
        <v>38</v>
      </c>
      <c r="I134" s="40" t="s">
        <v>38</v>
      </c>
      <c r="J134" s="4"/>
      <c r="K134" s="41" t="str">
        <f ca="1">IFERROR(__xludf.DUMMYFUNCTION("""COMPUTED_VALUE"""),"")</f>
        <v/>
      </c>
      <c r="L134" s="5" t="str">
        <f ca="1">IFERROR(__xludf.DUMMYFUNCTION("""COMPUTED_VALUE"""),"")</f>
        <v/>
      </c>
      <c r="M134" s="5" t="str">
        <f ca="1">IFERROR(__xludf.DUMMYFUNCTION("""COMPUTED_VALUE"""),"")</f>
        <v/>
      </c>
      <c r="N134" s="5" t="str">
        <f ca="1">IFERROR(__xludf.DUMMYFUNCTION("""COMPUTED_VALUE"""),"")</f>
        <v/>
      </c>
      <c r="O134" s="5"/>
      <c r="P134" s="41" t="str">
        <f ca="1">IFERROR(__xludf.DUMMYFUNCTION("""COMPUTED_VALUE"""),"")</f>
        <v/>
      </c>
      <c r="Q134" s="41" t="str">
        <f ca="1">IFERROR(__xludf.DUMMYFUNCTION("""COMPUTED_VALUE"""),"")</f>
        <v/>
      </c>
      <c r="R134" s="5" t="str">
        <f ca="1">IFERROR(__xludf.DUMMYFUNCTION("""COMPUTED_VALUE"""),"")</f>
        <v/>
      </c>
      <c r="S134" s="5" t="str">
        <f ca="1">IFERROR(__xludf.DUMMYFUNCTION("""COMPUTED_VALUE"""),"")</f>
        <v/>
      </c>
      <c r="T134" s="5" t="str">
        <f ca="1">IFERROR(__xludf.DUMMYFUNCTION("""COMPUTED_VALUE"""),"")</f>
        <v/>
      </c>
      <c r="U134" s="5" t="str">
        <f ca="1"/>
        <v/>
      </c>
      <c r="V134" s="5" t="str">
        <f ca="1">IFERROR(__xludf.DUMMYFUNCTION("""COMPUTED_VALUE"""),"")</f>
        <v/>
      </c>
    </row>
    <row r="135" spans="1:22" ht="13.2">
      <c r="A135" s="1" t="e">
        <f ca="1"/>
        <v>#NAME?</v>
      </c>
      <c r="B135" s="30">
        <v>4198</v>
      </c>
      <c r="C135" s="36"/>
      <c r="D135" s="37"/>
      <c r="E135" s="36"/>
      <c r="F135" s="37"/>
      <c r="G135" s="42"/>
      <c r="H135" s="40" t="s">
        <v>38</v>
      </c>
      <c r="I135" s="40" t="s">
        <v>38</v>
      </c>
      <c r="J135" s="4"/>
      <c r="K135" s="41" t="str">
        <f ca="1">IFERROR(__xludf.DUMMYFUNCTION("""COMPUTED_VALUE"""),"")</f>
        <v/>
      </c>
      <c r="L135" s="5" t="str">
        <f ca="1">IFERROR(__xludf.DUMMYFUNCTION("""COMPUTED_VALUE"""),"")</f>
        <v/>
      </c>
      <c r="M135" s="5" t="str">
        <f ca="1">IFERROR(__xludf.DUMMYFUNCTION("""COMPUTED_VALUE"""),"")</f>
        <v/>
      </c>
      <c r="N135" s="5" t="str">
        <f ca="1">IFERROR(__xludf.DUMMYFUNCTION("""COMPUTED_VALUE"""),"")</f>
        <v/>
      </c>
      <c r="O135" s="5"/>
      <c r="P135" s="41" t="str">
        <f ca="1">IFERROR(__xludf.DUMMYFUNCTION("""COMPUTED_VALUE"""),"")</f>
        <v/>
      </c>
      <c r="Q135" s="41" t="str">
        <f ca="1">IFERROR(__xludf.DUMMYFUNCTION("""COMPUTED_VALUE"""),"")</f>
        <v/>
      </c>
      <c r="R135" s="5" t="str">
        <f ca="1">IFERROR(__xludf.DUMMYFUNCTION("""COMPUTED_VALUE"""),"")</f>
        <v/>
      </c>
      <c r="S135" s="5" t="str">
        <f ca="1">IFERROR(__xludf.DUMMYFUNCTION("""COMPUTED_VALUE"""),"")</f>
        <v/>
      </c>
      <c r="T135" s="5" t="str">
        <f ca="1">IFERROR(__xludf.DUMMYFUNCTION("""COMPUTED_VALUE"""),"")</f>
        <v/>
      </c>
      <c r="U135" s="5" t="str">
        <f ca="1"/>
        <v/>
      </c>
      <c r="V135" s="5" t="str">
        <f ca="1">IFERROR(__xludf.DUMMYFUNCTION("""COMPUTED_VALUE"""),"")</f>
        <v/>
      </c>
    </row>
    <row r="136" spans="1:22" ht="13.2">
      <c r="A136" s="1" t="e">
        <f ca="1"/>
        <v>#NAME?</v>
      </c>
      <c r="B136" s="30">
        <v>4990</v>
      </c>
      <c r="C136" s="36"/>
      <c r="D136" s="37"/>
      <c r="E136" s="36"/>
      <c r="F136" s="37"/>
      <c r="G136" s="42"/>
      <c r="H136" s="40" t="s">
        <v>38</v>
      </c>
      <c r="I136" s="40" t="s">
        <v>38</v>
      </c>
      <c r="J136" s="4"/>
      <c r="K136" s="41" t="str">
        <f ca="1">IFERROR(__xludf.DUMMYFUNCTION("""COMPUTED_VALUE"""),"")</f>
        <v/>
      </c>
      <c r="L136" s="5" t="str">
        <f ca="1">IFERROR(__xludf.DUMMYFUNCTION("""COMPUTED_VALUE"""),"")</f>
        <v/>
      </c>
      <c r="M136" s="5" t="str">
        <f ca="1">IFERROR(__xludf.DUMMYFUNCTION("""COMPUTED_VALUE"""),"")</f>
        <v/>
      </c>
      <c r="N136" s="5" t="str">
        <f ca="1">IFERROR(__xludf.DUMMYFUNCTION("""COMPUTED_VALUE"""),"")</f>
        <v/>
      </c>
      <c r="O136" s="5"/>
      <c r="P136" s="41" t="str">
        <f ca="1">IFERROR(__xludf.DUMMYFUNCTION("""COMPUTED_VALUE"""),"")</f>
        <v/>
      </c>
      <c r="Q136" s="41" t="str">
        <f ca="1">IFERROR(__xludf.DUMMYFUNCTION("""COMPUTED_VALUE"""),"")</f>
        <v/>
      </c>
      <c r="R136" s="5" t="str">
        <f ca="1">IFERROR(__xludf.DUMMYFUNCTION("""COMPUTED_VALUE"""),"")</f>
        <v/>
      </c>
      <c r="S136" s="5" t="str">
        <f ca="1">IFERROR(__xludf.DUMMYFUNCTION("""COMPUTED_VALUE"""),"")</f>
        <v/>
      </c>
      <c r="T136" s="5" t="str">
        <f ca="1">IFERROR(__xludf.DUMMYFUNCTION("""COMPUTED_VALUE"""),"")</f>
        <v/>
      </c>
      <c r="U136" s="5" t="str">
        <f ca="1"/>
        <v/>
      </c>
      <c r="V136" s="5" t="str">
        <f ca="1">IFERROR(__xludf.DUMMYFUNCTION("""COMPUTED_VALUE"""),"")</f>
        <v/>
      </c>
    </row>
    <row r="137" spans="1:22" ht="13.2">
      <c r="A137" s="1" t="e">
        <f ca="1"/>
        <v>#NAME?</v>
      </c>
      <c r="B137" s="30">
        <v>5086</v>
      </c>
      <c r="C137" s="36"/>
      <c r="D137" s="37"/>
      <c r="E137" s="36"/>
      <c r="F137" s="37"/>
      <c r="G137" s="42"/>
      <c r="H137" s="40" t="s">
        <v>38</v>
      </c>
      <c r="I137" s="40" t="s">
        <v>38</v>
      </c>
      <c r="J137" s="4"/>
      <c r="K137" s="41" t="str">
        <f ca="1">IFERROR(__xludf.DUMMYFUNCTION("""COMPUTED_VALUE"""),"")</f>
        <v/>
      </c>
      <c r="L137" s="5" t="str">
        <f ca="1">IFERROR(__xludf.DUMMYFUNCTION("""COMPUTED_VALUE"""),"")</f>
        <v/>
      </c>
      <c r="M137" s="5" t="str">
        <f ca="1">IFERROR(__xludf.DUMMYFUNCTION("""COMPUTED_VALUE"""),"")</f>
        <v/>
      </c>
      <c r="N137" s="5" t="str">
        <f ca="1">IFERROR(__xludf.DUMMYFUNCTION("""COMPUTED_VALUE"""),"")</f>
        <v/>
      </c>
      <c r="O137" s="5"/>
      <c r="P137" s="41" t="str">
        <f ca="1">IFERROR(__xludf.DUMMYFUNCTION("""COMPUTED_VALUE"""),"")</f>
        <v/>
      </c>
      <c r="Q137" s="41" t="str">
        <f ca="1">IFERROR(__xludf.DUMMYFUNCTION("""COMPUTED_VALUE"""),"")</f>
        <v/>
      </c>
      <c r="R137" s="5" t="str">
        <f ca="1">IFERROR(__xludf.DUMMYFUNCTION("""COMPUTED_VALUE"""),"")</f>
        <v/>
      </c>
      <c r="S137" s="5" t="str">
        <f ca="1">IFERROR(__xludf.DUMMYFUNCTION("""COMPUTED_VALUE"""),"")</f>
        <v/>
      </c>
      <c r="T137" s="5" t="str">
        <f ca="1">IFERROR(__xludf.DUMMYFUNCTION("""COMPUTED_VALUE"""),"")</f>
        <v/>
      </c>
      <c r="U137" s="5" t="str">
        <f ca="1"/>
        <v/>
      </c>
      <c r="V137" s="5" t="str">
        <f ca="1">IFERROR(__xludf.DUMMYFUNCTION("""COMPUTED_VALUE"""),"")</f>
        <v/>
      </c>
    </row>
    <row r="138" spans="1:22" ht="13.2">
      <c r="A138" s="1" t="e">
        <f ca="1"/>
        <v>#NAME?</v>
      </c>
      <c r="B138" s="30">
        <v>5108</v>
      </c>
      <c r="C138" s="36"/>
      <c r="D138" s="37"/>
      <c r="E138" s="36"/>
      <c r="F138" s="37"/>
      <c r="G138" s="42"/>
      <c r="H138" s="40" t="s">
        <v>38</v>
      </c>
      <c r="I138" s="40" t="s">
        <v>38</v>
      </c>
      <c r="J138" s="4"/>
      <c r="K138" s="41" t="str">
        <f ca="1">IFERROR(__xludf.DUMMYFUNCTION("""COMPUTED_VALUE"""),"")</f>
        <v/>
      </c>
      <c r="L138" s="5" t="str">
        <f ca="1">IFERROR(__xludf.DUMMYFUNCTION("""COMPUTED_VALUE"""),"")</f>
        <v/>
      </c>
      <c r="M138" s="5" t="str">
        <f ca="1">IFERROR(__xludf.DUMMYFUNCTION("""COMPUTED_VALUE"""),"")</f>
        <v/>
      </c>
      <c r="N138" s="5" t="str">
        <f ca="1">IFERROR(__xludf.DUMMYFUNCTION("""COMPUTED_VALUE"""),"")</f>
        <v/>
      </c>
      <c r="O138" s="5"/>
      <c r="P138" s="41" t="str">
        <f ca="1">IFERROR(__xludf.DUMMYFUNCTION("""COMPUTED_VALUE"""),"")</f>
        <v/>
      </c>
      <c r="Q138" s="41" t="str">
        <f ca="1">IFERROR(__xludf.DUMMYFUNCTION("""COMPUTED_VALUE"""),"")</f>
        <v/>
      </c>
      <c r="R138" s="5" t="str">
        <f ca="1">IFERROR(__xludf.DUMMYFUNCTION("""COMPUTED_VALUE"""),"")</f>
        <v/>
      </c>
      <c r="S138" s="5" t="str">
        <f ca="1">IFERROR(__xludf.DUMMYFUNCTION("""COMPUTED_VALUE"""),"")</f>
        <v/>
      </c>
      <c r="T138" s="5" t="str">
        <f ca="1">IFERROR(__xludf.DUMMYFUNCTION("""COMPUTED_VALUE"""),"")</f>
        <v/>
      </c>
      <c r="U138" s="5" t="str">
        <f ca="1"/>
        <v/>
      </c>
      <c r="V138" s="5" t="str">
        <f ca="1">IFERROR(__xludf.DUMMYFUNCTION("""COMPUTED_VALUE"""),"")</f>
        <v/>
      </c>
    </row>
    <row r="139" spans="1:22" ht="13.2">
      <c r="A139" s="1" t="e">
        <f ca="1"/>
        <v>#NAME?</v>
      </c>
      <c r="B139" s="30">
        <v>5172</v>
      </c>
      <c r="C139" s="48"/>
      <c r="D139" s="49"/>
      <c r="E139" s="48"/>
      <c r="F139" s="49"/>
      <c r="G139" s="51"/>
      <c r="H139" s="40" t="s">
        <v>38</v>
      </c>
      <c r="I139" s="40" t="s">
        <v>38</v>
      </c>
      <c r="J139" s="4"/>
      <c r="K139" s="41" t="str">
        <f ca="1">IFERROR(__xludf.DUMMYFUNCTION("""COMPUTED_VALUE"""),"")</f>
        <v/>
      </c>
      <c r="L139" s="5" t="str">
        <f ca="1">IFERROR(__xludf.DUMMYFUNCTION("""COMPUTED_VALUE"""),"")</f>
        <v/>
      </c>
      <c r="M139" s="5" t="str">
        <f ca="1">IFERROR(__xludf.DUMMYFUNCTION("""COMPUTED_VALUE"""),"")</f>
        <v/>
      </c>
      <c r="N139" s="5" t="str">
        <f ca="1">IFERROR(__xludf.DUMMYFUNCTION("""COMPUTED_VALUE"""),"")</f>
        <v/>
      </c>
      <c r="O139" s="5"/>
      <c r="P139" s="41" t="str">
        <f ca="1">IFERROR(__xludf.DUMMYFUNCTION("""COMPUTED_VALUE"""),"")</f>
        <v/>
      </c>
      <c r="Q139" s="41" t="str">
        <f ca="1">IFERROR(__xludf.DUMMYFUNCTION("""COMPUTED_VALUE"""),"")</f>
        <v/>
      </c>
      <c r="R139" s="5" t="str">
        <f ca="1">IFERROR(__xludf.DUMMYFUNCTION("""COMPUTED_VALUE"""),"")</f>
        <v/>
      </c>
      <c r="S139" s="5" t="str">
        <f ca="1">IFERROR(__xludf.DUMMYFUNCTION("""COMPUTED_VALUE"""),"")</f>
        <v/>
      </c>
      <c r="T139" s="5" t="str">
        <f ca="1">IFERROR(__xludf.DUMMYFUNCTION("""COMPUTED_VALUE"""),"")</f>
        <v/>
      </c>
      <c r="U139" s="5" t="str">
        <f ca="1"/>
        <v/>
      </c>
      <c r="V139" s="5" t="str">
        <f ca="1">IFERROR(__xludf.DUMMYFUNCTION("""COMPUTED_VALUE"""),"")</f>
        <v/>
      </c>
    </row>
    <row r="140" spans="1:22" ht="13.2">
      <c r="A140" s="1" t="e">
        <f ca="1"/>
        <v>#NAME?</v>
      </c>
      <c r="B140" s="30">
        <v>5226</v>
      </c>
      <c r="C140" s="48"/>
      <c r="D140" s="49"/>
      <c r="E140" s="48"/>
      <c r="F140" s="49"/>
      <c r="G140" s="51"/>
      <c r="H140" s="40" t="s">
        <v>38</v>
      </c>
      <c r="I140" s="40" t="s">
        <v>38</v>
      </c>
      <c r="J140" s="4"/>
      <c r="K140" s="41" t="str">
        <f ca="1">IFERROR(__xludf.DUMMYFUNCTION("""COMPUTED_VALUE"""),"")</f>
        <v/>
      </c>
      <c r="L140" s="5" t="str">
        <f ca="1">IFERROR(__xludf.DUMMYFUNCTION("""COMPUTED_VALUE"""),"")</f>
        <v/>
      </c>
      <c r="M140" s="5" t="str">
        <f ca="1">IFERROR(__xludf.DUMMYFUNCTION("""COMPUTED_VALUE"""),"")</f>
        <v/>
      </c>
      <c r="N140" s="5" t="str">
        <f ca="1">IFERROR(__xludf.DUMMYFUNCTION("""COMPUTED_VALUE"""),"")</f>
        <v/>
      </c>
      <c r="O140" s="5"/>
      <c r="P140" s="41" t="str">
        <f ca="1">IFERROR(__xludf.DUMMYFUNCTION("""COMPUTED_VALUE"""),"")</f>
        <v/>
      </c>
      <c r="Q140" s="41" t="str">
        <f ca="1">IFERROR(__xludf.DUMMYFUNCTION("""COMPUTED_VALUE"""),"")</f>
        <v/>
      </c>
      <c r="R140" s="5" t="str">
        <f ca="1">IFERROR(__xludf.DUMMYFUNCTION("""COMPUTED_VALUE"""),"")</f>
        <v/>
      </c>
      <c r="S140" s="5" t="str">
        <f ca="1">IFERROR(__xludf.DUMMYFUNCTION("""COMPUTED_VALUE"""),"")</f>
        <v/>
      </c>
      <c r="T140" s="5" t="str">
        <f ca="1">IFERROR(__xludf.DUMMYFUNCTION("""COMPUTED_VALUE"""),"")</f>
        <v/>
      </c>
      <c r="U140" s="5" t="str">
        <f ca="1"/>
        <v/>
      </c>
      <c r="V140" s="5" t="str">
        <f ca="1">IFERROR(__xludf.DUMMYFUNCTION("""COMPUTED_VALUE"""),"")</f>
        <v/>
      </c>
    </row>
    <row r="141" spans="1:22" ht="13.2">
      <c r="A141" s="1" t="e">
        <f ca="1"/>
        <v>#NAME?</v>
      </c>
      <c r="B141" s="30">
        <v>5573</v>
      </c>
      <c r="C141" s="48"/>
      <c r="D141" s="49"/>
      <c r="E141" s="48"/>
      <c r="F141" s="49"/>
      <c r="G141" s="51"/>
      <c r="H141" s="40" t="s">
        <v>38</v>
      </c>
      <c r="I141" s="40" t="s">
        <v>38</v>
      </c>
      <c r="J141" s="4"/>
      <c r="K141" s="41" t="str">
        <f ca="1">IFERROR(__xludf.DUMMYFUNCTION("""COMPUTED_VALUE"""),"")</f>
        <v/>
      </c>
      <c r="L141" s="5" t="str">
        <f ca="1">IFERROR(__xludf.DUMMYFUNCTION("""COMPUTED_VALUE"""),"")</f>
        <v/>
      </c>
      <c r="M141" s="5" t="str">
        <f ca="1">IFERROR(__xludf.DUMMYFUNCTION("""COMPUTED_VALUE"""),"")</f>
        <v/>
      </c>
      <c r="N141" s="5" t="str">
        <f ca="1">IFERROR(__xludf.DUMMYFUNCTION("""COMPUTED_VALUE"""),"")</f>
        <v/>
      </c>
      <c r="O141" s="5"/>
      <c r="P141" s="41" t="str">
        <f ca="1">IFERROR(__xludf.DUMMYFUNCTION("""COMPUTED_VALUE"""),"")</f>
        <v/>
      </c>
      <c r="Q141" s="41" t="str">
        <f ca="1">IFERROR(__xludf.DUMMYFUNCTION("""COMPUTED_VALUE"""),"")</f>
        <v/>
      </c>
      <c r="R141" s="5" t="str">
        <f ca="1">IFERROR(__xludf.DUMMYFUNCTION("""COMPUTED_VALUE"""),"")</f>
        <v/>
      </c>
      <c r="S141" s="5" t="str">
        <f ca="1">IFERROR(__xludf.DUMMYFUNCTION("""COMPUTED_VALUE"""),"")</f>
        <v/>
      </c>
      <c r="T141" s="5" t="str">
        <f ca="1">IFERROR(__xludf.DUMMYFUNCTION("""COMPUTED_VALUE"""),"")</f>
        <v/>
      </c>
      <c r="U141" s="5" t="str">
        <f ca="1"/>
        <v/>
      </c>
      <c r="V141" s="5" t="str">
        <f ca="1">IFERROR(__xludf.DUMMYFUNCTION("""COMPUTED_VALUE"""),"")</f>
        <v/>
      </c>
    </row>
    <row r="142" spans="1:22" ht="13.2">
      <c r="A142" s="1" t="e">
        <f ca="1"/>
        <v>#NAME?</v>
      </c>
      <c r="B142" s="30">
        <v>5645</v>
      </c>
      <c r="C142" s="48"/>
      <c r="D142" s="49"/>
      <c r="E142" s="48"/>
      <c r="F142" s="49"/>
      <c r="G142" s="51"/>
      <c r="H142" s="40" t="s">
        <v>38</v>
      </c>
      <c r="I142" s="40" t="s">
        <v>38</v>
      </c>
      <c r="J142" s="4"/>
      <c r="K142" s="41" t="str">
        <f ca="1">IFERROR(__xludf.DUMMYFUNCTION("""COMPUTED_VALUE"""),"")</f>
        <v/>
      </c>
      <c r="L142" s="5" t="str">
        <f ca="1">IFERROR(__xludf.DUMMYFUNCTION("""COMPUTED_VALUE"""),"")</f>
        <v/>
      </c>
      <c r="M142" s="5" t="str">
        <f ca="1">IFERROR(__xludf.DUMMYFUNCTION("""COMPUTED_VALUE"""),"")</f>
        <v/>
      </c>
      <c r="N142" s="5" t="str">
        <f ca="1">IFERROR(__xludf.DUMMYFUNCTION("""COMPUTED_VALUE"""),"")</f>
        <v/>
      </c>
      <c r="O142" s="5"/>
      <c r="P142" s="41" t="str">
        <f ca="1">IFERROR(__xludf.DUMMYFUNCTION("""COMPUTED_VALUE"""),"")</f>
        <v/>
      </c>
      <c r="Q142" s="41" t="str">
        <f ca="1">IFERROR(__xludf.DUMMYFUNCTION("""COMPUTED_VALUE"""),"")</f>
        <v/>
      </c>
      <c r="R142" s="5" t="str">
        <f ca="1">IFERROR(__xludf.DUMMYFUNCTION("""COMPUTED_VALUE"""),"")</f>
        <v/>
      </c>
      <c r="S142" s="5" t="str">
        <f ca="1">IFERROR(__xludf.DUMMYFUNCTION("""COMPUTED_VALUE"""),"")</f>
        <v/>
      </c>
      <c r="T142" s="5" t="str">
        <f ca="1">IFERROR(__xludf.DUMMYFUNCTION("""COMPUTED_VALUE"""),"")</f>
        <v/>
      </c>
      <c r="U142" s="5" t="str">
        <f ca="1"/>
        <v/>
      </c>
      <c r="V142" s="5" t="str">
        <f ca="1">IFERROR(__xludf.DUMMYFUNCTION("""COMPUTED_VALUE"""),"")</f>
        <v/>
      </c>
    </row>
    <row r="143" spans="1:22" ht="13.2">
      <c r="A143" s="1" t="e">
        <f ca="1"/>
        <v>#NAME?</v>
      </c>
      <c r="B143" s="30">
        <v>6097</v>
      </c>
      <c r="C143" s="48"/>
      <c r="D143" s="49"/>
      <c r="E143" s="48"/>
      <c r="F143" s="49"/>
      <c r="G143" s="51"/>
      <c r="H143" s="40" t="s">
        <v>38</v>
      </c>
      <c r="I143" s="40" t="s">
        <v>38</v>
      </c>
      <c r="J143" s="4"/>
      <c r="K143" s="41" t="str">
        <f ca="1">IFERROR(__xludf.DUMMYFUNCTION("""COMPUTED_VALUE"""),"")</f>
        <v/>
      </c>
      <c r="L143" s="5" t="str">
        <f ca="1">IFERROR(__xludf.DUMMYFUNCTION("""COMPUTED_VALUE"""),"")</f>
        <v/>
      </c>
      <c r="M143" s="5" t="str">
        <f ca="1">IFERROR(__xludf.DUMMYFUNCTION("""COMPUTED_VALUE"""),"")</f>
        <v/>
      </c>
      <c r="N143" s="5" t="str">
        <f ca="1">IFERROR(__xludf.DUMMYFUNCTION("""COMPUTED_VALUE"""),"")</f>
        <v/>
      </c>
      <c r="O143" s="5"/>
      <c r="P143" s="41" t="str">
        <f ca="1">IFERROR(__xludf.DUMMYFUNCTION("""COMPUTED_VALUE"""),"")</f>
        <v/>
      </c>
      <c r="Q143" s="41" t="str">
        <f ca="1">IFERROR(__xludf.DUMMYFUNCTION("""COMPUTED_VALUE"""),"")</f>
        <v/>
      </c>
      <c r="R143" s="5" t="str">
        <f ca="1">IFERROR(__xludf.DUMMYFUNCTION("""COMPUTED_VALUE"""),"")</f>
        <v/>
      </c>
      <c r="S143" s="5" t="str">
        <f ca="1">IFERROR(__xludf.DUMMYFUNCTION("""COMPUTED_VALUE"""),"")</f>
        <v/>
      </c>
      <c r="T143" s="5" t="str">
        <f ca="1">IFERROR(__xludf.DUMMYFUNCTION("""COMPUTED_VALUE"""),"")</f>
        <v/>
      </c>
      <c r="U143" s="5" t="str">
        <f ca="1"/>
        <v/>
      </c>
      <c r="V143" s="5" t="str">
        <f ca="1">IFERROR(__xludf.DUMMYFUNCTION("""COMPUTED_VALUE"""),"")</f>
        <v/>
      </c>
    </row>
    <row r="144" spans="1:22" ht="13.2">
      <c r="A144" s="1" t="e">
        <f ca="1"/>
        <v>#NAME?</v>
      </c>
      <c r="B144" s="30">
        <v>6489</v>
      </c>
      <c r="C144" s="48"/>
      <c r="D144" s="49"/>
      <c r="E144" s="48"/>
      <c r="F144" s="49"/>
      <c r="G144" s="51"/>
      <c r="H144" s="40" t="s">
        <v>38</v>
      </c>
      <c r="I144" s="40" t="s">
        <v>38</v>
      </c>
      <c r="J144" s="4"/>
      <c r="K144" s="41" t="str">
        <f ca="1">IFERROR(__xludf.DUMMYFUNCTION("""COMPUTED_VALUE"""),"")</f>
        <v/>
      </c>
      <c r="L144" s="5" t="str">
        <f ca="1">IFERROR(__xludf.DUMMYFUNCTION("""COMPUTED_VALUE"""),"")</f>
        <v/>
      </c>
      <c r="M144" s="5" t="str">
        <f ca="1">IFERROR(__xludf.DUMMYFUNCTION("""COMPUTED_VALUE"""),"")</f>
        <v/>
      </c>
      <c r="N144" s="5" t="str">
        <f ca="1">IFERROR(__xludf.DUMMYFUNCTION("""COMPUTED_VALUE"""),"")</f>
        <v/>
      </c>
      <c r="O144" s="5"/>
      <c r="P144" s="41" t="str">
        <f ca="1">IFERROR(__xludf.DUMMYFUNCTION("""COMPUTED_VALUE"""),"")</f>
        <v/>
      </c>
      <c r="Q144" s="41" t="str">
        <f ca="1">IFERROR(__xludf.DUMMYFUNCTION("""COMPUTED_VALUE"""),"")</f>
        <v/>
      </c>
      <c r="R144" s="5" t="str">
        <f ca="1">IFERROR(__xludf.DUMMYFUNCTION("""COMPUTED_VALUE"""),"")</f>
        <v/>
      </c>
      <c r="S144" s="5" t="str">
        <f ca="1">IFERROR(__xludf.DUMMYFUNCTION("""COMPUTED_VALUE"""),"")</f>
        <v/>
      </c>
      <c r="T144" s="5" t="str">
        <f ca="1">IFERROR(__xludf.DUMMYFUNCTION("""COMPUTED_VALUE"""),"")</f>
        <v/>
      </c>
      <c r="U144" s="5" t="str">
        <f ca="1"/>
        <v/>
      </c>
      <c r="V144" s="5" t="str">
        <f ca="1">IFERROR(__xludf.DUMMYFUNCTION("""COMPUTED_VALUE"""),"")</f>
        <v/>
      </c>
    </row>
    <row r="145" spans="1:22" ht="13.2">
      <c r="A145" s="1" t="e">
        <f ca="1"/>
        <v>#NAME?</v>
      </c>
      <c r="B145" s="30">
        <v>6546</v>
      </c>
      <c r="C145" s="48"/>
      <c r="D145" s="49"/>
      <c r="E145" s="48"/>
      <c r="F145" s="49"/>
      <c r="G145" s="51"/>
      <c r="H145" s="40" t="s">
        <v>38</v>
      </c>
      <c r="I145" s="40" t="s">
        <v>38</v>
      </c>
      <c r="J145" s="4"/>
      <c r="K145" s="41" t="str">
        <f ca="1">IFERROR(__xludf.DUMMYFUNCTION("""COMPUTED_VALUE"""),"")</f>
        <v/>
      </c>
      <c r="L145" s="5" t="str">
        <f ca="1">IFERROR(__xludf.DUMMYFUNCTION("""COMPUTED_VALUE"""),"")</f>
        <v/>
      </c>
      <c r="M145" s="5" t="str">
        <f ca="1">IFERROR(__xludf.DUMMYFUNCTION("""COMPUTED_VALUE"""),"")</f>
        <v/>
      </c>
      <c r="N145" s="5" t="str">
        <f ca="1">IFERROR(__xludf.DUMMYFUNCTION("""COMPUTED_VALUE"""),"")</f>
        <v/>
      </c>
      <c r="O145" s="5"/>
      <c r="P145" s="41" t="str">
        <f ca="1">IFERROR(__xludf.DUMMYFUNCTION("""COMPUTED_VALUE"""),"")</f>
        <v/>
      </c>
      <c r="Q145" s="41" t="str">
        <f ca="1">IFERROR(__xludf.DUMMYFUNCTION("""COMPUTED_VALUE"""),"")</f>
        <v/>
      </c>
      <c r="R145" s="5" t="str">
        <f ca="1">IFERROR(__xludf.DUMMYFUNCTION("""COMPUTED_VALUE"""),"")</f>
        <v/>
      </c>
      <c r="S145" s="5" t="str">
        <f ca="1">IFERROR(__xludf.DUMMYFUNCTION("""COMPUTED_VALUE"""),"")</f>
        <v/>
      </c>
      <c r="T145" s="5" t="str">
        <f ca="1">IFERROR(__xludf.DUMMYFUNCTION("""COMPUTED_VALUE"""),"")</f>
        <v/>
      </c>
      <c r="U145" s="5" t="str">
        <f ca="1"/>
        <v/>
      </c>
      <c r="V145" s="5" t="str">
        <f ca="1">IFERROR(__xludf.DUMMYFUNCTION("""COMPUTED_VALUE"""),"")</f>
        <v/>
      </c>
    </row>
    <row r="146" spans="1:22" ht="13.2">
      <c r="A146" s="1" t="e">
        <f ca="1"/>
        <v>#NAME?</v>
      </c>
      <c r="B146" s="30">
        <v>6672</v>
      </c>
      <c r="C146" s="48"/>
      <c r="D146" s="49"/>
      <c r="E146" s="48"/>
      <c r="F146" s="49"/>
      <c r="G146" s="51"/>
      <c r="H146" s="40" t="s">
        <v>38</v>
      </c>
      <c r="I146" s="40" t="s">
        <v>38</v>
      </c>
      <c r="J146" s="4"/>
      <c r="K146" s="41" t="str">
        <f ca="1">IFERROR(__xludf.DUMMYFUNCTION("""COMPUTED_VALUE"""),"")</f>
        <v/>
      </c>
      <c r="L146" s="5" t="str">
        <f ca="1">IFERROR(__xludf.DUMMYFUNCTION("""COMPUTED_VALUE"""),"")</f>
        <v/>
      </c>
      <c r="M146" s="5" t="str">
        <f ca="1">IFERROR(__xludf.DUMMYFUNCTION("""COMPUTED_VALUE"""),"")</f>
        <v/>
      </c>
      <c r="N146" s="5" t="str">
        <f ca="1">IFERROR(__xludf.DUMMYFUNCTION("""COMPUTED_VALUE"""),"")</f>
        <v/>
      </c>
      <c r="O146" s="5"/>
      <c r="P146" s="41" t="str">
        <f ca="1">IFERROR(__xludf.DUMMYFUNCTION("""COMPUTED_VALUE"""),"")</f>
        <v/>
      </c>
      <c r="Q146" s="41" t="str">
        <f ca="1">IFERROR(__xludf.DUMMYFUNCTION("""COMPUTED_VALUE"""),"")</f>
        <v/>
      </c>
      <c r="R146" s="5" t="str">
        <f ca="1">IFERROR(__xludf.DUMMYFUNCTION("""COMPUTED_VALUE"""),"")</f>
        <v/>
      </c>
      <c r="S146" s="5" t="str">
        <f ca="1">IFERROR(__xludf.DUMMYFUNCTION("""COMPUTED_VALUE"""),"")</f>
        <v/>
      </c>
      <c r="T146" s="5" t="str">
        <f ca="1">IFERROR(__xludf.DUMMYFUNCTION("""COMPUTED_VALUE"""),"")</f>
        <v/>
      </c>
      <c r="U146" s="5" t="str">
        <f ca="1"/>
        <v/>
      </c>
      <c r="V146" s="5" t="str">
        <f ca="1">IFERROR(__xludf.DUMMYFUNCTION("""COMPUTED_VALUE"""),"")</f>
        <v/>
      </c>
    </row>
    <row r="147" spans="1:22" ht="13.2">
      <c r="A147" s="1" t="e">
        <f ca="1"/>
        <v>#NAME?</v>
      </c>
      <c r="B147" s="30">
        <v>6762</v>
      </c>
      <c r="C147" s="48"/>
      <c r="D147" s="49"/>
      <c r="E147" s="48"/>
      <c r="F147" s="49"/>
      <c r="G147" s="51"/>
      <c r="H147" s="40" t="s">
        <v>38</v>
      </c>
      <c r="I147" s="40" t="s">
        <v>38</v>
      </c>
      <c r="J147" s="4"/>
      <c r="K147" s="41" t="str">
        <f ca="1">IFERROR(__xludf.DUMMYFUNCTION("""COMPUTED_VALUE"""),"")</f>
        <v/>
      </c>
      <c r="L147" s="5" t="str">
        <f ca="1">IFERROR(__xludf.DUMMYFUNCTION("""COMPUTED_VALUE"""),"")</f>
        <v/>
      </c>
      <c r="M147" s="5" t="str">
        <f ca="1">IFERROR(__xludf.DUMMYFUNCTION("""COMPUTED_VALUE"""),"")</f>
        <v/>
      </c>
      <c r="N147" s="5" t="str">
        <f ca="1">IFERROR(__xludf.DUMMYFUNCTION("""COMPUTED_VALUE"""),"")</f>
        <v/>
      </c>
      <c r="O147" s="5"/>
      <c r="P147" s="41" t="str">
        <f ca="1">IFERROR(__xludf.DUMMYFUNCTION("""COMPUTED_VALUE"""),"")</f>
        <v/>
      </c>
      <c r="Q147" s="41" t="str">
        <f ca="1">IFERROR(__xludf.DUMMYFUNCTION("""COMPUTED_VALUE"""),"")</f>
        <v/>
      </c>
      <c r="R147" s="5" t="str">
        <f ca="1">IFERROR(__xludf.DUMMYFUNCTION("""COMPUTED_VALUE"""),"")</f>
        <v/>
      </c>
      <c r="S147" s="5" t="str">
        <f ca="1">IFERROR(__xludf.DUMMYFUNCTION("""COMPUTED_VALUE"""),"")</f>
        <v/>
      </c>
      <c r="T147" s="5" t="str">
        <f ca="1">IFERROR(__xludf.DUMMYFUNCTION("""COMPUTED_VALUE"""),"")</f>
        <v/>
      </c>
      <c r="U147" s="5" t="str">
        <f ca="1"/>
        <v/>
      </c>
      <c r="V147" s="5" t="str">
        <f ca="1">IFERROR(__xludf.DUMMYFUNCTION("""COMPUTED_VALUE"""),"")</f>
        <v/>
      </c>
    </row>
    <row r="148" spans="1:22" ht="13.2">
      <c r="A148" s="1" t="e">
        <f ca="1"/>
        <v>#NAME?</v>
      </c>
      <c r="B148" s="30">
        <v>6913</v>
      </c>
      <c r="C148" s="48"/>
      <c r="D148" s="49"/>
      <c r="E148" s="48"/>
      <c r="F148" s="49"/>
      <c r="G148" s="51"/>
      <c r="H148" s="40" t="s">
        <v>38</v>
      </c>
      <c r="I148" s="40" t="s">
        <v>38</v>
      </c>
      <c r="J148" s="4"/>
      <c r="K148" s="41" t="str">
        <f ca="1">IFERROR(__xludf.DUMMYFUNCTION("""COMPUTED_VALUE"""),"")</f>
        <v/>
      </c>
      <c r="L148" s="5" t="str">
        <f ca="1">IFERROR(__xludf.DUMMYFUNCTION("""COMPUTED_VALUE"""),"")</f>
        <v/>
      </c>
      <c r="M148" s="5" t="str">
        <f ca="1">IFERROR(__xludf.DUMMYFUNCTION("""COMPUTED_VALUE"""),"")</f>
        <v/>
      </c>
      <c r="N148" s="5" t="str">
        <f ca="1">IFERROR(__xludf.DUMMYFUNCTION("""COMPUTED_VALUE"""),"")</f>
        <v/>
      </c>
      <c r="O148" s="5"/>
      <c r="P148" s="41" t="str">
        <f ca="1">IFERROR(__xludf.DUMMYFUNCTION("""COMPUTED_VALUE"""),"")</f>
        <v/>
      </c>
      <c r="Q148" s="41" t="str">
        <f ca="1">IFERROR(__xludf.DUMMYFUNCTION("""COMPUTED_VALUE"""),"")</f>
        <v/>
      </c>
      <c r="R148" s="5" t="str">
        <f ca="1">IFERROR(__xludf.DUMMYFUNCTION("""COMPUTED_VALUE"""),"")</f>
        <v/>
      </c>
      <c r="S148" s="5" t="str">
        <f ca="1">IFERROR(__xludf.DUMMYFUNCTION("""COMPUTED_VALUE"""),"")</f>
        <v/>
      </c>
      <c r="T148" s="5" t="str">
        <f ca="1">IFERROR(__xludf.DUMMYFUNCTION("""COMPUTED_VALUE"""),"")</f>
        <v/>
      </c>
      <c r="U148" s="5" t="str">
        <f ca="1"/>
        <v/>
      </c>
      <c r="V148" s="5" t="str">
        <f ca="1">IFERROR(__xludf.DUMMYFUNCTION("""COMPUTED_VALUE"""),"")</f>
        <v/>
      </c>
    </row>
    <row r="149" spans="1:22" ht="13.2">
      <c r="A149" s="1" t="e">
        <f ca="1"/>
        <v>#NAME?</v>
      </c>
      <c r="B149" s="30">
        <v>6963</v>
      </c>
      <c r="C149" s="48"/>
      <c r="D149" s="49"/>
      <c r="E149" s="48"/>
      <c r="F149" s="49"/>
      <c r="G149" s="51"/>
      <c r="H149" s="40" t="s">
        <v>38</v>
      </c>
      <c r="I149" s="40" t="s">
        <v>38</v>
      </c>
      <c r="J149" s="4"/>
      <c r="K149" s="41" t="str">
        <f ca="1">IFERROR(__xludf.DUMMYFUNCTION("""COMPUTED_VALUE"""),"")</f>
        <v/>
      </c>
      <c r="L149" s="5" t="str">
        <f ca="1">IFERROR(__xludf.DUMMYFUNCTION("""COMPUTED_VALUE"""),"")</f>
        <v/>
      </c>
      <c r="M149" s="5" t="str">
        <f ca="1">IFERROR(__xludf.DUMMYFUNCTION("""COMPUTED_VALUE"""),"")</f>
        <v/>
      </c>
      <c r="N149" s="5" t="str">
        <f ca="1">IFERROR(__xludf.DUMMYFUNCTION("""COMPUTED_VALUE"""),"")</f>
        <v/>
      </c>
      <c r="O149" s="5"/>
      <c r="P149" s="41" t="str">
        <f ca="1">IFERROR(__xludf.DUMMYFUNCTION("""COMPUTED_VALUE"""),"")</f>
        <v/>
      </c>
      <c r="Q149" s="41" t="str">
        <f ca="1">IFERROR(__xludf.DUMMYFUNCTION("""COMPUTED_VALUE"""),"")</f>
        <v/>
      </c>
      <c r="R149" s="5" t="str">
        <f ca="1">IFERROR(__xludf.DUMMYFUNCTION("""COMPUTED_VALUE"""),"")</f>
        <v/>
      </c>
      <c r="S149" s="5" t="str">
        <f ca="1">IFERROR(__xludf.DUMMYFUNCTION("""COMPUTED_VALUE"""),"")</f>
        <v/>
      </c>
      <c r="T149" s="5" t="str">
        <f ca="1">IFERROR(__xludf.DUMMYFUNCTION("""COMPUTED_VALUE"""),"")</f>
        <v/>
      </c>
      <c r="U149" s="5" t="str">
        <f ca="1"/>
        <v/>
      </c>
      <c r="V149" s="5" t="str">
        <f ca="1">IFERROR(__xludf.DUMMYFUNCTION("""COMPUTED_VALUE"""),"")</f>
        <v/>
      </c>
    </row>
    <row r="150" spans="1:22" ht="13.2">
      <c r="A150" s="1" t="e">
        <f ca="1"/>
        <v>#NAME?</v>
      </c>
      <c r="B150" s="30">
        <v>7373</v>
      </c>
      <c r="C150" s="48"/>
      <c r="D150" s="49"/>
      <c r="E150" s="48"/>
      <c r="F150" s="49"/>
      <c r="G150" s="51"/>
      <c r="H150" s="40" t="s">
        <v>38</v>
      </c>
      <c r="I150" s="40" t="s">
        <v>38</v>
      </c>
      <c r="J150" s="4"/>
      <c r="K150" s="41" t="str">
        <f ca="1">IFERROR(__xludf.DUMMYFUNCTION("""COMPUTED_VALUE"""),"")</f>
        <v/>
      </c>
      <c r="L150" s="5" t="str">
        <f ca="1">IFERROR(__xludf.DUMMYFUNCTION("""COMPUTED_VALUE"""),"")</f>
        <v/>
      </c>
      <c r="M150" s="5" t="str">
        <f ca="1">IFERROR(__xludf.DUMMYFUNCTION("""COMPUTED_VALUE"""),"")</f>
        <v/>
      </c>
      <c r="N150" s="5" t="str">
        <f ca="1">IFERROR(__xludf.DUMMYFUNCTION("""COMPUTED_VALUE"""),"")</f>
        <v/>
      </c>
      <c r="O150" s="5"/>
      <c r="P150" s="41" t="str">
        <f ca="1">IFERROR(__xludf.DUMMYFUNCTION("""COMPUTED_VALUE"""),"")</f>
        <v/>
      </c>
      <c r="Q150" s="41" t="str">
        <f ca="1">IFERROR(__xludf.DUMMYFUNCTION("""COMPUTED_VALUE"""),"")</f>
        <v/>
      </c>
      <c r="R150" s="5" t="str">
        <f ca="1">IFERROR(__xludf.DUMMYFUNCTION("""COMPUTED_VALUE"""),"")</f>
        <v/>
      </c>
      <c r="S150" s="5" t="str">
        <f ca="1">IFERROR(__xludf.DUMMYFUNCTION("""COMPUTED_VALUE"""),"")</f>
        <v/>
      </c>
      <c r="T150" s="5" t="str">
        <f ca="1">IFERROR(__xludf.DUMMYFUNCTION("""COMPUTED_VALUE"""),"")</f>
        <v/>
      </c>
      <c r="U150" s="5" t="str">
        <f ca="1"/>
        <v/>
      </c>
      <c r="V150" s="5" t="str">
        <f ca="1">IFERROR(__xludf.DUMMYFUNCTION("""COMPUTED_VALUE"""),"")</f>
        <v/>
      </c>
    </row>
    <row r="151" spans="1:22" ht="13.2">
      <c r="A151" s="1" t="e">
        <f ca="1"/>
        <v>#NAME?</v>
      </c>
      <c r="B151" s="30">
        <v>7778</v>
      </c>
      <c r="C151" s="48"/>
      <c r="D151" s="49"/>
      <c r="E151" s="48"/>
      <c r="F151" s="49"/>
      <c r="G151" s="51"/>
      <c r="H151" s="40" t="s">
        <v>38</v>
      </c>
      <c r="I151" s="40" t="s">
        <v>38</v>
      </c>
      <c r="J151" s="4"/>
      <c r="K151" s="41" t="str">
        <f ca="1">IFERROR(__xludf.DUMMYFUNCTION("""COMPUTED_VALUE"""),"")</f>
        <v/>
      </c>
      <c r="L151" s="5" t="str">
        <f ca="1">IFERROR(__xludf.DUMMYFUNCTION("""COMPUTED_VALUE"""),"")</f>
        <v/>
      </c>
      <c r="M151" s="5" t="str">
        <f ca="1">IFERROR(__xludf.DUMMYFUNCTION("""COMPUTED_VALUE"""),"")</f>
        <v/>
      </c>
      <c r="N151" s="5" t="str">
        <f ca="1">IFERROR(__xludf.DUMMYFUNCTION("""COMPUTED_VALUE"""),"")</f>
        <v/>
      </c>
      <c r="O151" s="5"/>
      <c r="P151" s="41" t="str">
        <f ca="1">IFERROR(__xludf.DUMMYFUNCTION("""COMPUTED_VALUE"""),"")</f>
        <v/>
      </c>
      <c r="Q151" s="41" t="str">
        <f ca="1">IFERROR(__xludf.DUMMYFUNCTION("""COMPUTED_VALUE"""),"")</f>
        <v/>
      </c>
      <c r="R151" s="5" t="str">
        <f ca="1">IFERROR(__xludf.DUMMYFUNCTION("""COMPUTED_VALUE"""),"")</f>
        <v/>
      </c>
      <c r="S151" s="5" t="str">
        <f ca="1">IFERROR(__xludf.DUMMYFUNCTION("""COMPUTED_VALUE"""),"")</f>
        <v/>
      </c>
      <c r="T151" s="5" t="str">
        <f ca="1">IFERROR(__xludf.DUMMYFUNCTION("""COMPUTED_VALUE"""),"")</f>
        <v/>
      </c>
      <c r="U151" s="5" t="str">
        <f ca="1"/>
        <v/>
      </c>
      <c r="V151" s="5" t="str">
        <f ca="1">IFERROR(__xludf.DUMMYFUNCTION("""COMPUTED_VALUE"""),"")</f>
        <v/>
      </c>
    </row>
    <row r="152" spans="1:22" ht="13.2">
      <c r="A152" s="1" t="e">
        <f ca="1"/>
        <v>#NAME?</v>
      </c>
      <c r="B152" s="30">
        <v>7789</v>
      </c>
      <c r="C152" s="48"/>
      <c r="D152" s="49"/>
      <c r="E152" s="48"/>
      <c r="F152" s="49"/>
      <c r="G152" s="51"/>
      <c r="H152" s="40" t="s">
        <v>38</v>
      </c>
      <c r="I152" s="40" t="s">
        <v>38</v>
      </c>
      <c r="J152" s="4"/>
      <c r="K152" s="41" t="str">
        <f ca="1">IFERROR(__xludf.DUMMYFUNCTION("""COMPUTED_VALUE"""),"")</f>
        <v/>
      </c>
      <c r="L152" s="5" t="str">
        <f ca="1">IFERROR(__xludf.DUMMYFUNCTION("""COMPUTED_VALUE"""),"")</f>
        <v/>
      </c>
      <c r="M152" s="5" t="str">
        <f ca="1">IFERROR(__xludf.DUMMYFUNCTION("""COMPUTED_VALUE"""),"")</f>
        <v/>
      </c>
      <c r="N152" s="5" t="str">
        <f ca="1">IFERROR(__xludf.DUMMYFUNCTION("""COMPUTED_VALUE"""),"")</f>
        <v/>
      </c>
      <c r="O152" s="5"/>
      <c r="P152" s="41" t="str">
        <f ca="1">IFERROR(__xludf.DUMMYFUNCTION("""COMPUTED_VALUE"""),"")</f>
        <v/>
      </c>
      <c r="Q152" s="41" t="str">
        <f ca="1">IFERROR(__xludf.DUMMYFUNCTION("""COMPUTED_VALUE"""),"")</f>
        <v/>
      </c>
      <c r="R152" s="5" t="str">
        <f ca="1">IFERROR(__xludf.DUMMYFUNCTION("""COMPUTED_VALUE"""),"")</f>
        <v/>
      </c>
      <c r="S152" s="5" t="str">
        <f ca="1">IFERROR(__xludf.DUMMYFUNCTION("""COMPUTED_VALUE"""),"")</f>
        <v/>
      </c>
      <c r="T152" s="5" t="str">
        <f ca="1">IFERROR(__xludf.DUMMYFUNCTION("""COMPUTED_VALUE"""),"")</f>
        <v/>
      </c>
      <c r="U152" s="5" t="str">
        <f ca="1"/>
        <v/>
      </c>
      <c r="V152" s="5" t="str">
        <f ca="1">IFERROR(__xludf.DUMMYFUNCTION("""COMPUTED_VALUE"""),"")</f>
        <v/>
      </c>
    </row>
    <row r="153" spans="1:22" ht="13.2">
      <c r="A153" s="1" t="e">
        <f ca="1"/>
        <v>#NAME?</v>
      </c>
      <c r="B153" s="30">
        <v>7838</v>
      </c>
      <c r="C153" s="48"/>
      <c r="D153" s="49"/>
      <c r="E153" s="48"/>
      <c r="F153" s="49"/>
      <c r="G153" s="51"/>
      <c r="H153" s="40" t="s">
        <v>38</v>
      </c>
      <c r="I153" s="40" t="s">
        <v>38</v>
      </c>
      <c r="J153" s="4"/>
      <c r="K153" s="41" t="str">
        <f ca="1">IFERROR(__xludf.DUMMYFUNCTION("""COMPUTED_VALUE"""),"")</f>
        <v/>
      </c>
      <c r="L153" s="5" t="str">
        <f ca="1">IFERROR(__xludf.DUMMYFUNCTION("""COMPUTED_VALUE"""),"")</f>
        <v/>
      </c>
      <c r="M153" s="5" t="str">
        <f ca="1">IFERROR(__xludf.DUMMYFUNCTION("""COMPUTED_VALUE"""),"")</f>
        <v/>
      </c>
      <c r="N153" s="5" t="str">
        <f ca="1">IFERROR(__xludf.DUMMYFUNCTION("""COMPUTED_VALUE"""),"")</f>
        <v/>
      </c>
      <c r="O153" s="5"/>
      <c r="P153" s="41" t="str">
        <f ca="1">IFERROR(__xludf.DUMMYFUNCTION("""COMPUTED_VALUE"""),"")</f>
        <v/>
      </c>
      <c r="Q153" s="41" t="str">
        <f ca="1">IFERROR(__xludf.DUMMYFUNCTION("""COMPUTED_VALUE"""),"")</f>
        <v/>
      </c>
      <c r="R153" s="5" t="str">
        <f ca="1">IFERROR(__xludf.DUMMYFUNCTION("""COMPUTED_VALUE"""),"")</f>
        <v/>
      </c>
      <c r="S153" s="5" t="str">
        <f ca="1">IFERROR(__xludf.DUMMYFUNCTION("""COMPUTED_VALUE"""),"")</f>
        <v/>
      </c>
      <c r="T153" s="5" t="str">
        <f ca="1">IFERROR(__xludf.DUMMYFUNCTION("""COMPUTED_VALUE"""),"")</f>
        <v/>
      </c>
      <c r="U153" s="5" t="str">
        <f ca="1"/>
        <v/>
      </c>
      <c r="V153" s="5" t="str">
        <f ca="1">IFERROR(__xludf.DUMMYFUNCTION("""COMPUTED_VALUE"""),"")</f>
        <v/>
      </c>
    </row>
    <row r="154" spans="1:22" ht="13.2">
      <c r="A154" s="1" t="e">
        <f ca="1"/>
        <v>#NAME?</v>
      </c>
      <c r="B154" s="30">
        <v>8046</v>
      </c>
      <c r="C154" s="48"/>
      <c r="D154" s="49"/>
      <c r="E154" s="48"/>
      <c r="F154" s="49"/>
      <c r="G154" s="51"/>
      <c r="H154" s="40" t="s">
        <v>38</v>
      </c>
      <c r="I154" s="40" t="s">
        <v>38</v>
      </c>
      <c r="J154" s="4"/>
      <c r="K154" s="41" t="str">
        <f ca="1">IFERROR(__xludf.DUMMYFUNCTION("""COMPUTED_VALUE"""),"")</f>
        <v/>
      </c>
      <c r="L154" s="5" t="str">
        <f ca="1">IFERROR(__xludf.DUMMYFUNCTION("""COMPUTED_VALUE"""),"")</f>
        <v/>
      </c>
      <c r="M154" s="5" t="str">
        <f ca="1">IFERROR(__xludf.DUMMYFUNCTION("""COMPUTED_VALUE"""),"")</f>
        <v/>
      </c>
      <c r="N154" s="5" t="str">
        <f ca="1">IFERROR(__xludf.DUMMYFUNCTION("""COMPUTED_VALUE"""),"")</f>
        <v/>
      </c>
      <c r="O154" s="5"/>
      <c r="P154" s="41" t="str">
        <f ca="1">IFERROR(__xludf.DUMMYFUNCTION("""COMPUTED_VALUE"""),"")</f>
        <v/>
      </c>
      <c r="Q154" s="41" t="str">
        <f ca="1">IFERROR(__xludf.DUMMYFUNCTION("""COMPUTED_VALUE"""),"")</f>
        <v/>
      </c>
      <c r="R154" s="5" t="str">
        <f ca="1">IFERROR(__xludf.DUMMYFUNCTION("""COMPUTED_VALUE"""),"")</f>
        <v/>
      </c>
      <c r="S154" s="5" t="str">
        <f ca="1">IFERROR(__xludf.DUMMYFUNCTION("""COMPUTED_VALUE"""),"")</f>
        <v/>
      </c>
      <c r="T154" s="5" t="str">
        <f ca="1">IFERROR(__xludf.DUMMYFUNCTION("""COMPUTED_VALUE"""),"")</f>
        <v/>
      </c>
      <c r="U154" s="5" t="str">
        <f ca="1"/>
        <v/>
      </c>
      <c r="V154" s="5" t="str">
        <f ca="1">IFERROR(__xludf.DUMMYFUNCTION("""COMPUTED_VALUE"""),"")</f>
        <v/>
      </c>
    </row>
    <row r="155" spans="1:22" ht="13.2">
      <c r="A155" s="1" t="e">
        <f ca="1"/>
        <v>#NAME?</v>
      </c>
      <c r="B155" s="30">
        <v>8342</v>
      </c>
      <c r="C155" s="48"/>
      <c r="D155" s="49"/>
      <c r="E155" s="48"/>
      <c r="F155" s="49"/>
      <c r="G155" s="51"/>
      <c r="H155" s="40" t="s">
        <v>38</v>
      </c>
      <c r="I155" s="40" t="s">
        <v>38</v>
      </c>
      <c r="J155" s="4"/>
      <c r="K155" s="41" t="str">
        <f ca="1">IFERROR(__xludf.DUMMYFUNCTION("""COMPUTED_VALUE"""),"")</f>
        <v/>
      </c>
      <c r="L155" s="5" t="str">
        <f ca="1">IFERROR(__xludf.DUMMYFUNCTION("""COMPUTED_VALUE"""),"")</f>
        <v/>
      </c>
      <c r="M155" s="5" t="str">
        <f ca="1">IFERROR(__xludf.DUMMYFUNCTION("""COMPUTED_VALUE"""),"")</f>
        <v/>
      </c>
      <c r="N155" s="5" t="str">
        <f ca="1">IFERROR(__xludf.DUMMYFUNCTION("""COMPUTED_VALUE"""),"")</f>
        <v/>
      </c>
      <c r="O155" s="5"/>
      <c r="P155" s="41" t="str">
        <f ca="1">IFERROR(__xludf.DUMMYFUNCTION("""COMPUTED_VALUE"""),"")</f>
        <v/>
      </c>
      <c r="Q155" s="41" t="str">
        <f ca="1">IFERROR(__xludf.DUMMYFUNCTION("""COMPUTED_VALUE"""),"")</f>
        <v/>
      </c>
      <c r="R155" s="5" t="str">
        <f ca="1">IFERROR(__xludf.DUMMYFUNCTION("""COMPUTED_VALUE"""),"")</f>
        <v/>
      </c>
      <c r="S155" s="5" t="str">
        <f ca="1">IFERROR(__xludf.DUMMYFUNCTION("""COMPUTED_VALUE"""),"")</f>
        <v/>
      </c>
      <c r="T155" s="5" t="str">
        <f ca="1">IFERROR(__xludf.DUMMYFUNCTION("""COMPUTED_VALUE"""),"")</f>
        <v/>
      </c>
      <c r="U155" s="5" t="str">
        <f ca="1"/>
        <v/>
      </c>
      <c r="V155" s="5" t="str">
        <f ca="1">IFERROR(__xludf.DUMMYFUNCTION("""COMPUTED_VALUE"""),"")</f>
        <v/>
      </c>
    </row>
    <row r="156" spans="1:22" ht="13.2">
      <c r="A156" s="1" t="e">
        <f ca="1"/>
        <v>#NAME?</v>
      </c>
      <c r="B156" s="30">
        <v>8514</v>
      </c>
      <c r="C156" s="48"/>
      <c r="D156" s="49"/>
      <c r="E156" s="48"/>
      <c r="F156" s="49"/>
      <c r="G156" s="51"/>
      <c r="H156" s="40" t="s">
        <v>38</v>
      </c>
      <c r="I156" s="40" t="s">
        <v>38</v>
      </c>
      <c r="J156" s="4"/>
      <c r="K156" s="41" t="str">
        <f ca="1">IFERROR(__xludf.DUMMYFUNCTION("""COMPUTED_VALUE"""),"")</f>
        <v/>
      </c>
      <c r="L156" s="5" t="str">
        <f ca="1">IFERROR(__xludf.DUMMYFUNCTION("""COMPUTED_VALUE"""),"")</f>
        <v/>
      </c>
      <c r="M156" s="5" t="str">
        <f ca="1">IFERROR(__xludf.DUMMYFUNCTION("""COMPUTED_VALUE"""),"")</f>
        <v/>
      </c>
      <c r="N156" s="5" t="str">
        <f ca="1">IFERROR(__xludf.DUMMYFUNCTION("""COMPUTED_VALUE"""),"")</f>
        <v/>
      </c>
      <c r="O156" s="5"/>
      <c r="P156" s="41" t="str">
        <f ca="1">IFERROR(__xludf.DUMMYFUNCTION("""COMPUTED_VALUE"""),"")</f>
        <v/>
      </c>
      <c r="Q156" s="41" t="str">
        <f ca="1">IFERROR(__xludf.DUMMYFUNCTION("""COMPUTED_VALUE"""),"")</f>
        <v/>
      </c>
      <c r="R156" s="5" t="str">
        <f ca="1">IFERROR(__xludf.DUMMYFUNCTION("""COMPUTED_VALUE"""),"")</f>
        <v/>
      </c>
      <c r="S156" s="5" t="str">
        <f ca="1">IFERROR(__xludf.DUMMYFUNCTION("""COMPUTED_VALUE"""),"")</f>
        <v/>
      </c>
      <c r="T156" s="5" t="str">
        <f ca="1">IFERROR(__xludf.DUMMYFUNCTION("""COMPUTED_VALUE"""),"")</f>
        <v/>
      </c>
      <c r="U156" s="5" t="str">
        <f ca="1"/>
        <v/>
      </c>
      <c r="V156" s="5" t="str">
        <f ca="1">IFERROR(__xludf.DUMMYFUNCTION("""COMPUTED_VALUE"""),"")</f>
        <v/>
      </c>
    </row>
    <row r="157" spans="1:22" ht="13.2">
      <c r="A157" s="1" t="e">
        <f ca="1"/>
        <v>#NAME?</v>
      </c>
      <c r="B157" s="30">
        <v>8896</v>
      </c>
      <c r="C157" s="48"/>
      <c r="D157" s="49"/>
      <c r="E157" s="48"/>
      <c r="F157" s="49"/>
      <c r="G157" s="51"/>
      <c r="H157" s="40" t="s">
        <v>38</v>
      </c>
      <c r="I157" s="40" t="s">
        <v>38</v>
      </c>
      <c r="J157" s="4"/>
      <c r="K157" s="41" t="str">
        <f ca="1">IFERROR(__xludf.DUMMYFUNCTION("""COMPUTED_VALUE"""),"")</f>
        <v/>
      </c>
      <c r="L157" s="5" t="str">
        <f ca="1">IFERROR(__xludf.DUMMYFUNCTION("""COMPUTED_VALUE"""),"")</f>
        <v/>
      </c>
      <c r="M157" s="5" t="str">
        <f ca="1">IFERROR(__xludf.DUMMYFUNCTION("""COMPUTED_VALUE"""),"")</f>
        <v/>
      </c>
      <c r="N157" s="5" t="str">
        <f ca="1">IFERROR(__xludf.DUMMYFUNCTION("""COMPUTED_VALUE"""),"")</f>
        <v/>
      </c>
      <c r="O157" s="5"/>
      <c r="P157" s="41" t="str">
        <f ca="1">IFERROR(__xludf.DUMMYFUNCTION("""COMPUTED_VALUE"""),"")</f>
        <v/>
      </c>
      <c r="Q157" s="41" t="str">
        <f ca="1">IFERROR(__xludf.DUMMYFUNCTION("""COMPUTED_VALUE"""),"")</f>
        <v/>
      </c>
      <c r="R157" s="5" t="str">
        <f ca="1">IFERROR(__xludf.DUMMYFUNCTION("""COMPUTED_VALUE"""),"")</f>
        <v/>
      </c>
      <c r="S157" s="5" t="str">
        <f ca="1">IFERROR(__xludf.DUMMYFUNCTION("""COMPUTED_VALUE"""),"")</f>
        <v/>
      </c>
      <c r="T157" s="5" t="str">
        <f ca="1">IFERROR(__xludf.DUMMYFUNCTION("""COMPUTED_VALUE"""),"")</f>
        <v/>
      </c>
      <c r="U157" s="5" t="str">
        <f ca="1"/>
        <v/>
      </c>
      <c r="V157" s="5" t="str">
        <f ca="1">IFERROR(__xludf.DUMMYFUNCTION("""COMPUTED_VALUE"""),"")</f>
        <v/>
      </c>
    </row>
    <row r="158" spans="1:22" ht="13.2">
      <c r="A158" s="1" t="e">
        <f ca="1"/>
        <v>#NAME?</v>
      </c>
      <c r="B158" s="30">
        <v>8912</v>
      </c>
      <c r="C158" s="48"/>
      <c r="D158" s="49"/>
      <c r="E158" s="48"/>
      <c r="F158" s="49"/>
      <c r="G158" s="51"/>
      <c r="H158" s="40" t="s">
        <v>38</v>
      </c>
      <c r="I158" s="40" t="s">
        <v>38</v>
      </c>
      <c r="J158" s="4"/>
      <c r="K158" s="41" t="str">
        <f ca="1">IFERROR(__xludf.DUMMYFUNCTION("""COMPUTED_VALUE"""),"")</f>
        <v/>
      </c>
      <c r="L158" s="5" t="str">
        <f ca="1">IFERROR(__xludf.DUMMYFUNCTION("""COMPUTED_VALUE"""),"")</f>
        <v/>
      </c>
      <c r="M158" s="5" t="str">
        <f ca="1">IFERROR(__xludf.DUMMYFUNCTION("""COMPUTED_VALUE"""),"")</f>
        <v/>
      </c>
      <c r="N158" s="5" t="str">
        <f ca="1">IFERROR(__xludf.DUMMYFUNCTION("""COMPUTED_VALUE"""),"")</f>
        <v/>
      </c>
      <c r="O158" s="5"/>
      <c r="P158" s="41" t="str">
        <f ca="1">IFERROR(__xludf.DUMMYFUNCTION("""COMPUTED_VALUE"""),"")</f>
        <v/>
      </c>
      <c r="Q158" s="41" t="str">
        <f ca="1">IFERROR(__xludf.DUMMYFUNCTION("""COMPUTED_VALUE"""),"")</f>
        <v/>
      </c>
      <c r="R158" s="5" t="str">
        <f ca="1">IFERROR(__xludf.DUMMYFUNCTION("""COMPUTED_VALUE"""),"")</f>
        <v/>
      </c>
      <c r="S158" s="5" t="str">
        <f ca="1">IFERROR(__xludf.DUMMYFUNCTION("""COMPUTED_VALUE"""),"")</f>
        <v/>
      </c>
      <c r="T158" s="5" t="str">
        <f ca="1">IFERROR(__xludf.DUMMYFUNCTION("""COMPUTED_VALUE"""),"")</f>
        <v/>
      </c>
      <c r="U158" s="5" t="str">
        <f ca="1"/>
        <v/>
      </c>
      <c r="V158" s="5" t="str">
        <f ca="1">IFERROR(__xludf.DUMMYFUNCTION("""COMPUTED_VALUE"""),"")</f>
        <v/>
      </c>
    </row>
    <row r="159" spans="1:22" ht="13.2">
      <c r="A159" s="1" t="e">
        <f ca="1"/>
        <v>#NAME?</v>
      </c>
      <c r="B159" s="30">
        <v>9079</v>
      </c>
      <c r="C159" s="48"/>
      <c r="D159" s="49"/>
      <c r="E159" s="48"/>
      <c r="F159" s="49"/>
      <c r="G159" s="51"/>
      <c r="H159" s="40" t="s">
        <v>38</v>
      </c>
      <c r="I159" s="40" t="s">
        <v>38</v>
      </c>
      <c r="J159" s="4"/>
      <c r="K159" s="41" t="str">
        <f ca="1">IFERROR(__xludf.DUMMYFUNCTION("""COMPUTED_VALUE"""),"")</f>
        <v/>
      </c>
      <c r="L159" s="5" t="str">
        <f ca="1">IFERROR(__xludf.DUMMYFUNCTION("""COMPUTED_VALUE"""),"")</f>
        <v/>
      </c>
      <c r="M159" s="5" t="str">
        <f ca="1">IFERROR(__xludf.DUMMYFUNCTION("""COMPUTED_VALUE"""),"")</f>
        <v/>
      </c>
      <c r="N159" s="5" t="str">
        <f ca="1">IFERROR(__xludf.DUMMYFUNCTION("""COMPUTED_VALUE"""),"")</f>
        <v/>
      </c>
      <c r="O159" s="5"/>
      <c r="P159" s="41" t="str">
        <f ca="1">IFERROR(__xludf.DUMMYFUNCTION("""COMPUTED_VALUE"""),"")</f>
        <v/>
      </c>
      <c r="Q159" s="41" t="str">
        <f ca="1">IFERROR(__xludf.DUMMYFUNCTION("""COMPUTED_VALUE"""),"")</f>
        <v/>
      </c>
      <c r="R159" s="5" t="str">
        <f ca="1">IFERROR(__xludf.DUMMYFUNCTION("""COMPUTED_VALUE"""),"")</f>
        <v/>
      </c>
      <c r="S159" s="5" t="str">
        <f ca="1">IFERROR(__xludf.DUMMYFUNCTION("""COMPUTED_VALUE"""),"")</f>
        <v/>
      </c>
      <c r="T159" s="5" t="str">
        <f ca="1">IFERROR(__xludf.DUMMYFUNCTION("""COMPUTED_VALUE"""),"")</f>
        <v/>
      </c>
      <c r="U159" s="5" t="str">
        <f ca="1"/>
        <v/>
      </c>
      <c r="V159" s="5" t="str">
        <f ca="1">IFERROR(__xludf.DUMMYFUNCTION("""COMPUTED_VALUE"""),"")</f>
        <v/>
      </c>
    </row>
    <row r="160" spans="1:22" ht="13.2">
      <c r="A160" s="1" t="e">
        <f ca="1"/>
        <v>#NAME?</v>
      </c>
      <c r="B160" s="30">
        <v>9254</v>
      </c>
      <c r="C160" s="48"/>
      <c r="D160" s="49"/>
      <c r="E160" s="48"/>
      <c r="F160" s="49"/>
      <c r="G160" s="51"/>
      <c r="H160" s="40" t="s">
        <v>38</v>
      </c>
      <c r="I160" s="40" t="s">
        <v>38</v>
      </c>
      <c r="J160" s="4"/>
      <c r="K160" s="41" t="str">
        <f ca="1">IFERROR(__xludf.DUMMYFUNCTION("""COMPUTED_VALUE"""),"")</f>
        <v/>
      </c>
      <c r="L160" s="5" t="str">
        <f ca="1">IFERROR(__xludf.DUMMYFUNCTION("""COMPUTED_VALUE"""),"")</f>
        <v/>
      </c>
      <c r="M160" s="5" t="str">
        <f ca="1">IFERROR(__xludf.DUMMYFUNCTION("""COMPUTED_VALUE"""),"")</f>
        <v/>
      </c>
      <c r="N160" s="5" t="str">
        <f ca="1">IFERROR(__xludf.DUMMYFUNCTION("""COMPUTED_VALUE"""),"")</f>
        <v/>
      </c>
      <c r="O160" s="5"/>
      <c r="P160" s="41" t="str">
        <f ca="1">IFERROR(__xludf.DUMMYFUNCTION("""COMPUTED_VALUE"""),"")</f>
        <v/>
      </c>
      <c r="Q160" s="41" t="str">
        <f ca="1">IFERROR(__xludf.DUMMYFUNCTION("""COMPUTED_VALUE"""),"")</f>
        <v/>
      </c>
      <c r="R160" s="5" t="str">
        <f ca="1">IFERROR(__xludf.DUMMYFUNCTION("""COMPUTED_VALUE"""),"")</f>
        <v/>
      </c>
      <c r="S160" s="5" t="str">
        <f ca="1">IFERROR(__xludf.DUMMYFUNCTION("""COMPUTED_VALUE"""),"")</f>
        <v/>
      </c>
      <c r="T160" s="5" t="str">
        <f ca="1">IFERROR(__xludf.DUMMYFUNCTION("""COMPUTED_VALUE"""),"")</f>
        <v/>
      </c>
      <c r="U160" s="5" t="str">
        <f ca="1"/>
        <v/>
      </c>
      <c r="V160" s="5" t="str">
        <f ca="1">IFERROR(__xludf.DUMMYFUNCTION("""COMPUTED_VALUE"""),"")</f>
        <v/>
      </c>
    </row>
    <row r="161" spans="1:22" ht="13.2">
      <c r="A161" s="1" t="e">
        <f ca="1"/>
        <v>#NAME?</v>
      </c>
      <c r="B161" s="30">
        <v>9659</v>
      </c>
      <c r="C161" s="48"/>
      <c r="D161" s="49"/>
      <c r="E161" s="48"/>
      <c r="F161" s="49"/>
      <c r="G161" s="51"/>
      <c r="H161" s="40" t="s">
        <v>38</v>
      </c>
      <c r="I161" s="40" t="s">
        <v>38</v>
      </c>
      <c r="J161" s="4"/>
      <c r="K161" s="41" t="str">
        <f ca="1">IFERROR(__xludf.DUMMYFUNCTION("""COMPUTED_VALUE"""),"")</f>
        <v/>
      </c>
      <c r="L161" s="5" t="str">
        <f ca="1">IFERROR(__xludf.DUMMYFUNCTION("""COMPUTED_VALUE"""),"")</f>
        <v/>
      </c>
      <c r="M161" s="5" t="str">
        <f ca="1">IFERROR(__xludf.DUMMYFUNCTION("""COMPUTED_VALUE"""),"")</f>
        <v/>
      </c>
      <c r="N161" s="5" t="str">
        <f ca="1">IFERROR(__xludf.DUMMYFUNCTION("""COMPUTED_VALUE"""),"")</f>
        <v/>
      </c>
      <c r="O161" s="5"/>
      <c r="P161" s="41" t="str">
        <f ca="1">IFERROR(__xludf.DUMMYFUNCTION("""COMPUTED_VALUE"""),"")</f>
        <v/>
      </c>
      <c r="Q161" s="41" t="str">
        <f ca="1">IFERROR(__xludf.DUMMYFUNCTION("""COMPUTED_VALUE"""),"")</f>
        <v/>
      </c>
      <c r="R161" s="5" t="str">
        <f ca="1">IFERROR(__xludf.DUMMYFUNCTION("""COMPUTED_VALUE"""),"")</f>
        <v/>
      </c>
      <c r="S161" s="5" t="str">
        <f ca="1">IFERROR(__xludf.DUMMYFUNCTION("""COMPUTED_VALUE"""),"")</f>
        <v/>
      </c>
      <c r="T161" s="5" t="str">
        <f ca="1">IFERROR(__xludf.DUMMYFUNCTION("""COMPUTED_VALUE"""),"")</f>
        <v/>
      </c>
      <c r="U161" s="5" t="str">
        <f ca="1"/>
        <v/>
      </c>
      <c r="V161" s="5" t="str">
        <f ca="1">IFERROR(__xludf.DUMMYFUNCTION("""COMPUTED_VALUE"""),"")</f>
        <v/>
      </c>
    </row>
    <row r="162" spans="1:22" ht="13.2">
      <c r="A162" s="1" t="e">
        <f ca="1"/>
        <v>#NAME?</v>
      </c>
      <c r="B162" s="30">
        <v>9965</v>
      </c>
      <c r="C162" s="48"/>
      <c r="D162" s="49"/>
      <c r="E162" s="48"/>
      <c r="F162" s="49"/>
      <c r="G162" s="51"/>
      <c r="H162" s="40" t="s">
        <v>38</v>
      </c>
      <c r="I162" s="40" t="s">
        <v>38</v>
      </c>
      <c r="J162" s="4"/>
      <c r="K162" s="41" t="str">
        <f ca="1">IFERROR(__xludf.DUMMYFUNCTION("""COMPUTED_VALUE"""),"")</f>
        <v/>
      </c>
      <c r="L162" s="5" t="str">
        <f ca="1">IFERROR(__xludf.DUMMYFUNCTION("""COMPUTED_VALUE"""),"")</f>
        <v/>
      </c>
      <c r="M162" s="5" t="str">
        <f ca="1">IFERROR(__xludf.DUMMYFUNCTION("""COMPUTED_VALUE"""),"")</f>
        <v/>
      </c>
      <c r="N162" s="5" t="str">
        <f ca="1">IFERROR(__xludf.DUMMYFUNCTION("""COMPUTED_VALUE"""),"")</f>
        <v/>
      </c>
      <c r="O162" s="5"/>
      <c r="P162" s="41" t="str">
        <f ca="1">IFERROR(__xludf.DUMMYFUNCTION("""COMPUTED_VALUE"""),"")</f>
        <v/>
      </c>
      <c r="Q162" s="41" t="str">
        <f ca="1">IFERROR(__xludf.DUMMYFUNCTION("""COMPUTED_VALUE"""),"")</f>
        <v/>
      </c>
      <c r="R162" s="5" t="str">
        <f ca="1">IFERROR(__xludf.DUMMYFUNCTION("""COMPUTED_VALUE"""),"")</f>
        <v/>
      </c>
      <c r="S162" s="5" t="str">
        <f ca="1">IFERROR(__xludf.DUMMYFUNCTION("""COMPUTED_VALUE"""),"")</f>
        <v/>
      </c>
      <c r="T162" s="5" t="str">
        <f ca="1">IFERROR(__xludf.DUMMYFUNCTION("""COMPUTED_VALUE"""),"")</f>
        <v/>
      </c>
      <c r="U162" s="5" t="str">
        <f ca="1"/>
        <v/>
      </c>
      <c r="V162" s="5" t="str">
        <f ca="1">IFERROR(__xludf.DUMMYFUNCTION("""COMPUTED_VALUE"""),"")</f>
        <v/>
      </c>
    </row>
    <row r="163" spans="1:22" ht="13.2">
      <c r="A163" s="1"/>
      <c r="B163" s="52"/>
      <c r="C163" s="53"/>
      <c r="D163" s="54"/>
      <c r="E163" s="55"/>
      <c r="F163" s="55"/>
      <c r="G163" s="56"/>
      <c r="H163" s="55"/>
      <c r="I163" s="57"/>
      <c r="J163" s="4"/>
      <c r="K163" s="5" t="str">
        <f ca="1">IFERROR(__xludf.DUMMYFUNCTION("""COMPUTED_VALUE"""),"")</f>
        <v/>
      </c>
      <c r="L163" s="5" t="str">
        <f ca="1">IFERROR(__xludf.DUMMYFUNCTION("""COMPUTED_VALUE"""),"")</f>
        <v/>
      </c>
      <c r="M163" s="5" t="str">
        <f ca="1">IFERROR(__xludf.DUMMYFUNCTION("""COMPUTED_VALUE"""),"")</f>
        <v/>
      </c>
      <c r="N163" s="5" t="str">
        <f ca="1">IFERROR(__xludf.DUMMYFUNCTION("""COMPUTED_VALUE"""),"")</f>
        <v/>
      </c>
      <c r="O163" s="5"/>
      <c r="P163" s="5"/>
      <c r="Q163" s="5" t="str">
        <f ca="1">IFERROR(__xludf.DUMMYFUNCTION("""COMPUTED_VALUE"""),"")</f>
        <v/>
      </c>
      <c r="R163" s="5" t="str">
        <f ca="1">IFERROR(__xludf.DUMMYFUNCTION("""COMPUTED_VALUE"""),"")</f>
        <v/>
      </c>
      <c r="S163" s="5" t="str">
        <f ca="1">IFERROR(__xludf.DUMMYFUNCTION("""COMPUTED_VALUE"""),"")</f>
        <v/>
      </c>
      <c r="T163" s="5" t="str">
        <f ca="1">IFERROR(__xludf.DUMMYFUNCTION("""COMPUTED_VALUE"""),"")</f>
        <v/>
      </c>
      <c r="U163" s="5"/>
      <c r="V163" s="5"/>
    </row>
    <row r="164" spans="1:22" ht="13.2">
      <c r="A164" s="1"/>
      <c r="B164" s="1"/>
      <c r="C164" s="1"/>
      <c r="D164" s="58"/>
      <c r="E164" s="1"/>
      <c r="F164" s="1"/>
      <c r="G164" s="59"/>
      <c r="H164" s="1"/>
      <c r="I164" s="1"/>
      <c r="J164" s="4"/>
      <c r="K164" s="5" t="str">
        <f ca="1">IFERROR(__xludf.DUMMYFUNCTION("""COMPUTED_VALUE"""),"")</f>
        <v/>
      </c>
      <c r="L164" s="5" t="str">
        <f ca="1">IFERROR(__xludf.DUMMYFUNCTION("""COMPUTED_VALUE"""),"")</f>
        <v/>
      </c>
      <c r="M164" s="5" t="str">
        <f ca="1">IFERROR(__xludf.DUMMYFUNCTION("""COMPUTED_VALUE"""),"")</f>
        <v/>
      </c>
      <c r="N164" s="5" t="str">
        <f ca="1">IFERROR(__xludf.DUMMYFUNCTION("""COMPUTED_VALUE"""),"")</f>
        <v/>
      </c>
      <c r="O164" s="5"/>
      <c r="P164" s="5"/>
      <c r="Q164" s="5" t="str">
        <f ca="1">IFERROR(__xludf.DUMMYFUNCTION("""COMPUTED_VALUE"""),"")</f>
        <v/>
      </c>
      <c r="R164" s="5" t="str">
        <f ca="1">IFERROR(__xludf.DUMMYFUNCTION("""COMPUTED_VALUE"""),"")</f>
        <v/>
      </c>
      <c r="S164" s="5" t="str">
        <f ca="1">IFERROR(__xludf.DUMMYFUNCTION("""COMPUTED_VALUE"""),"")</f>
        <v/>
      </c>
      <c r="T164" s="5" t="str">
        <f ca="1">IFERROR(__xludf.DUMMYFUNCTION("""COMPUTED_VALUE"""),"")</f>
        <v/>
      </c>
      <c r="U164" s="5"/>
      <c r="V164" s="5"/>
    </row>
    <row r="165" spans="1:22" ht="13.2">
      <c r="A165" s="1"/>
      <c r="B165" s="1"/>
      <c r="C165" s="60" t="s">
        <v>108</v>
      </c>
      <c r="D165" s="61" t="s">
        <v>109</v>
      </c>
      <c r="E165" s="62" t="s">
        <v>110</v>
      </c>
      <c r="F165" s="187"/>
      <c r="G165" s="188"/>
      <c r="H165" s="1"/>
      <c r="I165" s="1"/>
      <c r="J165" s="4"/>
      <c r="K165" s="5" t="str">
        <f ca="1">IFERROR(__xludf.DUMMYFUNCTION("""COMPUTED_VALUE"""),"")</f>
        <v/>
      </c>
      <c r="L165" s="5" t="str">
        <f ca="1">IFERROR(__xludf.DUMMYFUNCTION("""COMPUTED_VALUE"""),"")</f>
        <v/>
      </c>
      <c r="M165" s="5" t="str">
        <f ca="1">IFERROR(__xludf.DUMMYFUNCTION("""COMPUTED_VALUE"""),"")</f>
        <v/>
      </c>
      <c r="N165" s="5" t="str">
        <f ca="1">IFERROR(__xludf.DUMMYFUNCTION("""COMPUTED_VALUE"""),"")</f>
        <v/>
      </c>
      <c r="O165" s="5"/>
      <c r="P165" s="5"/>
      <c r="Q165" s="5" t="str">
        <f ca="1">IFERROR(__xludf.DUMMYFUNCTION("""COMPUTED_VALUE"""),"")</f>
        <v/>
      </c>
      <c r="R165" s="5" t="str">
        <f ca="1">IFERROR(__xludf.DUMMYFUNCTION("""COMPUTED_VALUE"""),"")</f>
        <v/>
      </c>
      <c r="S165" s="5" t="str">
        <f ca="1">IFERROR(__xludf.DUMMYFUNCTION("""COMPUTED_VALUE"""),"")</f>
        <v/>
      </c>
      <c r="T165" s="5" t="str">
        <f ca="1">IFERROR(__xludf.DUMMYFUNCTION("""COMPUTED_VALUE"""),"")</f>
        <v/>
      </c>
      <c r="U165" s="5"/>
      <c r="V165" s="5"/>
    </row>
    <row r="166" spans="1:22" ht="13.2">
      <c r="A166" s="1"/>
      <c r="B166" s="1"/>
      <c r="C166" s="62"/>
      <c r="D166" s="63" t="s">
        <v>111</v>
      </c>
      <c r="E166" s="62"/>
      <c r="F166" s="187"/>
      <c r="G166" s="188"/>
      <c r="H166" s="1"/>
      <c r="I166" s="1"/>
      <c r="J166" s="4"/>
      <c r="K166" s="5" t="str">
        <f ca="1">IFERROR(__xludf.DUMMYFUNCTION("""COMPUTED_VALUE"""),"")</f>
        <v/>
      </c>
      <c r="L166" s="5" t="str">
        <f ca="1">IFERROR(__xludf.DUMMYFUNCTION("""COMPUTED_VALUE"""),"")</f>
        <v/>
      </c>
      <c r="M166" s="5" t="str">
        <f ca="1">IFERROR(__xludf.DUMMYFUNCTION("""COMPUTED_VALUE"""),"")</f>
        <v/>
      </c>
      <c r="N166" s="5" t="str">
        <f ca="1">IFERROR(__xludf.DUMMYFUNCTION("""COMPUTED_VALUE"""),"")</f>
        <v/>
      </c>
      <c r="O166" s="5"/>
      <c r="P166" s="5"/>
      <c r="Q166" s="5" t="str">
        <f ca="1">IFERROR(__xludf.DUMMYFUNCTION("""COMPUTED_VALUE"""),"")</f>
        <v/>
      </c>
      <c r="R166" s="5" t="str">
        <f ca="1">IFERROR(__xludf.DUMMYFUNCTION("""COMPUTED_VALUE"""),"")</f>
        <v/>
      </c>
      <c r="S166" s="5" t="str">
        <f ca="1">IFERROR(__xludf.DUMMYFUNCTION("""COMPUTED_VALUE"""),"")</f>
        <v/>
      </c>
      <c r="T166" s="5" t="str">
        <f ca="1">IFERROR(__xludf.DUMMYFUNCTION("""COMPUTED_VALUE"""),"")</f>
        <v/>
      </c>
      <c r="U166" s="5"/>
      <c r="V166" s="5"/>
    </row>
    <row r="167" spans="1:22" ht="13.2">
      <c r="A167" s="1"/>
      <c r="B167" s="1"/>
      <c r="C167" s="62"/>
      <c r="D167" s="64"/>
      <c r="E167" s="62"/>
      <c r="F167" s="187"/>
      <c r="G167" s="188"/>
      <c r="H167" s="1"/>
      <c r="I167" s="1"/>
      <c r="J167" s="4"/>
      <c r="K167" s="5" t="str">
        <f ca="1">IFERROR(__xludf.DUMMYFUNCTION("""COMPUTED_VALUE"""),"")</f>
        <v/>
      </c>
      <c r="L167" s="5" t="str">
        <f ca="1">IFERROR(__xludf.DUMMYFUNCTION("""COMPUTED_VALUE"""),"")</f>
        <v/>
      </c>
      <c r="M167" s="5" t="str">
        <f ca="1">IFERROR(__xludf.DUMMYFUNCTION("""COMPUTED_VALUE"""),"")</f>
        <v/>
      </c>
      <c r="N167" s="5" t="str">
        <f ca="1">IFERROR(__xludf.DUMMYFUNCTION("""COMPUTED_VALUE"""),"")</f>
        <v/>
      </c>
      <c r="O167" s="5"/>
      <c r="P167" s="5"/>
      <c r="Q167" s="5" t="str">
        <f ca="1">IFERROR(__xludf.DUMMYFUNCTION("""COMPUTED_VALUE"""),"")</f>
        <v/>
      </c>
      <c r="R167" s="5" t="str">
        <f ca="1">IFERROR(__xludf.DUMMYFUNCTION("""COMPUTED_VALUE"""),"")</f>
        <v/>
      </c>
      <c r="S167" s="5" t="str">
        <f ca="1">IFERROR(__xludf.DUMMYFUNCTION("""COMPUTED_VALUE"""),"")</f>
        <v/>
      </c>
      <c r="T167" s="5" t="str">
        <f ca="1">IFERROR(__xludf.DUMMYFUNCTION("""COMPUTED_VALUE"""),"")</f>
        <v/>
      </c>
      <c r="U167" s="5"/>
      <c r="V167" s="5"/>
    </row>
    <row r="168" spans="1:22" ht="13.2">
      <c r="A168" s="1"/>
      <c r="B168" s="1"/>
      <c r="C168" s="62"/>
      <c r="D168" s="64"/>
      <c r="E168" s="62"/>
      <c r="F168" s="187"/>
      <c r="G168" s="188"/>
      <c r="H168" s="1"/>
      <c r="I168" s="1"/>
      <c r="J168" s="4"/>
      <c r="K168" s="5" t="str">
        <f ca="1">IFERROR(__xludf.DUMMYFUNCTION("""COMPUTED_VALUE"""),"")</f>
        <v/>
      </c>
      <c r="L168" s="5" t="str">
        <f ca="1">IFERROR(__xludf.DUMMYFUNCTION("""COMPUTED_VALUE"""),"")</f>
        <v/>
      </c>
      <c r="M168" s="5" t="str">
        <f ca="1">IFERROR(__xludf.DUMMYFUNCTION("""COMPUTED_VALUE"""),"")</f>
        <v/>
      </c>
      <c r="N168" s="5" t="str">
        <f ca="1">IFERROR(__xludf.DUMMYFUNCTION("""COMPUTED_VALUE"""),"")</f>
        <v/>
      </c>
      <c r="O168" s="5"/>
      <c r="P168" s="5"/>
      <c r="Q168" s="5" t="str">
        <f ca="1">IFERROR(__xludf.DUMMYFUNCTION("""COMPUTED_VALUE"""),"")</f>
        <v/>
      </c>
      <c r="R168" s="5" t="str">
        <f ca="1">IFERROR(__xludf.DUMMYFUNCTION("""COMPUTED_VALUE"""),"")</f>
        <v/>
      </c>
      <c r="S168" s="5" t="str">
        <f ca="1">IFERROR(__xludf.DUMMYFUNCTION("""COMPUTED_VALUE"""),"")</f>
        <v/>
      </c>
      <c r="T168" s="5" t="str">
        <f ca="1">IFERROR(__xludf.DUMMYFUNCTION("""COMPUTED_VALUE"""),"")</f>
        <v/>
      </c>
      <c r="U168" s="5"/>
      <c r="V168" s="5"/>
    </row>
    <row r="169" spans="1:22" ht="13.2">
      <c r="A169" s="1"/>
      <c r="B169" s="1"/>
      <c r="C169" s="62"/>
      <c r="D169" s="64"/>
      <c r="E169" s="62"/>
      <c r="F169" s="187"/>
      <c r="G169" s="188"/>
      <c r="H169" s="1"/>
      <c r="I169" s="1"/>
      <c r="J169" s="4"/>
      <c r="K169" s="5" t="str">
        <f ca="1">IFERROR(__xludf.DUMMYFUNCTION("""COMPUTED_VALUE"""),"")</f>
        <v/>
      </c>
      <c r="L169" s="5" t="str">
        <f ca="1">IFERROR(__xludf.DUMMYFUNCTION("""COMPUTED_VALUE"""),"")</f>
        <v/>
      </c>
      <c r="M169" s="5" t="str">
        <f ca="1">IFERROR(__xludf.DUMMYFUNCTION("""COMPUTED_VALUE"""),"")</f>
        <v/>
      </c>
      <c r="N169" s="5" t="str">
        <f ca="1">IFERROR(__xludf.DUMMYFUNCTION("""COMPUTED_VALUE"""),"")</f>
        <v/>
      </c>
      <c r="O169" s="5"/>
      <c r="P169" s="5"/>
      <c r="Q169" s="5" t="str">
        <f ca="1">IFERROR(__xludf.DUMMYFUNCTION("""COMPUTED_VALUE"""),"")</f>
        <v/>
      </c>
      <c r="R169" s="5" t="str">
        <f ca="1">IFERROR(__xludf.DUMMYFUNCTION("""COMPUTED_VALUE"""),"")</f>
        <v/>
      </c>
      <c r="S169" s="5" t="str">
        <f ca="1">IFERROR(__xludf.DUMMYFUNCTION("""COMPUTED_VALUE"""),"")</f>
        <v/>
      </c>
      <c r="T169" s="5" t="str">
        <f ca="1">IFERROR(__xludf.DUMMYFUNCTION("""COMPUTED_VALUE"""),"")</f>
        <v/>
      </c>
      <c r="U169" s="5"/>
      <c r="V169" s="5"/>
    </row>
    <row r="170" spans="1:22" ht="13.2">
      <c r="A170" s="1"/>
      <c r="B170" s="1"/>
      <c r="C170" s="1"/>
      <c r="D170" s="58"/>
      <c r="E170" s="1"/>
      <c r="F170" s="187"/>
      <c r="G170" s="188"/>
      <c r="H170" s="1"/>
      <c r="I170" s="1"/>
      <c r="J170" s="4"/>
      <c r="K170" s="5" t="str">
        <f ca="1">IFERROR(__xludf.DUMMYFUNCTION("""COMPUTED_VALUE"""),"")</f>
        <v/>
      </c>
      <c r="L170" s="5" t="str">
        <f ca="1">IFERROR(__xludf.DUMMYFUNCTION("""COMPUTED_VALUE"""),"")</f>
        <v/>
      </c>
      <c r="M170" s="5" t="str">
        <f ca="1">IFERROR(__xludf.DUMMYFUNCTION("""COMPUTED_VALUE"""),"")</f>
        <v/>
      </c>
      <c r="N170" s="5" t="str">
        <f ca="1">IFERROR(__xludf.DUMMYFUNCTION("""COMPUTED_VALUE"""),"")</f>
        <v/>
      </c>
      <c r="O170" s="5"/>
      <c r="P170" s="5"/>
      <c r="Q170" s="5" t="str">
        <f ca="1">IFERROR(__xludf.DUMMYFUNCTION("""COMPUTED_VALUE"""),"")</f>
        <v/>
      </c>
      <c r="R170" s="5" t="str">
        <f ca="1">IFERROR(__xludf.DUMMYFUNCTION("""COMPUTED_VALUE"""),"")</f>
        <v/>
      </c>
      <c r="S170" s="5" t="str">
        <f ca="1">IFERROR(__xludf.DUMMYFUNCTION("""COMPUTED_VALUE"""),"")</f>
        <v/>
      </c>
      <c r="T170" s="5" t="str">
        <f ca="1">IFERROR(__xludf.DUMMYFUNCTION("""COMPUTED_VALUE"""),"")</f>
        <v/>
      </c>
      <c r="U170" s="5"/>
      <c r="V170" s="5"/>
    </row>
    <row r="171" spans="1:22" ht="13.2">
      <c r="A171" s="1"/>
      <c r="B171" s="1"/>
      <c r="C171" s="1"/>
      <c r="D171" s="58"/>
      <c r="E171" s="1"/>
      <c r="F171" s="187"/>
      <c r="G171" s="188"/>
      <c r="H171" s="1"/>
      <c r="I171" s="1"/>
      <c r="J171" s="4"/>
      <c r="K171" s="5" t="str">
        <f ca="1">IFERROR(__xludf.DUMMYFUNCTION("""COMPUTED_VALUE"""),"")</f>
        <v/>
      </c>
      <c r="L171" s="5" t="str">
        <f ca="1">IFERROR(__xludf.DUMMYFUNCTION("""COMPUTED_VALUE"""),"")</f>
        <v/>
      </c>
      <c r="M171" s="5" t="str">
        <f ca="1">IFERROR(__xludf.DUMMYFUNCTION("""COMPUTED_VALUE"""),"")</f>
        <v/>
      </c>
      <c r="N171" s="5" t="str">
        <f ca="1">IFERROR(__xludf.DUMMYFUNCTION("""COMPUTED_VALUE"""),"")</f>
        <v/>
      </c>
      <c r="O171" s="5"/>
      <c r="P171" s="5"/>
      <c r="Q171" s="5" t="str">
        <f ca="1">IFERROR(__xludf.DUMMYFUNCTION("""COMPUTED_VALUE"""),"")</f>
        <v/>
      </c>
      <c r="R171" s="5" t="str">
        <f ca="1">IFERROR(__xludf.DUMMYFUNCTION("""COMPUTED_VALUE"""),"")</f>
        <v/>
      </c>
      <c r="S171" s="5" t="str">
        <f ca="1">IFERROR(__xludf.DUMMYFUNCTION("""COMPUTED_VALUE"""),"")</f>
        <v/>
      </c>
      <c r="T171" s="5" t="str">
        <f ca="1">IFERROR(__xludf.DUMMYFUNCTION("""COMPUTED_VALUE"""),"")</f>
        <v/>
      </c>
      <c r="U171" s="5"/>
      <c r="V171" s="5"/>
    </row>
    <row r="172" spans="1:22" ht="13.2">
      <c r="A172" s="1"/>
      <c r="B172" s="1"/>
      <c r="C172" s="1"/>
      <c r="D172" s="58"/>
      <c r="E172" s="1"/>
      <c r="F172" s="187"/>
      <c r="G172" s="188"/>
      <c r="H172" s="1"/>
      <c r="I172" s="1"/>
      <c r="J172" s="4"/>
      <c r="K172" s="5" t="str">
        <f ca="1">IFERROR(__xludf.DUMMYFUNCTION("""COMPUTED_VALUE"""),"")</f>
        <v/>
      </c>
      <c r="L172" s="5" t="str">
        <f ca="1">IFERROR(__xludf.DUMMYFUNCTION("""COMPUTED_VALUE"""),"")</f>
        <v/>
      </c>
      <c r="M172" s="5" t="str">
        <f ca="1">IFERROR(__xludf.DUMMYFUNCTION("""COMPUTED_VALUE"""),"")</f>
        <v/>
      </c>
      <c r="N172" s="5" t="str">
        <f ca="1">IFERROR(__xludf.DUMMYFUNCTION("""COMPUTED_VALUE"""),"")</f>
        <v/>
      </c>
      <c r="O172" s="5"/>
      <c r="P172" s="5"/>
      <c r="Q172" s="5" t="str">
        <f ca="1">IFERROR(__xludf.DUMMYFUNCTION("""COMPUTED_VALUE"""),"")</f>
        <v/>
      </c>
      <c r="R172" s="5" t="str">
        <f ca="1">IFERROR(__xludf.DUMMYFUNCTION("""COMPUTED_VALUE"""),"")</f>
        <v/>
      </c>
      <c r="S172" s="5" t="str">
        <f ca="1">IFERROR(__xludf.DUMMYFUNCTION("""COMPUTED_VALUE"""),"")</f>
        <v/>
      </c>
      <c r="T172" s="5" t="str">
        <f ca="1">IFERROR(__xludf.DUMMYFUNCTION("""COMPUTED_VALUE"""),"")</f>
        <v/>
      </c>
      <c r="U172" s="5"/>
      <c r="V172" s="5"/>
    </row>
    <row r="173" spans="1:22" ht="13.2">
      <c r="A173" s="1"/>
      <c r="B173" s="1"/>
      <c r="C173" s="1"/>
      <c r="D173" s="58"/>
      <c r="E173" s="1"/>
      <c r="F173" s="187"/>
      <c r="G173" s="188"/>
      <c r="H173" s="1"/>
      <c r="I173" s="1"/>
      <c r="J173" s="4"/>
      <c r="K173" s="5" t="str">
        <f ca="1">IFERROR(__xludf.DUMMYFUNCTION("""COMPUTED_VALUE"""),"")</f>
        <v/>
      </c>
      <c r="L173" s="5" t="str">
        <f ca="1">IFERROR(__xludf.DUMMYFUNCTION("""COMPUTED_VALUE"""),"")</f>
        <v/>
      </c>
      <c r="M173" s="5" t="str">
        <f ca="1">IFERROR(__xludf.DUMMYFUNCTION("""COMPUTED_VALUE"""),"")</f>
        <v/>
      </c>
      <c r="N173" s="5" t="str">
        <f ca="1">IFERROR(__xludf.DUMMYFUNCTION("""COMPUTED_VALUE"""),"")</f>
        <v/>
      </c>
      <c r="O173" s="5"/>
      <c r="P173" s="5"/>
      <c r="Q173" s="5" t="str">
        <f ca="1">IFERROR(__xludf.DUMMYFUNCTION("""COMPUTED_VALUE"""),"")</f>
        <v/>
      </c>
      <c r="R173" s="5" t="str">
        <f ca="1">IFERROR(__xludf.DUMMYFUNCTION("""COMPUTED_VALUE"""),"")</f>
        <v/>
      </c>
      <c r="S173" s="5" t="str">
        <f ca="1">IFERROR(__xludf.DUMMYFUNCTION("""COMPUTED_VALUE"""),"")</f>
        <v/>
      </c>
      <c r="T173" s="5" t="str">
        <f ca="1">IFERROR(__xludf.DUMMYFUNCTION("""COMPUTED_VALUE"""),"")</f>
        <v/>
      </c>
      <c r="U173" s="5"/>
      <c r="V173" s="5"/>
    </row>
    <row r="174" spans="1:22" ht="13.2">
      <c r="A174" s="1"/>
      <c r="B174" s="1"/>
      <c r="C174" s="62"/>
      <c r="D174" s="64"/>
      <c r="E174" s="62" t="s">
        <v>112</v>
      </c>
      <c r="F174" s="187"/>
      <c r="G174" s="188"/>
      <c r="H174" s="1"/>
      <c r="I174" s="1"/>
      <c r="J174" s="4"/>
      <c r="K174" s="5" t="str">
        <f ca="1">IFERROR(__xludf.DUMMYFUNCTION("""COMPUTED_VALUE"""),"")</f>
        <v/>
      </c>
      <c r="L174" s="5" t="str">
        <f ca="1">IFERROR(__xludf.DUMMYFUNCTION("""COMPUTED_VALUE"""),"")</f>
        <v/>
      </c>
      <c r="M174" s="5" t="str">
        <f ca="1">IFERROR(__xludf.DUMMYFUNCTION("""COMPUTED_VALUE"""),"")</f>
        <v/>
      </c>
      <c r="N174" s="5" t="str">
        <f ca="1">IFERROR(__xludf.DUMMYFUNCTION("""COMPUTED_VALUE"""),"")</f>
        <v/>
      </c>
      <c r="O174" s="5"/>
      <c r="P174" s="5"/>
      <c r="Q174" s="5" t="str">
        <f ca="1">IFERROR(__xludf.DUMMYFUNCTION("""COMPUTED_VALUE"""),"")</f>
        <v/>
      </c>
      <c r="R174" s="5" t="str">
        <f ca="1">IFERROR(__xludf.DUMMYFUNCTION("""COMPUTED_VALUE"""),"")</f>
        <v/>
      </c>
      <c r="S174" s="5" t="str">
        <f ca="1">IFERROR(__xludf.DUMMYFUNCTION("""COMPUTED_VALUE"""),"")</f>
        <v/>
      </c>
      <c r="T174" s="5" t="str">
        <f ca="1">IFERROR(__xludf.DUMMYFUNCTION("""COMPUTED_VALUE"""),"")</f>
        <v/>
      </c>
      <c r="U174" s="5"/>
      <c r="V174" s="5"/>
    </row>
    <row r="175" spans="1:22" ht="13.2">
      <c r="A175" s="1"/>
      <c r="B175" s="1"/>
      <c r="C175" s="62"/>
      <c r="D175" s="64"/>
      <c r="E175" s="62" t="s">
        <v>113</v>
      </c>
      <c r="F175" s="187"/>
      <c r="G175" s="188"/>
      <c r="H175" s="1"/>
      <c r="I175" s="1"/>
      <c r="J175" s="4"/>
      <c r="K175" s="5" t="str">
        <f ca="1">IFERROR(__xludf.DUMMYFUNCTION("""COMPUTED_VALUE"""),"")</f>
        <v/>
      </c>
      <c r="L175" s="5" t="str">
        <f ca="1">IFERROR(__xludf.DUMMYFUNCTION("""COMPUTED_VALUE"""),"")</f>
        <v/>
      </c>
      <c r="M175" s="5" t="str">
        <f ca="1">IFERROR(__xludf.DUMMYFUNCTION("""COMPUTED_VALUE"""),"")</f>
        <v/>
      </c>
      <c r="N175" s="5" t="str">
        <f ca="1">IFERROR(__xludf.DUMMYFUNCTION("""COMPUTED_VALUE"""),"")</f>
        <v/>
      </c>
      <c r="O175" s="5"/>
      <c r="P175" s="5"/>
      <c r="Q175" s="5" t="str">
        <f ca="1">IFERROR(__xludf.DUMMYFUNCTION("""COMPUTED_VALUE"""),"")</f>
        <v/>
      </c>
      <c r="R175" s="5" t="str">
        <f ca="1">IFERROR(__xludf.DUMMYFUNCTION("""COMPUTED_VALUE"""),"")</f>
        <v/>
      </c>
      <c r="S175" s="5" t="str">
        <f ca="1">IFERROR(__xludf.DUMMYFUNCTION("""COMPUTED_VALUE"""),"")</f>
        <v/>
      </c>
      <c r="T175" s="5" t="str">
        <f ca="1">IFERROR(__xludf.DUMMYFUNCTION("""COMPUTED_VALUE"""),"")</f>
        <v/>
      </c>
      <c r="U175" s="5"/>
      <c r="V175" s="5"/>
    </row>
    <row r="176" spans="1:22" ht="13.2">
      <c r="A176" s="1"/>
      <c r="B176" s="1"/>
      <c r="C176" s="62"/>
      <c r="D176" s="64"/>
      <c r="E176" s="62"/>
      <c r="F176" s="62"/>
      <c r="G176" s="65"/>
      <c r="H176" s="1"/>
      <c r="I176" s="1"/>
      <c r="J176" s="4"/>
      <c r="K176" s="5" t="str">
        <f ca="1">IFERROR(__xludf.DUMMYFUNCTION("""COMPUTED_VALUE"""),"")</f>
        <v/>
      </c>
      <c r="L176" s="5" t="str">
        <f ca="1">IFERROR(__xludf.DUMMYFUNCTION("""COMPUTED_VALUE"""),"")</f>
        <v/>
      </c>
      <c r="M176" s="5" t="str">
        <f ca="1">IFERROR(__xludf.DUMMYFUNCTION("""COMPUTED_VALUE"""),"")</f>
        <v/>
      </c>
      <c r="N176" s="5" t="str">
        <f ca="1">IFERROR(__xludf.DUMMYFUNCTION("""COMPUTED_VALUE"""),"")</f>
        <v/>
      </c>
      <c r="O176" s="5"/>
      <c r="P176" s="5"/>
      <c r="Q176" s="5" t="str">
        <f ca="1">IFERROR(__xludf.DUMMYFUNCTION("""COMPUTED_VALUE"""),"")</f>
        <v/>
      </c>
      <c r="R176" s="5" t="str">
        <f ca="1">IFERROR(__xludf.DUMMYFUNCTION("""COMPUTED_VALUE"""),"")</f>
        <v/>
      </c>
      <c r="S176" s="5" t="str">
        <f ca="1">IFERROR(__xludf.DUMMYFUNCTION("""COMPUTED_VALUE"""),"")</f>
        <v/>
      </c>
      <c r="T176" s="5" t="str">
        <f ca="1">IFERROR(__xludf.DUMMYFUNCTION("""COMPUTED_VALUE"""),"")</f>
        <v/>
      </c>
      <c r="U176" s="5"/>
      <c r="V176" s="5"/>
    </row>
    <row r="177" spans="1:22" ht="13.2">
      <c r="A177" s="1"/>
      <c r="B177" s="1"/>
      <c r="C177" s="66" t="s">
        <v>114</v>
      </c>
      <c r="D177" s="67"/>
      <c r="E177" s="66" t="s">
        <v>115</v>
      </c>
      <c r="F177" s="68"/>
      <c r="G177" s="69"/>
      <c r="H177" s="1"/>
      <c r="I177" s="1"/>
      <c r="J177" s="4"/>
      <c r="K177" s="5" t="str">
        <f ca="1">IFERROR(__xludf.DUMMYFUNCTION("""COMPUTED_VALUE"""),"")</f>
        <v/>
      </c>
      <c r="L177" s="5" t="str">
        <f ca="1">IFERROR(__xludf.DUMMYFUNCTION("""COMPUTED_VALUE"""),"")</f>
        <v/>
      </c>
      <c r="M177" s="5" t="str">
        <f ca="1">IFERROR(__xludf.DUMMYFUNCTION("""COMPUTED_VALUE"""),"")</f>
        <v/>
      </c>
      <c r="N177" s="5" t="str">
        <f ca="1">IFERROR(__xludf.DUMMYFUNCTION("""COMPUTED_VALUE"""),"")</f>
        <v/>
      </c>
      <c r="O177" s="5"/>
      <c r="P177" s="5"/>
      <c r="Q177" s="5" t="str">
        <f ca="1">IFERROR(__xludf.DUMMYFUNCTION("""COMPUTED_VALUE"""),"")</f>
        <v/>
      </c>
      <c r="R177" s="5" t="str">
        <f ca="1">IFERROR(__xludf.DUMMYFUNCTION("""COMPUTED_VALUE"""),"")</f>
        <v/>
      </c>
      <c r="S177" s="5" t="str">
        <f ca="1">IFERROR(__xludf.DUMMYFUNCTION("""COMPUTED_VALUE"""),"")</f>
        <v/>
      </c>
      <c r="T177" s="5" t="str">
        <f ca="1">IFERROR(__xludf.DUMMYFUNCTION("""COMPUTED_VALUE"""),"")</f>
        <v/>
      </c>
      <c r="U177" s="5"/>
      <c r="V177" s="5"/>
    </row>
    <row r="178" spans="1:22" ht="13.2">
      <c r="A178" s="1"/>
      <c r="B178" s="1"/>
      <c r="C178" s="60" t="s">
        <v>116</v>
      </c>
      <c r="D178" s="70"/>
      <c r="E178" s="60" t="s">
        <v>116</v>
      </c>
      <c r="F178" s="189"/>
      <c r="G178" s="188"/>
      <c r="H178" s="1"/>
      <c r="I178" s="1"/>
      <c r="J178" s="4"/>
      <c r="K178" s="5" t="str">
        <f ca="1">IFERROR(__xludf.DUMMYFUNCTION("""COMPUTED_VALUE"""),"")</f>
        <v/>
      </c>
      <c r="L178" s="5" t="str">
        <f ca="1">IFERROR(__xludf.DUMMYFUNCTION("""COMPUTED_VALUE"""),"")</f>
        <v/>
      </c>
      <c r="M178" s="5" t="str">
        <f ca="1">IFERROR(__xludf.DUMMYFUNCTION("""COMPUTED_VALUE"""),"")</f>
        <v/>
      </c>
      <c r="N178" s="5" t="str">
        <f ca="1">IFERROR(__xludf.DUMMYFUNCTION("""COMPUTED_VALUE"""),"")</f>
        <v/>
      </c>
      <c r="O178" s="5"/>
      <c r="P178" s="5"/>
      <c r="Q178" s="5" t="str">
        <f ca="1">IFERROR(__xludf.DUMMYFUNCTION("""COMPUTED_VALUE"""),"")</f>
        <v/>
      </c>
      <c r="R178" s="5" t="str">
        <f ca="1">IFERROR(__xludf.DUMMYFUNCTION("""COMPUTED_VALUE"""),"")</f>
        <v/>
      </c>
      <c r="S178" s="5" t="str">
        <f ca="1">IFERROR(__xludf.DUMMYFUNCTION("""COMPUTED_VALUE"""),"")</f>
        <v/>
      </c>
      <c r="T178" s="5" t="str">
        <f ca="1">IFERROR(__xludf.DUMMYFUNCTION("""COMPUTED_VALUE"""),"")</f>
        <v/>
      </c>
      <c r="U178" s="5"/>
      <c r="V178" s="5"/>
    </row>
    <row r="179" spans="1:22" ht="13.2">
      <c r="A179" s="1"/>
      <c r="B179" s="1"/>
      <c r="C179" s="68" t="s">
        <v>117</v>
      </c>
      <c r="D179" s="67"/>
      <c r="E179" s="68"/>
      <c r="F179" s="68"/>
      <c r="G179" s="69"/>
      <c r="H179" s="1"/>
      <c r="I179" s="1"/>
      <c r="J179" s="4"/>
      <c r="K179" s="5" t="str">
        <f ca="1">IFERROR(__xludf.DUMMYFUNCTION("""COMPUTED_VALUE"""),"")</f>
        <v/>
      </c>
      <c r="L179" s="5" t="str">
        <f ca="1">IFERROR(__xludf.DUMMYFUNCTION("""COMPUTED_VALUE"""),"")</f>
        <v/>
      </c>
      <c r="M179" s="5" t="str">
        <f ca="1">IFERROR(__xludf.DUMMYFUNCTION("""COMPUTED_VALUE"""),"")</f>
        <v/>
      </c>
      <c r="N179" s="5" t="str">
        <f ca="1">IFERROR(__xludf.DUMMYFUNCTION("""COMPUTED_VALUE"""),"")</f>
        <v/>
      </c>
      <c r="O179" s="5"/>
      <c r="P179" s="5"/>
      <c r="Q179" s="5" t="str">
        <f ca="1">IFERROR(__xludf.DUMMYFUNCTION("""COMPUTED_VALUE"""),"")</f>
        <v/>
      </c>
      <c r="R179" s="5" t="str">
        <f ca="1">IFERROR(__xludf.DUMMYFUNCTION("""COMPUTED_VALUE"""),"")</f>
        <v/>
      </c>
      <c r="S179" s="5" t="str">
        <f ca="1">IFERROR(__xludf.DUMMYFUNCTION("""COMPUTED_VALUE"""),"")</f>
        <v/>
      </c>
      <c r="T179" s="5" t="str">
        <f ca="1">IFERROR(__xludf.DUMMYFUNCTION("""COMPUTED_VALUE"""),"")</f>
        <v/>
      </c>
      <c r="U179" s="5"/>
      <c r="V179" s="5"/>
    </row>
    <row r="180" spans="1:22" ht="13.2">
      <c r="A180" s="1"/>
      <c r="B180" s="1"/>
      <c r="C180" s="190"/>
      <c r="D180" s="191"/>
      <c r="E180" s="191"/>
      <c r="F180" s="191"/>
      <c r="G180" s="192"/>
      <c r="H180" s="1"/>
      <c r="I180" s="1"/>
      <c r="J180" s="4"/>
      <c r="K180" s="5" t="str">
        <f ca="1">IFERROR(__xludf.DUMMYFUNCTION("""COMPUTED_VALUE"""),"")</f>
        <v/>
      </c>
      <c r="L180" s="5" t="str">
        <f ca="1">IFERROR(__xludf.DUMMYFUNCTION("""COMPUTED_VALUE"""),"")</f>
        <v/>
      </c>
      <c r="M180" s="5" t="str">
        <f ca="1">IFERROR(__xludf.DUMMYFUNCTION("""COMPUTED_VALUE"""),"")</f>
        <v/>
      </c>
      <c r="N180" s="5" t="str">
        <f ca="1">IFERROR(__xludf.DUMMYFUNCTION("""COMPUTED_VALUE"""),"")</f>
        <v/>
      </c>
      <c r="O180" s="5"/>
      <c r="P180" s="5"/>
      <c r="Q180" s="5" t="str">
        <f ca="1">IFERROR(__xludf.DUMMYFUNCTION("""COMPUTED_VALUE"""),"")</f>
        <v/>
      </c>
      <c r="R180" s="5" t="str">
        <f ca="1">IFERROR(__xludf.DUMMYFUNCTION("""COMPUTED_VALUE"""),"")</f>
        <v/>
      </c>
      <c r="S180" s="5" t="str">
        <f ca="1">IFERROR(__xludf.DUMMYFUNCTION("""COMPUTED_VALUE"""),"")</f>
        <v/>
      </c>
      <c r="T180" s="5" t="str">
        <f ca="1">IFERROR(__xludf.DUMMYFUNCTION("""COMPUTED_VALUE"""),"")</f>
        <v/>
      </c>
      <c r="U180" s="5"/>
      <c r="V180" s="5"/>
    </row>
    <row r="181" spans="1:22" ht="13.2">
      <c r="A181" s="1"/>
      <c r="B181" s="1"/>
      <c r="C181" s="193"/>
      <c r="D181" s="194"/>
      <c r="E181" s="194"/>
      <c r="F181" s="194"/>
      <c r="G181" s="195"/>
      <c r="H181" s="1"/>
      <c r="I181" s="1"/>
      <c r="J181" s="4"/>
      <c r="K181" s="5" t="str">
        <f ca="1">IFERROR(__xludf.DUMMYFUNCTION("""COMPUTED_VALUE"""),"")</f>
        <v/>
      </c>
      <c r="L181" s="5" t="str">
        <f ca="1">IFERROR(__xludf.DUMMYFUNCTION("""COMPUTED_VALUE"""),"")</f>
        <v/>
      </c>
      <c r="M181" s="5" t="str">
        <f ca="1">IFERROR(__xludf.DUMMYFUNCTION("""COMPUTED_VALUE"""),"")</f>
        <v/>
      </c>
      <c r="N181" s="5" t="str">
        <f ca="1">IFERROR(__xludf.DUMMYFUNCTION("""COMPUTED_VALUE"""),"")</f>
        <v/>
      </c>
      <c r="O181" s="5"/>
      <c r="P181" s="5"/>
      <c r="Q181" s="5" t="str">
        <f ca="1">IFERROR(__xludf.DUMMYFUNCTION("""COMPUTED_VALUE"""),"")</f>
        <v/>
      </c>
      <c r="R181" s="5" t="str">
        <f ca="1">IFERROR(__xludf.DUMMYFUNCTION("""COMPUTED_VALUE"""),"")</f>
        <v/>
      </c>
      <c r="S181" s="5" t="str">
        <f ca="1">IFERROR(__xludf.DUMMYFUNCTION("""COMPUTED_VALUE"""),"")</f>
        <v/>
      </c>
      <c r="T181" s="5" t="str">
        <f ca="1">IFERROR(__xludf.DUMMYFUNCTION("""COMPUTED_VALUE"""),"")</f>
        <v/>
      </c>
      <c r="U181" s="5"/>
      <c r="V181" s="5"/>
    </row>
    <row r="182" spans="1:22" ht="13.2">
      <c r="A182" s="1"/>
      <c r="B182" s="1"/>
      <c r="C182" s="193"/>
      <c r="D182" s="194"/>
      <c r="E182" s="194"/>
      <c r="F182" s="194"/>
      <c r="G182" s="195"/>
      <c r="H182" s="1"/>
      <c r="I182" s="1"/>
      <c r="J182" s="4"/>
      <c r="K182" s="5" t="str">
        <f ca="1">IFERROR(__xludf.DUMMYFUNCTION("""COMPUTED_VALUE"""),"")</f>
        <v/>
      </c>
      <c r="L182" s="5" t="str">
        <f ca="1">IFERROR(__xludf.DUMMYFUNCTION("""COMPUTED_VALUE"""),"")</f>
        <v/>
      </c>
      <c r="M182" s="5" t="str">
        <f ca="1">IFERROR(__xludf.DUMMYFUNCTION("""COMPUTED_VALUE"""),"")</f>
        <v/>
      </c>
      <c r="N182" s="5" t="str">
        <f ca="1">IFERROR(__xludf.DUMMYFUNCTION("""COMPUTED_VALUE"""),"")</f>
        <v/>
      </c>
      <c r="O182" s="5"/>
      <c r="P182" s="5"/>
      <c r="Q182" s="5" t="str">
        <f ca="1">IFERROR(__xludf.DUMMYFUNCTION("""COMPUTED_VALUE"""),"")</f>
        <v/>
      </c>
      <c r="R182" s="5" t="str">
        <f ca="1">IFERROR(__xludf.DUMMYFUNCTION("""COMPUTED_VALUE"""),"")</f>
        <v/>
      </c>
      <c r="S182" s="5" t="str">
        <f ca="1">IFERROR(__xludf.DUMMYFUNCTION("""COMPUTED_VALUE"""),"")</f>
        <v/>
      </c>
      <c r="T182" s="5" t="str">
        <f ca="1">IFERROR(__xludf.DUMMYFUNCTION("""COMPUTED_VALUE"""),"")</f>
        <v/>
      </c>
      <c r="U182" s="5"/>
      <c r="V182" s="5"/>
    </row>
    <row r="183" spans="1:22" ht="13.2">
      <c r="A183" s="1"/>
      <c r="B183" s="1"/>
      <c r="C183" s="196"/>
      <c r="D183" s="197"/>
      <c r="E183" s="197"/>
      <c r="F183" s="197"/>
      <c r="G183" s="198"/>
      <c r="H183" s="1"/>
      <c r="I183" s="1"/>
      <c r="J183" s="4"/>
      <c r="K183" s="5" t="str">
        <f ca="1">IFERROR(__xludf.DUMMYFUNCTION("""COMPUTED_VALUE"""),"")</f>
        <v/>
      </c>
      <c r="L183" s="5" t="str">
        <f ca="1">IFERROR(__xludf.DUMMYFUNCTION("""COMPUTED_VALUE"""),"")</f>
        <v/>
      </c>
      <c r="M183" s="5" t="str">
        <f ca="1">IFERROR(__xludf.DUMMYFUNCTION("""COMPUTED_VALUE"""),"")</f>
        <v/>
      </c>
      <c r="N183" s="5" t="str">
        <f ca="1">IFERROR(__xludf.DUMMYFUNCTION("""COMPUTED_VALUE"""),"")</f>
        <v/>
      </c>
      <c r="O183" s="5"/>
      <c r="P183" s="5"/>
      <c r="Q183" s="5" t="str">
        <f ca="1">IFERROR(__xludf.DUMMYFUNCTION("""COMPUTED_VALUE"""),"")</f>
        <v/>
      </c>
      <c r="R183" s="5" t="str">
        <f ca="1">IFERROR(__xludf.DUMMYFUNCTION("""COMPUTED_VALUE"""),"")</f>
        <v/>
      </c>
      <c r="S183" s="5" t="str">
        <f ca="1">IFERROR(__xludf.DUMMYFUNCTION("""COMPUTED_VALUE"""),"")</f>
        <v/>
      </c>
      <c r="T183" s="5" t="str">
        <f ca="1">IFERROR(__xludf.DUMMYFUNCTION("""COMPUTED_VALUE"""),"")</f>
        <v/>
      </c>
      <c r="U183" s="5"/>
      <c r="V183" s="5"/>
    </row>
    <row r="184" spans="1:22" ht="13.2">
      <c r="A184" s="1"/>
      <c r="B184" s="1"/>
      <c r="C184" s="1"/>
      <c r="D184" s="58"/>
      <c r="E184" s="1"/>
      <c r="F184" s="1"/>
      <c r="G184" s="59"/>
      <c r="H184" s="1"/>
      <c r="I184" s="1"/>
      <c r="J184" s="4"/>
      <c r="K184" s="5" t="str">
        <f ca="1">IFERROR(__xludf.DUMMYFUNCTION("""COMPUTED_VALUE"""),"")</f>
        <v/>
      </c>
      <c r="L184" s="5" t="str">
        <f ca="1">IFERROR(__xludf.DUMMYFUNCTION("""COMPUTED_VALUE"""),"")</f>
        <v/>
      </c>
      <c r="M184" s="5" t="str">
        <f ca="1">IFERROR(__xludf.DUMMYFUNCTION("""COMPUTED_VALUE"""),"")</f>
        <v/>
      </c>
      <c r="N184" s="5" t="str">
        <f ca="1">IFERROR(__xludf.DUMMYFUNCTION("""COMPUTED_VALUE"""),"")</f>
        <v/>
      </c>
      <c r="O184" s="5"/>
      <c r="P184" s="5"/>
      <c r="Q184" s="5" t="str">
        <f ca="1">IFERROR(__xludf.DUMMYFUNCTION("""COMPUTED_VALUE"""),"")</f>
        <v/>
      </c>
      <c r="R184" s="5" t="str">
        <f ca="1">IFERROR(__xludf.DUMMYFUNCTION("""COMPUTED_VALUE"""),"")</f>
        <v/>
      </c>
      <c r="S184" s="5" t="str">
        <f ca="1">IFERROR(__xludf.DUMMYFUNCTION("""COMPUTED_VALUE"""),"")</f>
        <v/>
      </c>
      <c r="T184" s="5" t="str">
        <f ca="1">IFERROR(__xludf.DUMMYFUNCTION("""COMPUTED_VALUE"""),"")</f>
        <v/>
      </c>
      <c r="U184" s="5"/>
      <c r="V184" s="5"/>
    </row>
    <row r="185" spans="1:22" ht="13.2">
      <c r="A185" s="1"/>
      <c r="B185" s="1"/>
      <c r="C185" s="1"/>
      <c r="D185" s="58"/>
      <c r="E185" s="1"/>
      <c r="F185" s="1"/>
      <c r="G185" s="59"/>
      <c r="H185" s="1"/>
      <c r="I185" s="1"/>
      <c r="J185" s="4"/>
      <c r="K185" s="5" t="str">
        <f ca="1">IFERROR(__xludf.DUMMYFUNCTION("""COMPUTED_VALUE"""),"")</f>
        <v/>
      </c>
      <c r="L185" s="5" t="str">
        <f ca="1">IFERROR(__xludf.DUMMYFUNCTION("""COMPUTED_VALUE"""),"")</f>
        <v/>
      </c>
      <c r="M185" s="5" t="str">
        <f ca="1">IFERROR(__xludf.DUMMYFUNCTION("""COMPUTED_VALUE"""),"")</f>
        <v/>
      </c>
      <c r="N185" s="5" t="str">
        <f ca="1">IFERROR(__xludf.DUMMYFUNCTION("""COMPUTED_VALUE"""),"")</f>
        <v/>
      </c>
      <c r="O185" s="5"/>
      <c r="P185" s="5"/>
      <c r="Q185" s="5" t="str">
        <f ca="1">IFERROR(__xludf.DUMMYFUNCTION("""COMPUTED_VALUE"""),"")</f>
        <v/>
      </c>
      <c r="R185" s="5" t="str">
        <f ca="1">IFERROR(__xludf.DUMMYFUNCTION("""COMPUTED_VALUE"""),"")</f>
        <v/>
      </c>
      <c r="S185" s="5" t="str">
        <f ca="1">IFERROR(__xludf.DUMMYFUNCTION("""COMPUTED_VALUE"""),"")</f>
        <v/>
      </c>
      <c r="T185" s="5" t="str">
        <f ca="1">IFERROR(__xludf.DUMMYFUNCTION("""COMPUTED_VALUE"""),"")</f>
        <v/>
      </c>
      <c r="U185" s="5"/>
      <c r="V185" s="5"/>
    </row>
    <row r="186" spans="1:22" ht="13.2">
      <c r="A186" s="1"/>
      <c r="B186" s="1"/>
      <c r="C186" s="1"/>
      <c r="D186" s="58"/>
      <c r="E186" s="1"/>
      <c r="F186" s="1"/>
      <c r="G186" s="59"/>
      <c r="H186" s="1"/>
      <c r="I186" s="1"/>
      <c r="J186" s="4"/>
      <c r="K186" s="5" t="str">
        <f ca="1">IFERROR(__xludf.DUMMYFUNCTION("""COMPUTED_VALUE"""),"")</f>
        <v/>
      </c>
      <c r="L186" s="5" t="str">
        <f ca="1">IFERROR(__xludf.DUMMYFUNCTION("""COMPUTED_VALUE"""),"")</f>
        <v/>
      </c>
      <c r="M186" s="5" t="str">
        <f ca="1">IFERROR(__xludf.DUMMYFUNCTION("""COMPUTED_VALUE"""),"")</f>
        <v/>
      </c>
      <c r="N186" s="5" t="str">
        <f ca="1">IFERROR(__xludf.DUMMYFUNCTION("""COMPUTED_VALUE"""),"")</f>
        <v/>
      </c>
      <c r="O186" s="5"/>
      <c r="P186" s="5"/>
      <c r="Q186" s="5" t="str">
        <f ca="1">IFERROR(__xludf.DUMMYFUNCTION("""COMPUTED_VALUE"""),"")</f>
        <v/>
      </c>
      <c r="R186" s="5" t="str">
        <f ca="1">IFERROR(__xludf.DUMMYFUNCTION("""COMPUTED_VALUE"""),"")</f>
        <v/>
      </c>
      <c r="S186" s="5" t="str">
        <f ca="1">IFERROR(__xludf.DUMMYFUNCTION("""COMPUTED_VALUE"""),"")</f>
        <v/>
      </c>
      <c r="T186" s="5" t="str">
        <f ca="1">IFERROR(__xludf.DUMMYFUNCTION("""COMPUTED_VALUE"""),"")</f>
        <v/>
      </c>
      <c r="U186" s="5"/>
      <c r="V186" s="5"/>
    </row>
    <row r="187" spans="1:22" ht="13.2">
      <c r="A187" s="1"/>
      <c r="B187" s="1"/>
      <c r="C187" s="1"/>
      <c r="D187" s="58"/>
      <c r="E187" s="1"/>
      <c r="F187" s="1"/>
      <c r="G187" s="59"/>
      <c r="H187" s="1"/>
      <c r="I187" s="1"/>
      <c r="J187" s="4"/>
      <c r="K187" s="5" t="str">
        <f ca="1">IFERROR(__xludf.DUMMYFUNCTION("""COMPUTED_VALUE"""),"")</f>
        <v/>
      </c>
      <c r="L187" s="5" t="str">
        <f ca="1">IFERROR(__xludf.DUMMYFUNCTION("""COMPUTED_VALUE"""),"")</f>
        <v/>
      </c>
      <c r="M187" s="5" t="str">
        <f ca="1">IFERROR(__xludf.DUMMYFUNCTION("""COMPUTED_VALUE"""),"")</f>
        <v/>
      </c>
      <c r="N187" s="5" t="str">
        <f ca="1">IFERROR(__xludf.DUMMYFUNCTION("""COMPUTED_VALUE"""),"")</f>
        <v/>
      </c>
      <c r="O187" s="5"/>
      <c r="P187" s="5"/>
      <c r="Q187" s="5" t="str">
        <f ca="1">IFERROR(__xludf.DUMMYFUNCTION("""COMPUTED_VALUE"""),"")</f>
        <v/>
      </c>
      <c r="R187" s="5" t="str">
        <f ca="1">IFERROR(__xludf.DUMMYFUNCTION("""COMPUTED_VALUE"""),"")</f>
        <v/>
      </c>
      <c r="S187" s="5" t="str">
        <f ca="1">IFERROR(__xludf.DUMMYFUNCTION("""COMPUTED_VALUE"""),"")</f>
        <v/>
      </c>
      <c r="T187" s="5" t="str">
        <f ca="1">IFERROR(__xludf.DUMMYFUNCTION("""COMPUTED_VALUE"""),"")</f>
        <v/>
      </c>
      <c r="U187" s="5"/>
      <c r="V187" s="5"/>
    </row>
    <row r="188" spans="1:22" ht="13.2">
      <c r="A188" s="1"/>
      <c r="B188" s="1"/>
      <c r="C188" s="1"/>
      <c r="D188" s="58"/>
      <c r="E188" s="1"/>
      <c r="F188" s="1"/>
      <c r="G188" s="59"/>
      <c r="H188" s="1"/>
      <c r="I188" s="1"/>
      <c r="J188" s="4"/>
      <c r="K188" s="5" t="str">
        <f ca="1">IFERROR(__xludf.DUMMYFUNCTION("""COMPUTED_VALUE"""),"")</f>
        <v/>
      </c>
      <c r="L188" s="5" t="str">
        <f ca="1">IFERROR(__xludf.DUMMYFUNCTION("""COMPUTED_VALUE"""),"")</f>
        <v/>
      </c>
      <c r="M188" s="5" t="str">
        <f ca="1">IFERROR(__xludf.DUMMYFUNCTION("""COMPUTED_VALUE"""),"")</f>
        <v/>
      </c>
      <c r="N188" s="5" t="str">
        <f ca="1">IFERROR(__xludf.DUMMYFUNCTION("""COMPUTED_VALUE"""),"")</f>
        <v/>
      </c>
      <c r="O188" s="5"/>
      <c r="P188" s="5"/>
      <c r="Q188" s="5" t="str">
        <f ca="1">IFERROR(__xludf.DUMMYFUNCTION("""COMPUTED_VALUE"""),"")</f>
        <v/>
      </c>
      <c r="R188" s="5" t="str">
        <f ca="1">IFERROR(__xludf.DUMMYFUNCTION("""COMPUTED_VALUE"""),"")</f>
        <v/>
      </c>
      <c r="S188" s="5" t="str">
        <f ca="1">IFERROR(__xludf.DUMMYFUNCTION("""COMPUTED_VALUE"""),"")</f>
        <v/>
      </c>
      <c r="T188" s="5" t="str">
        <f ca="1">IFERROR(__xludf.DUMMYFUNCTION("""COMPUTED_VALUE"""),"")</f>
        <v/>
      </c>
      <c r="U188" s="5"/>
      <c r="V188" s="5"/>
    </row>
    <row r="189" spans="1:22" ht="13.2">
      <c r="A189" s="1"/>
      <c r="B189" s="1"/>
      <c r="C189" s="1"/>
      <c r="D189" s="58"/>
      <c r="E189" s="1"/>
      <c r="F189" s="1"/>
      <c r="G189" s="59"/>
      <c r="H189" s="1"/>
      <c r="I189" s="1"/>
      <c r="J189" s="4"/>
      <c r="K189" s="5" t="str">
        <f ca="1">IFERROR(__xludf.DUMMYFUNCTION("""COMPUTED_VALUE"""),"")</f>
        <v/>
      </c>
      <c r="L189" s="5" t="str">
        <f ca="1">IFERROR(__xludf.DUMMYFUNCTION("""COMPUTED_VALUE"""),"")</f>
        <v/>
      </c>
      <c r="M189" s="5" t="str">
        <f ca="1">IFERROR(__xludf.DUMMYFUNCTION("""COMPUTED_VALUE"""),"")</f>
        <v/>
      </c>
      <c r="N189" s="5" t="str">
        <f ca="1">IFERROR(__xludf.DUMMYFUNCTION("""COMPUTED_VALUE"""),"")</f>
        <v/>
      </c>
      <c r="O189" s="5"/>
      <c r="P189" s="5"/>
      <c r="Q189" s="5" t="str">
        <f ca="1">IFERROR(__xludf.DUMMYFUNCTION("""COMPUTED_VALUE"""),"")</f>
        <v/>
      </c>
      <c r="R189" s="5" t="str">
        <f ca="1">IFERROR(__xludf.DUMMYFUNCTION("""COMPUTED_VALUE"""),"")</f>
        <v/>
      </c>
      <c r="S189" s="5" t="str">
        <f ca="1">IFERROR(__xludf.DUMMYFUNCTION("""COMPUTED_VALUE"""),"")</f>
        <v/>
      </c>
      <c r="T189" s="5" t="str">
        <f ca="1">IFERROR(__xludf.DUMMYFUNCTION("""COMPUTED_VALUE"""),"")</f>
        <v/>
      </c>
      <c r="U189" s="5"/>
      <c r="V189" s="5"/>
    </row>
    <row r="190" spans="1:22" ht="13.2">
      <c r="A190" s="1"/>
      <c r="B190" s="1"/>
      <c r="C190" s="1"/>
      <c r="D190" s="58"/>
      <c r="E190" s="1"/>
      <c r="F190" s="1"/>
      <c r="G190" s="59"/>
      <c r="H190" s="1"/>
      <c r="I190" s="1"/>
      <c r="J190" s="4"/>
      <c r="K190" s="5" t="str">
        <f ca="1">IFERROR(__xludf.DUMMYFUNCTION("""COMPUTED_VALUE"""),"")</f>
        <v/>
      </c>
      <c r="L190" s="5" t="str">
        <f ca="1">IFERROR(__xludf.DUMMYFUNCTION("""COMPUTED_VALUE"""),"")</f>
        <v/>
      </c>
      <c r="M190" s="5" t="str">
        <f ca="1">IFERROR(__xludf.DUMMYFUNCTION("""COMPUTED_VALUE"""),"")</f>
        <v/>
      </c>
      <c r="N190" s="5" t="str">
        <f ca="1">IFERROR(__xludf.DUMMYFUNCTION("""COMPUTED_VALUE"""),"")</f>
        <v/>
      </c>
      <c r="O190" s="5"/>
      <c r="P190" s="5"/>
      <c r="Q190" s="5" t="str">
        <f ca="1">IFERROR(__xludf.DUMMYFUNCTION("""COMPUTED_VALUE"""),"")</f>
        <v/>
      </c>
      <c r="R190" s="5" t="str">
        <f ca="1">IFERROR(__xludf.DUMMYFUNCTION("""COMPUTED_VALUE"""),"")</f>
        <v/>
      </c>
      <c r="S190" s="5" t="str">
        <f ca="1">IFERROR(__xludf.DUMMYFUNCTION("""COMPUTED_VALUE"""),"")</f>
        <v/>
      </c>
      <c r="T190" s="5" t="str">
        <f ca="1">IFERROR(__xludf.DUMMYFUNCTION("""COMPUTED_VALUE"""),"")</f>
        <v/>
      </c>
      <c r="U190" s="5"/>
      <c r="V190" s="5"/>
    </row>
    <row r="191" spans="1:22" ht="13.2">
      <c r="A191" s="1"/>
      <c r="B191" s="1"/>
      <c r="C191" s="1"/>
      <c r="D191" s="58"/>
      <c r="E191" s="1"/>
      <c r="F191" s="1"/>
      <c r="G191" s="59"/>
      <c r="H191" s="1"/>
      <c r="I191" s="1"/>
      <c r="J191" s="4"/>
      <c r="K191" s="5" t="str">
        <f ca="1">IFERROR(__xludf.DUMMYFUNCTION("""COMPUTED_VALUE"""),"")</f>
        <v/>
      </c>
      <c r="L191" s="5" t="str">
        <f ca="1">IFERROR(__xludf.DUMMYFUNCTION("""COMPUTED_VALUE"""),"")</f>
        <v/>
      </c>
      <c r="M191" s="5" t="str">
        <f ca="1">IFERROR(__xludf.DUMMYFUNCTION("""COMPUTED_VALUE"""),"")</f>
        <v/>
      </c>
      <c r="N191" s="5" t="str">
        <f ca="1">IFERROR(__xludf.DUMMYFUNCTION("""COMPUTED_VALUE"""),"")</f>
        <v/>
      </c>
      <c r="O191" s="5"/>
      <c r="P191" s="5"/>
      <c r="Q191" s="5" t="str">
        <f ca="1">IFERROR(__xludf.DUMMYFUNCTION("""COMPUTED_VALUE"""),"")</f>
        <v/>
      </c>
      <c r="R191" s="5" t="str">
        <f ca="1">IFERROR(__xludf.DUMMYFUNCTION("""COMPUTED_VALUE"""),"")</f>
        <v/>
      </c>
      <c r="S191" s="5" t="str">
        <f ca="1">IFERROR(__xludf.DUMMYFUNCTION("""COMPUTED_VALUE"""),"")</f>
        <v/>
      </c>
      <c r="T191" s="5" t="str">
        <f ca="1">IFERROR(__xludf.DUMMYFUNCTION("""COMPUTED_VALUE"""),"")</f>
        <v/>
      </c>
      <c r="U191" s="5"/>
      <c r="V191" s="5"/>
    </row>
    <row r="192" spans="1:22" ht="13.2">
      <c r="A192" s="1"/>
      <c r="B192" s="1"/>
      <c r="C192" s="1"/>
      <c r="D192" s="58"/>
      <c r="E192" s="1"/>
      <c r="F192" s="1"/>
      <c r="G192" s="59"/>
      <c r="H192" s="1"/>
      <c r="I192" s="1"/>
      <c r="J192" s="4"/>
      <c r="K192" s="5" t="str">
        <f ca="1">IFERROR(__xludf.DUMMYFUNCTION("""COMPUTED_VALUE"""),"")</f>
        <v/>
      </c>
      <c r="L192" s="5" t="str">
        <f ca="1">IFERROR(__xludf.DUMMYFUNCTION("""COMPUTED_VALUE"""),"")</f>
        <v/>
      </c>
      <c r="M192" s="5" t="str">
        <f ca="1">IFERROR(__xludf.DUMMYFUNCTION("""COMPUTED_VALUE"""),"")</f>
        <v/>
      </c>
      <c r="N192" s="5" t="str">
        <f ca="1">IFERROR(__xludf.DUMMYFUNCTION("""COMPUTED_VALUE"""),"")</f>
        <v/>
      </c>
      <c r="O192" s="5"/>
      <c r="P192" s="5"/>
      <c r="Q192" s="5" t="str">
        <f ca="1">IFERROR(__xludf.DUMMYFUNCTION("""COMPUTED_VALUE"""),"")</f>
        <v/>
      </c>
      <c r="R192" s="5" t="str">
        <f ca="1">IFERROR(__xludf.DUMMYFUNCTION("""COMPUTED_VALUE"""),"")</f>
        <v/>
      </c>
      <c r="S192" s="5" t="str">
        <f ca="1">IFERROR(__xludf.DUMMYFUNCTION("""COMPUTED_VALUE"""),"")</f>
        <v/>
      </c>
      <c r="T192" s="5" t="str">
        <f ca="1">IFERROR(__xludf.DUMMYFUNCTION("""COMPUTED_VALUE"""),"")</f>
        <v/>
      </c>
      <c r="U192" s="5"/>
      <c r="V192" s="5"/>
    </row>
    <row r="193" spans="1:22" ht="13.2">
      <c r="A193" s="1"/>
      <c r="B193" s="1"/>
      <c r="C193" s="1"/>
      <c r="D193" s="58"/>
      <c r="E193" s="1"/>
      <c r="F193" s="1"/>
      <c r="G193" s="59"/>
      <c r="H193" s="1"/>
      <c r="I193" s="1"/>
      <c r="J193" s="4"/>
      <c r="K193" s="5" t="str">
        <f ca="1">IFERROR(__xludf.DUMMYFUNCTION("""COMPUTED_VALUE"""),"")</f>
        <v/>
      </c>
      <c r="L193" s="5" t="str">
        <f ca="1">IFERROR(__xludf.DUMMYFUNCTION("""COMPUTED_VALUE"""),"")</f>
        <v/>
      </c>
      <c r="M193" s="5" t="str">
        <f ca="1">IFERROR(__xludf.DUMMYFUNCTION("""COMPUTED_VALUE"""),"")</f>
        <v/>
      </c>
      <c r="N193" s="5" t="str">
        <f ca="1">IFERROR(__xludf.DUMMYFUNCTION("""COMPUTED_VALUE"""),"")</f>
        <v/>
      </c>
      <c r="O193" s="5"/>
      <c r="P193" s="5"/>
      <c r="Q193" s="5" t="str">
        <f ca="1">IFERROR(__xludf.DUMMYFUNCTION("""COMPUTED_VALUE"""),"")</f>
        <v/>
      </c>
      <c r="R193" s="5" t="str">
        <f ca="1">IFERROR(__xludf.DUMMYFUNCTION("""COMPUTED_VALUE"""),"")</f>
        <v/>
      </c>
      <c r="S193" s="5" t="str">
        <f ca="1">IFERROR(__xludf.DUMMYFUNCTION("""COMPUTED_VALUE"""),"")</f>
        <v/>
      </c>
      <c r="T193" s="5" t="str">
        <f ca="1">IFERROR(__xludf.DUMMYFUNCTION("""COMPUTED_VALUE"""),"")</f>
        <v/>
      </c>
      <c r="U193" s="5"/>
      <c r="V193" s="5"/>
    </row>
    <row r="194" spans="1:22" ht="13.2">
      <c r="A194" s="1"/>
      <c r="B194" s="1"/>
      <c r="C194" s="1"/>
      <c r="D194" s="58"/>
      <c r="E194" s="1"/>
      <c r="F194" s="1"/>
      <c r="G194" s="59"/>
      <c r="H194" s="1"/>
      <c r="I194" s="1"/>
      <c r="J194" s="4"/>
      <c r="K194" s="5" t="str">
        <f ca="1">IFERROR(__xludf.DUMMYFUNCTION("""COMPUTED_VALUE"""),"")</f>
        <v/>
      </c>
      <c r="L194" s="5" t="str">
        <f ca="1">IFERROR(__xludf.DUMMYFUNCTION("""COMPUTED_VALUE"""),"")</f>
        <v/>
      </c>
      <c r="M194" s="5" t="str">
        <f ca="1">IFERROR(__xludf.DUMMYFUNCTION("""COMPUTED_VALUE"""),"")</f>
        <v/>
      </c>
      <c r="N194" s="5" t="str">
        <f ca="1">IFERROR(__xludf.DUMMYFUNCTION("""COMPUTED_VALUE"""),"")</f>
        <v/>
      </c>
      <c r="O194" s="5"/>
      <c r="P194" s="5"/>
      <c r="Q194" s="5" t="str">
        <f ca="1">IFERROR(__xludf.DUMMYFUNCTION("""COMPUTED_VALUE"""),"")</f>
        <v/>
      </c>
      <c r="R194" s="5" t="str">
        <f ca="1">IFERROR(__xludf.DUMMYFUNCTION("""COMPUTED_VALUE"""),"")</f>
        <v/>
      </c>
      <c r="S194" s="5" t="str">
        <f ca="1">IFERROR(__xludf.DUMMYFUNCTION("""COMPUTED_VALUE"""),"")</f>
        <v/>
      </c>
      <c r="T194" s="5" t="str">
        <f ca="1">IFERROR(__xludf.DUMMYFUNCTION("""COMPUTED_VALUE"""),"")</f>
        <v/>
      </c>
      <c r="U194" s="5"/>
      <c r="V194" s="5"/>
    </row>
    <row r="195" spans="1:22" ht="13.2">
      <c r="A195" s="1"/>
      <c r="B195" s="1"/>
      <c r="C195" s="1"/>
      <c r="D195" s="58"/>
      <c r="E195" s="1"/>
      <c r="F195" s="1"/>
      <c r="G195" s="59"/>
      <c r="H195" s="1"/>
      <c r="I195" s="1"/>
      <c r="J195" s="4"/>
      <c r="K195" s="5" t="str">
        <f ca="1">IFERROR(__xludf.DUMMYFUNCTION("""COMPUTED_VALUE"""),"")</f>
        <v/>
      </c>
      <c r="L195" s="5" t="str">
        <f ca="1">IFERROR(__xludf.DUMMYFUNCTION("""COMPUTED_VALUE"""),"")</f>
        <v/>
      </c>
      <c r="M195" s="5" t="str">
        <f ca="1">IFERROR(__xludf.DUMMYFUNCTION("""COMPUTED_VALUE"""),"")</f>
        <v/>
      </c>
      <c r="N195" s="5" t="str">
        <f ca="1">IFERROR(__xludf.DUMMYFUNCTION("""COMPUTED_VALUE"""),"")</f>
        <v/>
      </c>
      <c r="O195" s="5"/>
      <c r="P195" s="5"/>
      <c r="Q195" s="5" t="str">
        <f ca="1">IFERROR(__xludf.DUMMYFUNCTION("""COMPUTED_VALUE"""),"")</f>
        <v/>
      </c>
      <c r="R195" s="5" t="str">
        <f ca="1">IFERROR(__xludf.DUMMYFUNCTION("""COMPUTED_VALUE"""),"")</f>
        <v/>
      </c>
      <c r="S195" s="5" t="str">
        <f ca="1">IFERROR(__xludf.DUMMYFUNCTION("""COMPUTED_VALUE"""),"")</f>
        <v/>
      </c>
      <c r="T195" s="5" t="str">
        <f ca="1">IFERROR(__xludf.DUMMYFUNCTION("""COMPUTED_VALUE"""),"")</f>
        <v/>
      </c>
      <c r="U195" s="5"/>
      <c r="V195" s="5"/>
    </row>
    <row r="196" spans="1:22" ht="13.2">
      <c r="A196" s="1"/>
      <c r="B196" s="1"/>
      <c r="C196" s="1"/>
      <c r="D196" s="58"/>
      <c r="E196" s="1"/>
      <c r="F196" s="1"/>
      <c r="G196" s="59"/>
      <c r="H196" s="1"/>
      <c r="I196" s="1"/>
      <c r="J196" s="4"/>
      <c r="K196" s="5" t="str">
        <f ca="1">IFERROR(__xludf.DUMMYFUNCTION("""COMPUTED_VALUE"""),"")</f>
        <v/>
      </c>
      <c r="L196" s="5" t="str">
        <f ca="1">IFERROR(__xludf.DUMMYFUNCTION("""COMPUTED_VALUE"""),"")</f>
        <v/>
      </c>
      <c r="M196" s="5" t="str">
        <f ca="1">IFERROR(__xludf.DUMMYFUNCTION("""COMPUTED_VALUE"""),"")</f>
        <v/>
      </c>
      <c r="N196" s="5" t="str">
        <f ca="1">IFERROR(__xludf.DUMMYFUNCTION("""COMPUTED_VALUE"""),"")</f>
        <v/>
      </c>
      <c r="O196" s="5"/>
      <c r="P196" s="5"/>
      <c r="Q196" s="5" t="str">
        <f ca="1">IFERROR(__xludf.DUMMYFUNCTION("""COMPUTED_VALUE"""),"")</f>
        <v/>
      </c>
      <c r="R196" s="5" t="str">
        <f ca="1">IFERROR(__xludf.DUMMYFUNCTION("""COMPUTED_VALUE"""),"")</f>
        <v/>
      </c>
      <c r="S196" s="5" t="str">
        <f ca="1">IFERROR(__xludf.DUMMYFUNCTION("""COMPUTED_VALUE"""),"")</f>
        <v/>
      </c>
      <c r="T196" s="5" t="str">
        <f ca="1">IFERROR(__xludf.DUMMYFUNCTION("""COMPUTED_VALUE"""),"")</f>
        <v/>
      </c>
      <c r="U196" s="5"/>
      <c r="V196" s="5"/>
    </row>
    <row r="197" spans="1:22" ht="13.2">
      <c r="A197" s="1"/>
      <c r="B197" s="1"/>
      <c r="C197" s="1"/>
      <c r="D197" s="58"/>
      <c r="E197" s="1"/>
      <c r="F197" s="1"/>
      <c r="G197" s="59"/>
      <c r="H197" s="1"/>
      <c r="I197" s="1"/>
      <c r="J197" s="4"/>
      <c r="K197" s="5" t="str">
        <f ca="1">IFERROR(__xludf.DUMMYFUNCTION("""COMPUTED_VALUE"""),"")</f>
        <v/>
      </c>
      <c r="L197" s="5" t="str">
        <f ca="1">IFERROR(__xludf.DUMMYFUNCTION("""COMPUTED_VALUE"""),"")</f>
        <v/>
      </c>
      <c r="M197" s="5" t="str">
        <f ca="1">IFERROR(__xludf.DUMMYFUNCTION("""COMPUTED_VALUE"""),"")</f>
        <v/>
      </c>
      <c r="N197" s="5" t="str">
        <f ca="1">IFERROR(__xludf.DUMMYFUNCTION("""COMPUTED_VALUE"""),"")</f>
        <v/>
      </c>
      <c r="O197" s="5"/>
      <c r="P197" s="5"/>
      <c r="Q197" s="5" t="str">
        <f ca="1">IFERROR(__xludf.DUMMYFUNCTION("""COMPUTED_VALUE"""),"")</f>
        <v/>
      </c>
      <c r="R197" s="5" t="str">
        <f ca="1">IFERROR(__xludf.DUMMYFUNCTION("""COMPUTED_VALUE"""),"")</f>
        <v/>
      </c>
      <c r="S197" s="5" t="str">
        <f ca="1">IFERROR(__xludf.DUMMYFUNCTION("""COMPUTED_VALUE"""),"")</f>
        <v/>
      </c>
      <c r="T197" s="5" t="str">
        <f ca="1">IFERROR(__xludf.DUMMYFUNCTION("""COMPUTED_VALUE"""),"")</f>
        <v/>
      </c>
      <c r="U197" s="5"/>
      <c r="V197" s="5"/>
    </row>
    <row r="198" spans="1:22" ht="13.2">
      <c r="A198" s="1"/>
      <c r="B198" s="1"/>
      <c r="C198" s="1"/>
      <c r="D198" s="58"/>
      <c r="E198" s="1"/>
      <c r="F198" s="1"/>
      <c r="G198" s="59"/>
      <c r="H198" s="1"/>
      <c r="I198" s="1"/>
      <c r="J198" s="4"/>
      <c r="K198" s="5" t="str">
        <f ca="1">IFERROR(__xludf.DUMMYFUNCTION("""COMPUTED_VALUE"""),"")</f>
        <v/>
      </c>
      <c r="L198" s="5" t="str">
        <f ca="1">IFERROR(__xludf.DUMMYFUNCTION("""COMPUTED_VALUE"""),"")</f>
        <v/>
      </c>
      <c r="M198" s="5" t="str">
        <f ca="1">IFERROR(__xludf.DUMMYFUNCTION("""COMPUTED_VALUE"""),"")</f>
        <v/>
      </c>
      <c r="N198" s="5" t="str">
        <f ca="1">IFERROR(__xludf.DUMMYFUNCTION("""COMPUTED_VALUE"""),"")</f>
        <v/>
      </c>
      <c r="O198" s="5"/>
      <c r="P198" s="5"/>
      <c r="Q198" s="5" t="str">
        <f ca="1">IFERROR(__xludf.DUMMYFUNCTION("""COMPUTED_VALUE"""),"")</f>
        <v/>
      </c>
      <c r="R198" s="5" t="str">
        <f ca="1">IFERROR(__xludf.DUMMYFUNCTION("""COMPUTED_VALUE"""),"")</f>
        <v/>
      </c>
      <c r="S198" s="5" t="str">
        <f ca="1">IFERROR(__xludf.DUMMYFUNCTION("""COMPUTED_VALUE"""),"")</f>
        <v/>
      </c>
      <c r="T198" s="5" t="str">
        <f ca="1">IFERROR(__xludf.DUMMYFUNCTION("""COMPUTED_VALUE"""),"")</f>
        <v/>
      </c>
      <c r="U198" s="5"/>
      <c r="V198" s="5"/>
    </row>
    <row r="199" spans="1:22" ht="13.2">
      <c r="A199" s="1"/>
      <c r="B199" s="1"/>
      <c r="C199" s="1"/>
      <c r="D199" s="58"/>
      <c r="E199" s="1"/>
      <c r="F199" s="1"/>
      <c r="G199" s="59"/>
      <c r="H199" s="1"/>
      <c r="I199" s="1"/>
      <c r="J199" s="4"/>
      <c r="K199" s="5" t="str">
        <f ca="1">IFERROR(__xludf.DUMMYFUNCTION("""COMPUTED_VALUE"""),"")</f>
        <v/>
      </c>
      <c r="L199" s="5" t="str">
        <f ca="1">IFERROR(__xludf.DUMMYFUNCTION("""COMPUTED_VALUE"""),"")</f>
        <v/>
      </c>
      <c r="M199" s="5" t="str">
        <f ca="1">IFERROR(__xludf.DUMMYFUNCTION("""COMPUTED_VALUE"""),"")</f>
        <v/>
      </c>
      <c r="N199" s="5" t="str">
        <f ca="1">IFERROR(__xludf.DUMMYFUNCTION("""COMPUTED_VALUE"""),"")</f>
        <v/>
      </c>
      <c r="O199" s="5"/>
      <c r="P199" s="5"/>
      <c r="Q199" s="5" t="str">
        <f ca="1">IFERROR(__xludf.DUMMYFUNCTION("""COMPUTED_VALUE"""),"")</f>
        <v/>
      </c>
      <c r="R199" s="5" t="str">
        <f ca="1">IFERROR(__xludf.DUMMYFUNCTION("""COMPUTED_VALUE"""),"")</f>
        <v/>
      </c>
      <c r="S199" s="5" t="str">
        <f ca="1">IFERROR(__xludf.DUMMYFUNCTION("""COMPUTED_VALUE"""),"")</f>
        <v/>
      </c>
      <c r="T199" s="5" t="str">
        <f ca="1">IFERROR(__xludf.DUMMYFUNCTION("""COMPUTED_VALUE"""),"")</f>
        <v/>
      </c>
      <c r="U199" s="5"/>
      <c r="V199" s="5"/>
    </row>
    <row r="200" spans="1:22" ht="13.2">
      <c r="A200" s="1"/>
      <c r="B200" s="1"/>
      <c r="C200" s="1"/>
      <c r="D200" s="58"/>
      <c r="E200" s="1"/>
      <c r="F200" s="1"/>
      <c r="G200" s="59"/>
      <c r="H200" s="1"/>
      <c r="I200" s="1"/>
      <c r="J200" s="4"/>
      <c r="K200" s="5" t="str">
        <f ca="1">IFERROR(__xludf.DUMMYFUNCTION("""COMPUTED_VALUE"""),"")</f>
        <v/>
      </c>
      <c r="L200" s="5" t="str">
        <f ca="1">IFERROR(__xludf.DUMMYFUNCTION("""COMPUTED_VALUE"""),"")</f>
        <v/>
      </c>
      <c r="M200" s="5" t="str">
        <f ca="1">IFERROR(__xludf.DUMMYFUNCTION("""COMPUTED_VALUE"""),"")</f>
        <v/>
      </c>
      <c r="N200" s="5" t="str">
        <f ca="1">IFERROR(__xludf.DUMMYFUNCTION("""COMPUTED_VALUE"""),"")</f>
        <v/>
      </c>
      <c r="O200" s="5"/>
      <c r="P200" s="5"/>
      <c r="Q200" s="5" t="str">
        <f ca="1">IFERROR(__xludf.DUMMYFUNCTION("""COMPUTED_VALUE"""),"")</f>
        <v/>
      </c>
      <c r="R200" s="5" t="str">
        <f ca="1">IFERROR(__xludf.DUMMYFUNCTION("""COMPUTED_VALUE"""),"")</f>
        <v/>
      </c>
      <c r="S200" s="5" t="str">
        <f ca="1">IFERROR(__xludf.DUMMYFUNCTION("""COMPUTED_VALUE"""),"")</f>
        <v/>
      </c>
      <c r="T200" s="5" t="str">
        <f ca="1">IFERROR(__xludf.DUMMYFUNCTION("""COMPUTED_VALUE"""),"")</f>
        <v/>
      </c>
      <c r="U200" s="5"/>
      <c r="V200" s="5"/>
    </row>
    <row r="201" spans="1:22" ht="13.2">
      <c r="A201" s="1"/>
      <c r="B201" s="1"/>
      <c r="C201" s="1"/>
      <c r="D201" s="58"/>
      <c r="E201" s="1"/>
      <c r="F201" s="1"/>
      <c r="G201" s="59"/>
      <c r="H201" s="1"/>
      <c r="I201" s="1"/>
      <c r="J201" s="4"/>
      <c r="K201" s="5" t="str">
        <f ca="1">IFERROR(__xludf.DUMMYFUNCTION("""COMPUTED_VALUE"""),"")</f>
        <v/>
      </c>
      <c r="L201" s="5" t="str">
        <f ca="1">IFERROR(__xludf.DUMMYFUNCTION("""COMPUTED_VALUE"""),"")</f>
        <v/>
      </c>
      <c r="M201" s="5" t="str">
        <f ca="1">IFERROR(__xludf.DUMMYFUNCTION("""COMPUTED_VALUE"""),"")</f>
        <v/>
      </c>
      <c r="N201" s="5" t="str">
        <f ca="1">IFERROR(__xludf.DUMMYFUNCTION("""COMPUTED_VALUE"""),"")</f>
        <v/>
      </c>
      <c r="O201" s="5"/>
      <c r="P201" s="5"/>
      <c r="Q201" s="5" t="str">
        <f ca="1">IFERROR(__xludf.DUMMYFUNCTION("""COMPUTED_VALUE"""),"")</f>
        <v/>
      </c>
      <c r="R201" s="5" t="str">
        <f ca="1">IFERROR(__xludf.DUMMYFUNCTION("""COMPUTED_VALUE"""),"")</f>
        <v/>
      </c>
      <c r="S201" s="5" t="str">
        <f ca="1">IFERROR(__xludf.DUMMYFUNCTION("""COMPUTED_VALUE"""),"")</f>
        <v/>
      </c>
      <c r="T201" s="5" t="str">
        <f ca="1">IFERROR(__xludf.DUMMYFUNCTION("""COMPUTED_VALUE"""),"")</f>
        <v/>
      </c>
      <c r="U201" s="5"/>
      <c r="V201" s="5"/>
    </row>
    <row r="202" spans="1:22" ht="13.2">
      <c r="A202" s="1"/>
      <c r="B202" s="1"/>
      <c r="C202" s="1"/>
      <c r="D202" s="58"/>
      <c r="E202" s="1"/>
      <c r="F202" s="1"/>
      <c r="G202" s="59"/>
      <c r="H202" s="1"/>
      <c r="I202" s="1"/>
      <c r="J202" s="4"/>
      <c r="K202" s="5" t="str">
        <f ca="1">IFERROR(__xludf.DUMMYFUNCTION("""COMPUTED_VALUE"""),"")</f>
        <v/>
      </c>
      <c r="L202" s="5" t="str">
        <f ca="1">IFERROR(__xludf.DUMMYFUNCTION("""COMPUTED_VALUE"""),"")</f>
        <v/>
      </c>
      <c r="M202" s="5" t="str">
        <f ca="1">IFERROR(__xludf.DUMMYFUNCTION("""COMPUTED_VALUE"""),"")</f>
        <v/>
      </c>
      <c r="N202" s="5" t="str">
        <f ca="1">IFERROR(__xludf.DUMMYFUNCTION("""COMPUTED_VALUE"""),"")</f>
        <v/>
      </c>
      <c r="O202" s="5"/>
      <c r="P202" s="5"/>
      <c r="Q202" s="5" t="str">
        <f ca="1">IFERROR(__xludf.DUMMYFUNCTION("""COMPUTED_VALUE"""),"")</f>
        <v/>
      </c>
      <c r="R202" s="5" t="str">
        <f ca="1">IFERROR(__xludf.DUMMYFUNCTION("""COMPUTED_VALUE"""),"")</f>
        <v/>
      </c>
      <c r="S202" s="5" t="str">
        <f ca="1">IFERROR(__xludf.DUMMYFUNCTION("""COMPUTED_VALUE"""),"")</f>
        <v/>
      </c>
      <c r="T202" s="5" t="str">
        <f ca="1">IFERROR(__xludf.DUMMYFUNCTION("""COMPUTED_VALUE"""),"")</f>
        <v/>
      </c>
      <c r="U202" s="5"/>
      <c r="V202" s="5"/>
    </row>
    <row r="203" spans="1:22" ht="13.2">
      <c r="A203" s="1"/>
      <c r="B203" s="1"/>
      <c r="C203" s="1"/>
      <c r="D203" s="58"/>
      <c r="E203" s="1"/>
      <c r="F203" s="1"/>
      <c r="G203" s="59"/>
      <c r="H203" s="1"/>
      <c r="I203" s="1"/>
      <c r="J203" s="4"/>
      <c r="K203" s="5" t="str">
        <f ca="1">IFERROR(__xludf.DUMMYFUNCTION("""COMPUTED_VALUE"""),"")</f>
        <v/>
      </c>
      <c r="L203" s="5" t="str">
        <f ca="1">IFERROR(__xludf.DUMMYFUNCTION("""COMPUTED_VALUE"""),"")</f>
        <v/>
      </c>
      <c r="M203" s="5" t="str">
        <f ca="1">IFERROR(__xludf.DUMMYFUNCTION("""COMPUTED_VALUE"""),"")</f>
        <v/>
      </c>
      <c r="N203" s="5" t="str">
        <f ca="1">IFERROR(__xludf.DUMMYFUNCTION("""COMPUTED_VALUE"""),"")</f>
        <v/>
      </c>
      <c r="O203" s="5"/>
      <c r="P203" s="5"/>
      <c r="Q203" s="5" t="str">
        <f ca="1">IFERROR(__xludf.DUMMYFUNCTION("""COMPUTED_VALUE"""),"")</f>
        <v/>
      </c>
      <c r="R203" s="5" t="str">
        <f ca="1">IFERROR(__xludf.DUMMYFUNCTION("""COMPUTED_VALUE"""),"")</f>
        <v/>
      </c>
      <c r="S203" s="5" t="str">
        <f ca="1">IFERROR(__xludf.DUMMYFUNCTION("""COMPUTED_VALUE"""),"")</f>
        <v/>
      </c>
      <c r="T203" s="5" t="str">
        <f ca="1">IFERROR(__xludf.DUMMYFUNCTION("""COMPUTED_VALUE"""),"")</f>
        <v/>
      </c>
      <c r="U203" s="5"/>
      <c r="V203" s="5"/>
    </row>
    <row r="204" spans="1:22" ht="13.2">
      <c r="A204" s="1"/>
      <c r="B204" s="1"/>
      <c r="C204" s="1"/>
      <c r="D204" s="58"/>
      <c r="E204" s="1"/>
      <c r="F204" s="1"/>
      <c r="G204" s="59"/>
      <c r="H204" s="1"/>
      <c r="I204" s="1"/>
      <c r="J204" s="4"/>
      <c r="K204" s="5" t="str">
        <f ca="1">IFERROR(__xludf.DUMMYFUNCTION("""COMPUTED_VALUE"""),"")</f>
        <v/>
      </c>
      <c r="L204" s="5" t="str">
        <f ca="1">IFERROR(__xludf.DUMMYFUNCTION("""COMPUTED_VALUE"""),"")</f>
        <v/>
      </c>
      <c r="M204" s="5" t="str">
        <f ca="1">IFERROR(__xludf.DUMMYFUNCTION("""COMPUTED_VALUE"""),"")</f>
        <v/>
      </c>
      <c r="N204" s="5" t="str">
        <f ca="1">IFERROR(__xludf.DUMMYFUNCTION("""COMPUTED_VALUE"""),"")</f>
        <v/>
      </c>
      <c r="O204" s="5"/>
      <c r="P204" s="5"/>
      <c r="Q204" s="5" t="str">
        <f ca="1">IFERROR(__xludf.DUMMYFUNCTION("""COMPUTED_VALUE"""),"")</f>
        <v/>
      </c>
      <c r="R204" s="5" t="str">
        <f ca="1">IFERROR(__xludf.DUMMYFUNCTION("""COMPUTED_VALUE"""),"")</f>
        <v/>
      </c>
      <c r="S204" s="5" t="str">
        <f ca="1">IFERROR(__xludf.DUMMYFUNCTION("""COMPUTED_VALUE"""),"")</f>
        <v/>
      </c>
      <c r="T204" s="5" t="str">
        <f ca="1">IFERROR(__xludf.DUMMYFUNCTION("""COMPUTED_VALUE"""),"")</f>
        <v/>
      </c>
      <c r="U204" s="5"/>
      <c r="V204" s="5"/>
    </row>
    <row r="205" spans="1:22" ht="13.2">
      <c r="A205" s="1"/>
      <c r="B205" s="1"/>
      <c r="C205" s="1"/>
      <c r="D205" s="58"/>
      <c r="E205" s="1"/>
      <c r="F205" s="1"/>
      <c r="G205" s="59"/>
      <c r="H205" s="1"/>
      <c r="I205" s="1"/>
      <c r="J205" s="4"/>
      <c r="K205" s="5" t="str">
        <f ca="1">IFERROR(__xludf.DUMMYFUNCTION("""COMPUTED_VALUE"""),"")</f>
        <v/>
      </c>
      <c r="L205" s="5" t="str">
        <f ca="1">IFERROR(__xludf.DUMMYFUNCTION("""COMPUTED_VALUE"""),"")</f>
        <v/>
      </c>
      <c r="M205" s="5" t="str">
        <f ca="1">IFERROR(__xludf.DUMMYFUNCTION("""COMPUTED_VALUE"""),"")</f>
        <v/>
      </c>
      <c r="N205" s="5" t="str">
        <f ca="1">IFERROR(__xludf.DUMMYFUNCTION("""COMPUTED_VALUE"""),"")</f>
        <v/>
      </c>
      <c r="O205" s="5"/>
      <c r="P205" s="5"/>
      <c r="Q205" s="5" t="str">
        <f ca="1">IFERROR(__xludf.DUMMYFUNCTION("""COMPUTED_VALUE"""),"")</f>
        <v/>
      </c>
      <c r="R205" s="5" t="str">
        <f ca="1">IFERROR(__xludf.DUMMYFUNCTION("""COMPUTED_VALUE"""),"")</f>
        <v/>
      </c>
      <c r="S205" s="5" t="str">
        <f ca="1">IFERROR(__xludf.DUMMYFUNCTION("""COMPUTED_VALUE"""),"")</f>
        <v/>
      </c>
      <c r="T205" s="5" t="str">
        <f ca="1">IFERROR(__xludf.DUMMYFUNCTION("""COMPUTED_VALUE"""),"")</f>
        <v/>
      </c>
      <c r="U205" s="5"/>
      <c r="V205" s="5"/>
    </row>
    <row r="206" spans="1:22" ht="13.2">
      <c r="A206" s="1"/>
      <c r="B206" s="1"/>
      <c r="C206" s="1"/>
      <c r="D206" s="58"/>
      <c r="E206" s="1"/>
      <c r="F206" s="1"/>
      <c r="G206" s="59"/>
      <c r="H206" s="1"/>
      <c r="I206" s="1"/>
      <c r="J206" s="4"/>
      <c r="K206" s="5" t="str">
        <f ca="1">IFERROR(__xludf.DUMMYFUNCTION("""COMPUTED_VALUE"""),"")</f>
        <v/>
      </c>
      <c r="L206" s="5" t="str">
        <f ca="1">IFERROR(__xludf.DUMMYFUNCTION("""COMPUTED_VALUE"""),"")</f>
        <v/>
      </c>
      <c r="M206" s="5" t="str">
        <f ca="1">IFERROR(__xludf.DUMMYFUNCTION("""COMPUTED_VALUE"""),"")</f>
        <v/>
      </c>
      <c r="N206" s="5" t="str">
        <f ca="1">IFERROR(__xludf.DUMMYFUNCTION("""COMPUTED_VALUE"""),"")</f>
        <v/>
      </c>
      <c r="O206" s="5"/>
      <c r="P206" s="5"/>
      <c r="Q206" s="5" t="str">
        <f ca="1">IFERROR(__xludf.DUMMYFUNCTION("""COMPUTED_VALUE"""),"")</f>
        <v/>
      </c>
      <c r="R206" s="5" t="str">
        <f ca="1">IFERROR(__xludf.DUMMYFUNCTION("""COMPUTED_VALUE"""),"")</f>
        <v/>
      </c>
      <c r="S206" s="5" t="str">
        <f ca="1">IFERROR(__xludf.DUMMYFUNCTION("""COMPUTED_VALUE"""),"")</f>
        <v/>
      </c>
      <c r="T206" s="5" t="str">
        <f ca="1">IFERROR(__xludf.DUMMYFUNCTION("""COMPUTED_VALUE"""),"")</f>
        <v/>
      </c>
      <c r="U206" s="5"/>
      <c r="V206" s="5"/>
    </row>
    <row r="207" spans="1:22" ht="13.2">
      <c r="A207" s="1"/>
      <c r="B207" s="1"/>
      <c r="C207" s="1"/>
      <c r="D207" s="58"/>
      <c r="E207" s="1"/>
      <c r="F207" s="1"/>
      <c r="G207" s="59"/>
      <c r="H207" s="1"/>
      <c r="I207" s="1"/>
      <c r="J207" s="4"/>
      <c r="K207" s="29" t="str">
        <f ca="1">IFERROR(__xludf.DUMMYFUNCTION("""COMPUTED_VALUE"""),"")</f>
        <v/>
      </c>
      <c r="L207" s="29" t="str">
        <f ca="1">IFERROR(__xludf.DUMMYFUNCTION("""COMPUTED_VALUE"""),"")</f>
        <v/>
      </c>
      <c r="M207" s="29" t="str">
        <f ca="1">IFERROR(__xludf.DUMMYFUNCTION("""COMPUTED_VALUE"""),"")</f>
        <v/>
      </c>
      <c r="N207" s="29" t="str">
        <f ca="1">IFERROR(__xludf.DUMMYFUNCTION("""COMPUTED_VALUE"""),"")</f>
        <v/>
      </c>
      <c r="O207" s="29"/>
      <c r="P207" s="29"/>
      <c r="Q207" s="29" t="str">
        <f ca="1">IFERROR(__xludf.DUMMYFUNCTION("""COMPUTED_VALUE"""),"")</f>
        <v/>
      </c>
      <c r="R207" s="29" t="str">
        <f ca="1">IFERROR(__xludf.DUMMYFUNCTION("""COMPUTED_VALUE"""),"")</f>
        <v/>
      </c>
      <c r="S207" s="29" t="str">
        <f ca="1">IFERROR(__xludf.DUMMYFUNCTION("""COMPUTED_VALUE"""),"")</f>
        <v/>
      </c>
      <c r="T207" s="29" t="str">
        <f ca="1">IFERROR(__xludf.DUMMYFUNCTION("""COMPUTED_VALUE"""),"")</f>
        <v/>
      </c>
      <c r="U207" s="29"/>
      <c r="V207" s="29"/>
    </row>
    <row r="208" spans="1:22" ht="15.6">
      <c r="A208" s="19" t="str">
        <f>LEFT($D211,2)&amp;"g"</f>
        <v>13g</v>
      </c>
      <c r="B208" s="20"/>
      <c r="C208" s="14" t="str">
        <f>"Age Group: " &amp; D211</f>
        <v>Age Group: 13 &amp; Over Girls</v>
      </c>
      <c r="D208" s="21"/>
      <c r="E208" s="20"/>
      <c r="F208" s="20"/>
      <c r="G208" s="23" t="str">
        <f>G108</f>
        <v>Event Date:</v>
      </c>
      <c r="H208" s="199">
        <f>C$1</f>
        <v>45480</v>
      </c>
      <c r="I208" s="194"/>
      <c r="J208" s="4"/>
      <c r="K208" s="5" t="str">
        <f ca="1">IFERROR(__xludf.DUMMYFUNCTION("""COMPUTED_VALUE"""),"")</f>
        <v/>
      </c>
      <c r="L208" s="5" t="str">
        <f ca="1">IFERROR(__xludf.DUMMYFUNCTION("""COMPUTED_VALUE"""),"")</f>
        <v/>
      </c>
      <c r="M208" s="5" t="str">
        <f ca="1">IFERROR(__xludf.DUMMYFUNCTION("""COMPUTED_VALUE"""),"")</f>
        <v/>
      </c>
      <c r="N208" s="5" t="str">
        <f ca="1">IFERROR(__xludf.DUMMYFUNCTION("""COMPUTED_VALUE"""),"")</f>
        <v/>
      </c>
      <c r="O208" s="5"/>
      <c r="P208" s="5"/>
      <c r="Q208" s="5" t="str">
        <f ca="1">IFERROR(__xludf.DUMMYFUNCTION("""COMPUTED_VALUE"""),"")</f>
        <v/>
      </c>
      <c r="R208" s="5" t="str">
        <f ca="1">IFERROR(__xludf.DUMMYFUNCTION("""COMPUTED_VALUE"""),"")</f>
        <v/>
      </c>
      <c r="S208" s="5" t="str">
        <f ca="1">IFERROR(__xludf.DUMMYFUNCTION("""COMPUTED_VALUE"""),"")</f>
        <v/>
      </c>
      <c r="T208" s="5" t="str">
        <f ca="1">IFERROR(__xludf.DUMMYFUNCTION("""COMPUTED_VALUE"""),"")</f>
        <v/>
      </c>
      <c r="U208" s="5"/>
      <c r="V208" s="5"/>
    </row>
    <row r="209" spans="1:22" ht="13.2">
      <c r="A209" s="1"/>
      <c r="B209" s="20"/>
      <c r="C209" s="25" t="str">
        <f t="shared" ref="C209:C212" si="8">C109</f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209" s="2"/>
      <c r="E209" s="20"/>
      <c r="F209" s="20"/>
      <c r="G209" s="71"/>
      <c r="H209" s="20"/>
      <c r="I209" s="20"/>
      <c r="J209" s="4"/>
      <c r="K209" s="5" t="str">
        <f ca="1">IFERROR(__xludf.DUMMYFUNCTION("""COMPUTED_VALUE"""),"")</f>
        <v/>
      </c>
      <c r="L209" s="5" t="str">
        <f ca="1">IFERROR(__xludf.DUMMYFUNCTION("""COMPUTED_VALUE"""),"")</f>
        <v/>
      </c>
      <c r="M209" s="5" t="str">
        <f ca="1">IFERROR(__xludf.DUMMYFUNCTION("""COMPUTED_VALUE"""),"")</f>
        <v/>
      </c>
      <c r="N209" s="5" t="str">
        <f ca="1">IFERROR(__xludf.DUMMYFUNCTION("""COMPUTED_VALUE"""),"")</f>
        <v/>
      </c>
      <c r="O209" s="5"/>
      <c r="P209" s="5"/>
      <c r="Q209" s="5" t="str">
        <f ca="1">IFERROR(__xludf.DUMMYFUNCTION("""COMPUTED_VALUE"""),"")</f>
        <v/>
      </c>
      <c r="R209" s="5" t="str">
        <f ca="1">IFERROR(__xludf.DUMMYFUNCTION("""COMPUTED_VALUE"""),"")</f>
        <v/>
      </c>
      <c r="S209" s="5" t="str">
        <f ca="1">IFERROR(__xludf.DUMMYFUNCTION("""COMPUTED_VALUE"""),"")</f>
        <v/>
      </c>
      <c r="T209" s="5" t="str">
        <f ca="1">IFERROR(__xludf.DUMMYFUNCTION("""COMPUTED_VALUE"""),"")</f>
        <v/>
      </c>
      <c r="U209" s="5"/>
      <c r="V209" s="5"/>
    </row>
    <row r="210" spans="1:22" ht="13.2">
      <c r="A210" s="1"/>
      <c r="B210" s="20"/>
      <c r="C210" s="25" t="str">
        <f t="shared" si="8"/>
        <v>* Enter Judge, Rep and any comments below Diver Details, and change "Report Status" when done
* Click "MeetResults" tab at bottom to review team scores and diver placement</v>
      </c>
      <c r="D210" s="2"/>
      <c r="E210" s="20"/>
      <c r="F210" s="20"/>
      <c r="G210" s="71"/>
      <c r="H210" s="20"/>
      <c r="I210" s="20"/>
      <c r="J210" s="4"/>
      <c r="K210" s="5" t="str">
        <f ca="1">IFERROR(__xludf.DUMMYFUNCTION("""COMPUTED_VALUE"""),"")</f>
        <v/>
      </c>
      <c r="L210" s="5" t="str">
        <f ca="1">IFERROR(__xludf.DUMMYFUNCTION("""COMPUTED_VALUE"""),"")</f>
        <v/>
      </c>
      <c r="M210" s="5" t="str">
        <f ca="1">IFERROR(__xludf.DUMMYFUNCTION("""COMPUTED_VALUE"""),"")</f>
        <v/>
      </c>
      <c r="N210" s="5" t="str">
        <f ca="1">IFERROR(__xludf.DUMMYFUNCTION("""COMPUTED_VALUE"""),"")</f>
        <v/>
      </c>
      <c r="O210" s="5"/>
      <c r="P210" s="5"/>
      <c r="Q210" s="5" t="str">
        <f ca="1">IFERROR(__xludf.DUMMYFUNCTION("""COMPUTED_VALUE"""),"")</f>
        <v/>
      </c>
      <c r="R210" s="5" t="str">
        <f ca="1">IFERROR(__xludf.DUMMYFUNCTION("""COMPUTED_VALUE"""),"")</f>
        <v/>
      </c>
      <c r="S210" s="5" t="str">
        <f ca="1">IFERROR(__xludf.DUMMYFUNCTION("""COMPUTED_VALUE"""),"")</f>
        <v/>
      </c>
      <c r="T210" s="5" t="str">
        <f ca="1">IFERROR(__xludf.DUMMYFUNCTION("""COMPUTED_VALUE"""),"")</f>
        <v/>
      </c>
      <c r="U210" s="5"/>
      <c r="V210" s="5"/>
    </row>
    <row r="211" spans="1:22" ht="15.6">
      <c r="A211" s="1"/>
      <c r="B211" s="27"/>
      <c r="C211" s="28" t="str">
        <f t="shared" si="8"/>
        <v>Age and Gender</v>
      </c>
      <c r="D211" s="200" t="s">
        <v>9</v>
      </c>
      <c r="E211" s="201"/>
      <c r="F211" s="201"/>
      <c r="G211" s="201"/>
      <c r="H211" s="27"/>
      <c r="I211" s="27"/>
      <c r="J211" s="4"/>
      <c r="K211" s="24" t="str">
        <f ca="1">IFERROR(__xludf.DUMMYFUNCTION("""COMPUTED_VALUE"""),"")</f>
        <v/>
      </c>
      <c r="L211" s="24" t="str">
        <f ca="1">IFERROR(__xludf.DUMMYFUNCTION("""COMPUTED_VALUE"""),"")</f>
        <v/>
      </c>
      <c r="M211" s="24" t="str">
        <f ca="1">IFERROR(__xludf.DUMMYFUNCTION("""COMPUTED_VALUE"""),"")</f>
        <v/>
      </c>
      <c r="N211" s="24" t="str">
        <f ca="1">IFERROR(__xludf.DUMMYFUNCTION("""COMPUTED_VALUE"""),"")</f>
        <v/>
      </c>
      <c r="O211" s="24"/>
      <c r="P211" s="24"/>
      <c r="Q211" s="24" t="str">
        <f ca="1">IFERROR(__xludf.DUMMYFUNCTION("""COMPUTED_VALUE"""),"")</f>
        <v/>
      </c>
      <c r="R211" s="24" t="str">
        <f ca="1">IFERROR(__xludf.DUMMYFUNCTION("""COMPUTED_VALUE"""),"")</f>
        <v/>
      </c>
      <c r="S211" s="5" t="str">
        <f ca="1">IFERROR(__xludf.DUMMYFUNCTION("""COMPUTED_VALUE"""),"")</f>
        <v/>
      </c>
      <c r="T211" s="5" t="str">
        <f ca="1">IFERROR(__xludf.DUMMYFUNCTION("""COMPUTED_VALUE"""),"")</f>
        <v/>
      </c>
      <c r="U211" s="5"/>
      <c r="V211" s="5"/>
    </row>
    <row r="212" spans="1:22" ht="15.6">
      <c r="A212" s="1"/>
      <c r="B212" s="30"/>
      <c r="C212" s="31" t="str">
        <f t="shared" si="8"/>
        <v>Diver 1 Name</v>
      </c>
      <c r="D212" s="32" t="str">
        <f t="shared" ref="D212:G212" si="9">D112</f>
        <v>Diver 1 Club</v>
      </c>
      <c r="E212" s="31" t="str">
        <f t="shared" si="9"/>
        <v>Diver 2 Name</v>
      </c>
      <c r="F212" s="32" t="str">
        <f t="shared" si="9"/>
        <v>Diver 2 Club</v>
      </c>
      <c r="G212" s="33" t="str">
        <f t="shared" si="9"/>
        <v>Score</v>
      </c>
      <c r="H212" s="34" t="s">
        <v>268</v>
      </c>
      <c r="I212" s="34" t="s">
        <v>269</v>
      </c>
      <c r="J212" s="4"/>
      <c r="K212" s="24" t="str">
        <f ca="1">IFERROR(__xludf.DUMMYFUNCTION("""COMPUTED_VALUE"""),"")</f>
        <v/>
      </c>
      <c r="L212" s="24" t="str">
        <f ca="1">IFERROR(__xludf.DUMMYFUNCTION("""COMPUTED_VALUE"""),"")</f>
        <v/>
      </c>
      <c r="M212" s="24" t="str">
        <f ca="1">IFERROR(__xludf.DUMMYFUNCTION("""COMPUTED_VALUE"""),"")</f>
        <v/>
      </c>
      <c r="N212" s="24" t="str">
        <f ca="1">IFERROR(__xludf.DUMMYFUNCTION("""COMPUTED_VALUE"""),"")</f>
        <v/>
      </c>
      <c r="O212" s="24"/>
      <c r="P212" s="24"/>
      <c r="Q212" s="24" t="str">
        <f ca="1">IFERROR(__xludf.DUMMYFUNCTION("""COMPUTED_VALUE"""),"")</f>
        <v/>
      </c>
      <c r="R212" s="24" t="str">
        <f ca="1">IFERROR(__xludf.DUMMYFUNCTION("""COMPUTED_VALUE"""),"")</f>
        <v/>
      </c>
      <c r="S212" s="24" t="str">
        <f ca="1">IFERROR(__xludf.DUMMYFUNCTION("""COMPUTED_VALUE"""),"")</f>
        <v/>
      </c>
      <c r="T212" s="24" t="str">
        <f ca="1">IFERROR(__xludf.DUMMYFUNCTION("""COMPUTED_VALUE"""),"")</f>
        <v/>
      </c>
      <c r="U212" s="24" t="str">
        <f t="shared" ref="U212:V212" si="10">U$12</f>
        <v/>
      </c>
      <c r="V212" s="24">
        <f t="shared" si="10"/>
        <v>0</v>
      </c>
    </row>
    <row r="213" spans="1:22" ht="13.2">
      <c r="A213" s="1" t="e">
        <f t="array" aca="1" ref="A213:A262" ca="1">_xludf.SEQUENCE( 50 )</f>
        <v>#NAME?</v>
      </c>
      <c r="B213" s="35">
        <v>191</v>
      </c>
      <c r="C213" s="36" t="s">
        <v>152</v>
      </c>
      <c r="D213" s="37" t="s">
        <v>40</v>
      </c>
      <c r="E213" s="36" t="s">
        <v>153</v>
      </c>
      <c r="F213" s="37" t="s">
        <v>154</v>
      </c>
      <c r="G213" s="42">
        <v>119.37</v>
      </c>
      <c r="H213" s="40" t="s">
        <v>38</v>
      </c>
      <c r="I213" s="40" t="s">
        <v>38</v>
      </c>
      <c r="J213" s="4"/>
      <c r="K213" s="41" t="str">
        <f ca="1">IFERROR(__xludf.DUMMYFUNCTION("""COMPUTED_VALUE"""),"Rowan Threadgill")</f>
        <v>Rowan Threadgill</v>
      </c>
      <c r="L213" s="5" t="str">
        <f ca="1">IFERROR(__xludf.DUMMYFUNCTION("""COMPUTED_VALUE"""),"G")</f>
        <v>G</v>
      </c>
      <c r="M213" s="5" t="str">
        <f ca="1">IFERROR(__xludf.DUMMYFUNCTION("""COMPUTED_VALUE"""),"G15")</f>
        <v>G15</v>
      </c>
      <c r="N213" s="5">
        <f ca="1">IFERROR(__xludf.DUMMYFUNCTION("""COMPUTED_VALUE"""),5)</f>
        <v>5</v>
      </c>
      <c r="O213" s="5"/>
      <c r="P213" s="41" t="str">
        <f ca="1">IFERROR(__xludf.DUMMYFUNCTION("ARRAYFORMULA( IF(  (   NOT( ISNUMBER( VALUE($A213:$A262)) )+(   ( C213:C262="""" )*( E213:E262="""" )   )   ), """", 
 IF( ISNA( K213:K262 ), ""Diver-NF"", 
 IF( (K213:K262 = """") * (Q213:Q262 &lt;&gt; """"), ""Diver-NF"", 
 IF( (   ( ISNA( L213:L262 ))+( D213"&amp;":D262 &lt;&gt; L213:L262 )   ), ""Club-""&amp;L213:L262,
 IF( VLOOKUP( K213:K262&amp;L213:L262, QUERY( { $C:$C&amp;$D:$D; $E:$E&amp;$F:$F }, ""SELECT Col1, COUNT(Col1) GROUP BY Col1 LABEL COUNT(Col1) ''""),2,0 ) &gt; 1, ""Duplicate"",
 IF( UPPER( LEFT( M213:M262,1))&lt;&gt; UPPER( RIGH"&amp;"T( $A208, 1)),""Gender"",
 IF( VALUE( MID( M213:M262,2,2)) &lt; VALUE( TRIM( LEFT( $D211,2))),""Age-"" &amp; MID( M213:M262,2,2),""""))))
))))"),"")</f>
        <v/>
      </c>
      <c r="Q213" s="41" t="str">
        <f ca="1">IFERROR(__xludf.DUMMYFUNCTION("""COMPUTED_VALUE"""),"Beatrice Sultanaeva")</f>
        <v>Beatrice Sultanaeva</v>
      </c>
      <c r="R213" s="5" t="str">
        <f ca="1">IFERROR(__xludf.DUMMYFUNCTION("""COMPUTED_VALUE"""),"LV")</f>
        <v>LV</v>
      </c>
      <c r="S213" s="5" t="str">
        <f ca="1">IFERROR(__xludf.DUMMYFUNCTION("""COMPUTED_VALUE"""),"G15")</f>
        <v>G15</v>
      </c>
      <c r="T213" s="5">
        <f ca="1">IFERROR(__xludf.DUMMYFUNCTION("""COMPUTED_VALUE"""),5)</f>
        <v>5</v>
      </c>
      <c r="U213" s="5">
        <f t="array" aca="1" ref="U213:U262" ca="1">IF($E213:$E262="","", VLOOKUP(VLOOKUP(VALUE(MID(S213:S262,2,2)),'Lookup-Generic'!$G:$H,2,0)&amp;LEFT(S213:S262,1),'Lookup-Generic'!$M:$N,2,0))</f>
        <v>155</v>
      </c>
      <c r="V213" s="5" t="str">
        <f ca="1">IFERROR(__xludf.DUMMYFUNCTION("ARRAYFORMULA( IF(  (   NOT( ISNUMBER( VALUE($A213:$A262)) )+(   ( $C213:$C262="""" )*( $E213:$E262="""" )   )   ), """",  
 IF( ISNA( Q213:Q262 ), ""Diver-NF"", 
 IF( ($K213:$K262 &lt;&gt; """") * ($Q213:$Q262 = """"), ""Diver-NF"", 
 IF( (   ( ISNA( R213:R262 "&amp;"))+( F213:F262 &lt;&gt; R213:R262 )   ), ""Club-""&amp;R213:R262,
 IF( VLOOKUP( Q213:Q262&amp;R213:R262, QUERY( { $C:$C&amp;$D:$D; $E:$E&amp;$F:$F }, ""SELECT Col1, COUNT(Col1) GROUP BY Col1 LABEL COUNT(Col1) ''""),2,0 ) &gt; 1, ""Duplicate"",
 IF( UPPER( LEFT( S213:S262,1))&lt;&gt; UP"&amp;"PER( RIGHT( $A208, 1)),""Gender"",
 IF( VALUE( MID( S213:S262,2,2)) &lt; VALUE( TRIM( LEFT( $D211,2))),""Age-"" &amp; MID( S213:S262,2,2),""""))))
))))"),"")</f>
        <v/>
      </c>
    </row>
    <row r="214" spans="1:22" ht="13.2">
      <c r="A214" s="1" t="e">
        <f ca="1"/>
        <v>#NAME?</v>
      </c>
      <c r="B214" s="30">
        <v>335</v>
      </c>
      <c r="C214" s="36" t="s">
        <v>155</v>
      </c>
      <c r="D214" s="37" t="s">
        <v>43</v>
      </c>
      <c r="E214" s="36" t="s">
        <v>156</v>
      </c>
      <c r="F214" s="37" t="s">
        <v>43</v>
      </c>
      <c r="G214" s="42">
        <v>92.97</v>
      </c>
      <c r="H214" s="40" t="s">
        <v>38</v>
      </c>
      <c r="I214" s="40" t="s">
        <v>38</v>
      </c>
      <c r="J214" s="4"/>
      <c r="K214" s="41" t="str">
        <f ca="1">IFERROR(__xludf.DUMMYFUNCTION("""COMPUTED_VALUE"""),"Caroline Berry")</f>
        <v>Caroline Berry</v>
      </c>
      <c r="L214" s="5" t="str">
        <f ca="1">IFERROR(__xludf.DUMMYFUNCTION("""COMPUTED_VALUE"""),"RH")</f>
        <v>RH</v>
      </c>
      <c r="M214" s="5" t="str">
        <f ca="1">IFERROR(__xludf.DUMMYFUNCTION("""COMPUTED_VALUE"""),"G13")</f>
        <v>G13</v>
      </c>
      <c r="N214" s="5">
        <f ca="1">IFERROR(__xludf.DUMMYFUNCTION("""COMPUTED_VALUE"""),3)</f>
        <v>3</v>
      </c>
      <c r="O214" s="5"/>
      <c r="P214" s="41" t="str">
        <f ca="1">IFERROR(__xludf.DUMMYFUNCTION("""COMPUTED_VALUE"""),"")</f>
        <v/>
      </c>
      <c r="Q214" s="41" t="str">
        <f ca="1">IFERROR(__xludf.DUMMYFUNCTION("""COMPUTED_VALUE"""),"Edie Freeman")</f>
        <v>Edie Freeman</v>
      </c>
      <c r="R214" s="5" t="str">
        <f ca="1">IFERROR(__xludf.DUMMYFUNCTION("""COMPUTED_VALUE"""),"RH")</f>
        <v>RH</v>
      </c>
      <c r="S214" s="5" t="str">
        <f ca="1">IFERROR(__xludf.DUMMYFUNCTION("""COMPUTED_VALUE"""),"G14")</f>
        <v>G14</v>
      </c>
      <c r="T214" s="5">
        <f ca="1">IFERROR(__xludf.DUMMYFUNCTION("""COMPUTED_VALUE"""),3)</f>
        <v>3</v>
      </c>
      <c r="U214" s="5">
        <f ca="1"/>
        <v>136</v>
      </c>
      <c r="V214" s="5" t="str">
        <f ca="1">IFERROR(__xludf.DUMMYFUNCTION("""COMPUTED_VALUE"""),"")</f>
        <v/>
      </c>
    </row>
    <row r="215" spans="1:22" ht="13.2">
      <c r="A215" s="1" t="e">
        <f ca="1"/>
        <v>#NAME?</v>
      </c>
      <c r="B215" s="30">
        <v>460</v>
      </c>
      <c r="C215" s="44" t="s">
        <v>157</v>
      </c>
      <c r="D215" s="45" t="s">
        <v>92</v>
      </c>
      <c r="E215" s="72" t="s">
        <v>158</v>
      </c>
      <c r="F215" s="45" t="s">
        <v>92</v>
      </c>
      <c r="G215" s="46">
        <v>89.07</v>
      </c>
      <c r="H215" s="40" t="s">
        <v>38</v>
      </c>
      <c r="I215" s="40" t="s">
        <v>38</v>
      </c>
      <c r="J215" s="4"/>
      <c r="K215" s="41" t="str">
        <f ca="1">IFERROR(__xludf.DUMMYFUNCTION("""COMPUTED_VALUE"""),"Sophie Leland")</f>
        <v>Sophie Leland</v>
      </c>
      <c r="L215" s="5" t="str">
        <f ca="1">IFERROR(__xludf.DUMMYFUNCTION("""COMPUTED_VALUE"""),"HV")</f>
        <v>HV</v>
      </c>
      <c r="M215" s="5" t="str">
        <f ca="1">IFERROR(__xludf.DUMMYFUNCTION("""COMPUTED_VALUE"""),"G13")</f>
        <v>G13</v>
      </c>
      <c r="N215" s="5">
        <f ca="1">IFERROR(__xludf.DUMMYFUNCTION("""COMPUTED_VALUE"""),4)</f>
        <v>4</v>
      </c>
      <c r="O215" s="5"/>
      <c r="P215" s="41" t="str">
        <f ca="1">IFERROR(__xludf.DUMMYFUNCTION("""COMPUTED_VALUE"""),"")</f>
        <v/>
      </c>
      <c r="Q215" s="41" t="str">
        <f ca="1">IFERROR(__xludf.DUMMYFUNCTION("""COMPUTED_VALUE"""),"Chloe Niphadkabin")</f>
        <v>Chloe Niphadkabin</v>
      </c>
      <c r="R215" s="5" t="str">
        <f ca="1">IFERROR(__xludf.DUMMYFUNCTION("""COMPUTED_VALUE"""),"HV")</f>
        <v>HV</v>
      </c>
      <c r="S215" s="5" t="str">
        <f ca="1">IFERROR(__xludf.DUMMYFUNCTION("""COMPUTED_VALUE"""),"G13")</f>
        <v>G13</v>
      </c>
      <c r="T215" s="5">
        <f ca="1">IFERROR(__xludf.DUMMYFUNCTION("""COMPUTED_VALUE"""),4)</f>
        <v>4</v>
      </c>
      <c r="U215" s="5">
        <f ca="1"/>
        <v>136</v>
      </c>
      <c r="V215" s="5" t="str">
        <f ca="1">IFERROR(__xludf.DUMMYFUNCTION("""COMPUTED_VALUE"""),"")</f>
        <v/>
      </c>
    </row>
    <row r="216" spans="1:22" ht="13.2">
      <c r="A216" s="1" t="e">
        <f ca="1"/>
        <v>#NAME?</v>
      </c>
      <c r="B216" s="30">
        <v>694</v>
      </c>
      <c r="C216" s="44" t="s">
        <v>159</v>
      </c>
      <c r="D216" s="45" t="s">
        <v>160</v>
      </c>
      <c r="E216" s="72" t="s">
        <v>161</v>
      </c>
      <c r="F216" s="45" t="s">
        <v>160</v>
      </c>
      <c r="G216" s="46">
        <v>90.48</v>
      </c>
      <c r="H216" s="40" t="s">
        <v>38</v>
      </c>
      <c r="I216" s="40" t="s">
        <v>162</v>
      </c>
      <c r="J216" s="4"/>
      <c r="K216" s="41" t="str">
        <f ca="1">IFERROR(__xludf.DUMMYFUNCTION("""COMPUTED_VALUE"""),"Olivia Berik")</f>
        <v>Olivia Berik</v>
      </c>
      <c r="L216" s="5" t="str">
        <f ca="1">IFERROR(__xludf.DUMMYFUNCTION("""COMPUTED_VALUE"""),"HS")</f>
        <v>HS</v>
      </c>
      <c r="M216" s="5" t="str">
        <f ca="1">IFERROR(__xludf.DUMMYFUNCTION("""COMPUTED_VALUE"""),"G13")</f>
        <v>G13</v>
      </c>
      <c r="N216" s="5">
        <f ca="1">IFERROR(__xludf.DUMMYFUNCTION("""COMPUTED_VALUE"""),5)</f>
        <v>5</v>
      </c>
      <c r="O216" s="5"/>
      <c r="P216" s="41" t="str">
        <f ca="1">IFERROR(__xludf.DUMMYFUNCTION("""COMPUTED_VALUE"""),"")</f>
        <v/>
      </c>
      <c r="Q216" s="41" t="str">
        <f ca="1">IFERROR(__xludf.DUMMYFUNCTION("""COMPUTED_VALUE"""),"Julia Paukovits")</f>
        <v>Julia Paukovits</v>
      </c>
      <c r="R216" s="5" t="str">
        <f ca="1">IFERROR(__xludf.DUMMYFUNCTION("""COMPUTED_VALUE"""),"HS")</f>
        <v>HS</v>
      </c>
      <c r="S216" s="5" t="str">
        <f ca="1">IFERROR(__xludf.DUMMYFUNCTION("""COMPUTED_VALUE"""),"G12")</f>
        <v>G12</v>
      </c>
      <c r="T216" s="5">
        <f ca="1">IFERROR(__xludf.DUMMYFUNCTION("""COMPUTED_VALUE"""),4)</f>
        <v>4</v>
      </c>
      <c r="U216" s="5">
        <f ca="1"/>
        <v>99</v>
      </c>
      <c r="V216" s="5" t="str">
        <f ca="1">IFERROR(__xludf.DUMMYFUNCTION("""COMPUTED_VALUE"""),"Age-12")</f>
        <v>Age-12</v>
      </c>
    </row>
    <row r="217" spans="1:22" ht="13.2">
      <c r="A217" s="1" t="e">
        <f ca="1"/>
        <v>#NAME?</v>
      </c>
      <c r="B217" s="30">
        <v>1117</v>
      </c>
      <c r="C217" s="44" t="s">
        <v>163</v>
      </c>
      <c r="D217" s="45" t="s">
        <v>68</v>
      </c>
      <c r="E217" s="72" t="s">
        <v>164</v>
      </c>
      <c r="F217" s="45" t="s">
        <v>68</v>
      </c>
      <c r="G217" s="46">
        <v>60.42</v>
      </c>
      <c r="H217" s="40" t="s">
        <v>38</v>
      </c>
      <c r="I217" s="40" t="s">
        <v>38</v>
      </c>
      <c r="J217" s="4"/>
      <c r="K217" s="41" t="str">
        <f ca="1">IFERROR(__xludf.DUMMYFUNCTION("""COMPUTED_VALUE"""),"Karie Egan")</f>
        <v>Karie Egan</v>
      </c>
      <c r="L217" s="5" t="str">
        <f ca="1">IFERROR(__xludf.DUMMYFUNCTION("""COMPUTED_VALUE"""),"CSC")</f>
        <v>CSC</v>
      </c>
      <c r="M217" s="5" t="str">
        <f ca="1">IFERROR(__xludf.DUMMYFUNCTION("""COMPUTED_VALUE"""),"G13")</f>
        <v>G13</v>
      </c>
      <c r="N217" s="5">
        <f ca="1">IFERROR(__xludf.DUMMYFUNCTION("""COMPUTED_VALUE"""),4)</f>
        <v>4</v>
      </c>
      <c r="O217" s="5"/>
      <c r="P217" s="41" t="str">
        <f ca="1">IFERROR(__xludf.DUMMYFUNCTION("""COMPUTED_VALUE"""),"")</f>
        <v/>
      </c>
      <c r="Q217" s="41" t="str">
        <f ca="1">IFERROR(__xludf.DUMMYFUNCTION("""COMPUTED_VALUE"""),"Soraya Lora-Pena")</f>
        <v>Soraya Lora-Pena</v>
      </c>
      <c r="R217" s="5" t="str">
        <f ca="1">IFERROR(__xludf.DUMMYFUNCTION("""COMPUTED_VALUE"""),"CSC")</f>
        <v>CSC</v>
      </c>
      <c r="S217" s="5" t="str">
        <f ca="1">IFERROR(__xludf.DUMMYFUNCTION("""COMPUTED_VALUE"""),"G13")</f>
        <v>G13</v>
      </c>
      <c r="T217" s="5">
        <f ca="1">IFERROR(__xludf.DUMMYFUNCTION("""COMPUTED_VALUE"""),5)</f>
        <v>5</v>
      </c>
      <c r="U217" s="5">
        <f ca="1"/>
        <v>136</v>
      </c>
      <c r="V217" s="5" t="str">
        <f ca="1">IFERROR(__xludf.DUMMYFUNCTION("""COMPUTED_VALUE"""),"")</f>
        <v/>
      </c>
    </row>
    <row r="218" spans="1:22" ht="13.2">
      <c r="A218" s="1" t="e">
        <f ca="1"/>
        <v>#NAME?</v>
      </c>
      <c r="B218" s="30">
        <v>1274</v>
      </c>
      <c r="C218" s="44" t="s">
        <v>165</v>
      </c>
      <c r="D218" s="45" t="s">
        <v>68</v>
      </c>
      <c r="E218" s="72" t="s">
        <v>166</v>
      </c>
      <c r="F218" s="45" t="s">
        <v>68</v>
      </c>
      <c r="G218" s="46">
        <v>57.42</v>
      </c>
      <c r="H218" s="40" t="s">
        <v>38</v>
      </c>
      <c r="I218" s="40" t="s">
        <v>38</v>
      </c>
      <c r="J218" s="4"/>
      <c r="K218" s="41" t="str">
        <f ca="1">IFERROR(__xludf.DUMMYFUNCTION("""COMPUTED_VALUE"""),"Jenna Wathen")</f>
        <v>Jenna Wathen</v>
      </c>
      <c r="L218" s="5" t="str">
        <f ca="1">IFERROR(__xludf.DUMMYFUNCTION("""COMPUTED_VALUE"""),"CSC")</f>
        <v>CSC</v>
      </c>
      <c r="M218" s="5" t="str">
        <f ca="1">IFERROR(__xludf.DUMMYFUNCTION("""COMPUTED_VALUE"""),"G14")</f>
        <v>G14</v>
      </c>
      <c r="N218" s="5">
        <f ca="1">IFERROR(__xludf.DUMMYFUNCTION("""COMPUTED_VALUE"""),5)</f>
        <v>5</v>
      </c>
      <c r="O218" s="5"/>
      <c r="P218" s="41" t="str">
        <f ca="1">IFERROR(__xludf.DUMMYFUNCTION("""COMPUTED_VALUE"""),"")</f>
        <v/>
      </c>
      <c r="Q218" s="41" t="str">
        <f ca="1">IFERROR(__xludf.DUMMYFUNCTION("""COMPUTED_VALUE"""),"Haley Trieu")</f>
        <v>Haley Trieu</v>
      </c>
      <c r="R218" s="5" t="str">
        <f ca="1">IFERROR(__xludf.DUMMYFUNCTION("""COMPUTED_VALUE"""),"CSC")</f>
        <v>CSC</v>
      </c>
      <c r="S218" s="5" t="str">
        <f ca="1">IFERROR(__xludf.DUMMYFUNCTION("""COMPUTED_VALUE"""),"G16")</f>
        <v>G16</v>
      </c>
      <c r="T218" s="5">
        <f ca="1">IFERROR(__xludf.DUMMYFUNCTION("""COMPUTED_VALUE"""),4)</f>
        <v>4</v>
      </c>
      <c r="U218" s="5">
        <f ca="1"/>
        <v>155</v>
      </c>
      <c r="V218" s="5" t="str">
        <f ca="1">IFERROR(__xludf.DUMMYFUNCTION("""COMPUTED_VALUE"""),"")</f>
        <v/>
      </c>
    </row>
    <row r="219" spans="1:22" ht="13.2">
      <c r="A219" s="1" t="e">
        <f ca="1"/>
        <v>#NAME?</v>
      </c>
      <c r="B219" s="30">
        <v>1359</v>
      </c>
      <c r="C219" s="36" t="s">
        <v>167</v>
      </c>
      <c r="D219" s="37" t="s">
        <v>71</v>
      </c>
      <c r="E219" s="36" t="s">
        <v>168</v>
      </c>
      <c r="F219" s="37" t="s">
        <v>71</v>
      </c>
      <c r="G219" s="42">
        <v>90.15</v>
      </c>
      <c r="H219" s="40" t="s">
        <v>38</v>
      </c>
      <c r="I219" s="40" t="s">
        <v>38</v>
      </c>
      <c r="J219" s="4"/>
      <c r="K219" s="41" t="str">
        <f ca="1">IFERROR(__xludf.DUMMYFUNCTION("""COMPUTED_VALUE"""),"Ada Jordan")</f>
        <v>Ada Jordan</v>
      </c>
      <c r="L219" s="5" t="str">
        <f ca="1">IFERROR(__xludf.DUMMYFUNCTION("""COMPUTED_VALUE"""),"AF")</f>
        <v>AF</v>
      </c>
      <c r="M219" s="5" t="str">
        <f ca="1">IFERROR(__xludf.DUMMYFUNCTION("""COMPUTED_VALUE"""),"G16")</f>
        <v>G16</v>
      </c>
      <c r="N219" s="5">
        <f ca="1">IFERROR(__xludf.DUMMYFUNCTION("""COMPUTED_VALUE"""),5)</f>
        <v>5</v>
      </c>
      <c r="O219" s="5"/>
      <c r="P219" s="41" t="str">
        <f ca="1">IFERROR(__xludf.DUMMYFUNCTION("""COMPUTED_VALUE"""),"")</f>
        <v/>
      </c>
      <c r="Q219" s="41" t="str">
        <f ca="1">IFERROR(__xludf.DUMMYFUNCTION("""COMPUTED_VALUE"""),"Julia Green")</f>
        <v>Julia Green</v>
      </c>
      <c r="R219" s="5" t="str">
        <f ca="1">IFERROR(__xludf.DUMMYFUNCTION("""COMPUTED_VALUE"""),"AF")</f>
        <v>AF</v>
      </c>
      <c r="S219" s="5" t="str">
        <f ca="1">IFERROR(__xludf.DUMMYFUNCTION("""COMPUTED_VALUE"""),"G15")</f>
        <v>G15</v>
      </c>
      <c r="T219" s="5">
        <f ca="1">IFERROR(__xludf.DUMMYFUNCTION("""COMPUTED_VALUE"""),5)</f>
        <v>5</v>
      </c>
      <c r="U219" s="5">
        <f ca="1"/>
        <v>155</v>
      </c>
      <c r="V219" s="5" t="str">
        <f ca="1">IFERROR(__xludf.DUMMYFUNCTION("""COMPUTED_VALUE"""),"")</f>
        <v/>
      </c>
    </row>
    <row r="220" spans="1:22" ht="13.2">
      <c r="A220" s="1" t="e">
        <f ca="1"/>
        <v>#NAME?</v>
      </c>
      <c r="B220" s="30">
        <v>1663</v>
      </c>
      <c r="C220" s="36" t="s">
        <v>169</v>
      </c>
      <c r="D220" s="37" t="s">
        <v>74</v>
      </c>
      <c r="E220" s="36" t="s">
        <v>170</v>
      </c>
      <c r="F220" s="37" t="s">
        <v>86</v>
      </c>
      <c r="G220" s="42">
        <v>68.069999999999993</v>
      </c>
      <c r="H220" s="40" t="s">
        <v>38</v>
      </c>
      <c r="I220" s="40" t="s">
        <v>38</v>
      </c>
      <c r="J220" s="4"/>
      <c r="K220" s="41" t="str">
        <f ca="1">IFERROR(__xludf.DUMMYFUNCTION("""COMPUTED_VALUE"""),"Ella Henderson")</f>
        <v>Ella Henderson</v>
      </c>
      <c r="L220" s="5" t="str">
        <f ca="1">IFERROR(__xludf.DUMMYFUNCTION("""COMPUTED_VALUE"""),"OAK")</f>
        <v>OAK</v>
      </c>
      <c r="M220" s="5" t="str">
        <f ca="1">IFERROR(__xludf.DUMMYFUNCTION("""COMPUTED_VALUE"""),"G14")</f>
        <v>G14</v>
      </c>
      <c r="N220" s="5">
        <f ca="1">IFERROR(__xludf.DUMMYFUNCTION("""COMPUTED_VALUE"""),5)</f>
        <v>5</v>
      </c>
      <c r="O220" s="5"/>
      <c r="P220" s="41" t="str">
        <f ca="1">IFERROR(__xludf.DUMMYFUNCTION("""COMPUTED_VALUE"""),"")</f>
        <v/>
      </c>
      <c r="Q220" s="41" t="str">
        <f ca="1">IFERROR(__xludf.DUMMYFUNCTION("""COMPUTED_VALUE"""),"Piper Guy")</f>
        <v>Piper Guy</v>
      </c>
      <c r="R220" s="5" t="str">
        <f ca="1">IFERROR(__xludf.DUMMYFUNCTION("""COMPUTED_VALUE"""),"HP")</f>
        <v>HP</v>
      </c>
      <c r="S220" s="5" t="str">
        <f ca="1">IFERROR(__xludf.DUMMYFUNCTION("""COMPUTED_VALUE"""),"G14")</f>
        <v>G14</v>
      </c>
      <c r="T220" s="5">
        <f ca="1">IFERROR(__xludf.DUMMYFUNCTION("""COMPUTED_VALUE"""),5)</f>
        <v>5</v>
      </c>
      <c r="U220" s="5">
        <f ca="1"/>
        <v>136</v>
      </c>
      <c r="V220" s="5" t="str">
        <f ca="1">IFERROR(__xludf.DUMMYFUNCTION("""COMPUTED_VALUE"""),"")</f>
        <v/>
      </c>
    </row>
    <row r="221" spans="1:22" ht="13.2">
      <c r="A221" s="1" t="e">
        <f ca="1"/>
        <v>#NAME?</v>
      </c>
      <c r="B221" s="30">
        <v>1676</v>
      </c>
      <c r="C221" s="44" t="s">
        <v>171</v>
      </c>
      <c r="D221" s="45" t="s">
        <v>74</v>
      </c>
      <c r="E221" s="72" t="s">
        <v>172</v>
      </c>
      <c r="F221" s="45" t="s">
        <v>74</v>
      </c>
      <c r="G221" s="46">
        <v>118.23</v>
      </c>
      <c r="H221" s="40" t="s">
        <v>38</v>
      </c>
      <c r="I221" s="40" t="s">
        <v>38</v>
      </c>
      <c r="J221" s="4"/>
      <c r="K221" s="41" t="str">
        <f ca="1">IFERROR(__xludf.DUMMYFUNCTION("""COMPUTED_VALUE"""),"Isabelle Whang")</f>
        <v>Isabelle Whang</v>
      </c>
      <c r="L221" s="5" t="str">
        <f ca="1">IFERROR(__xludf.DUMMYFUNCTION("""COMPUTED_VALUE"""),"OAK")</f>
        <v>OAK</v>
      </c>
      <c r="M221" s="5" t="str">
        <f ca="1">IFERROR(__xludf.DUMMYFUNCTION("""COMPUTED_VALUE"""),"G15")</f>
        <v>G15</v>
      </c>
      <c r="N221" s="5">
        <f ca="1">IFERROR(__xludf.DUMMYFUNCTION("""COMPUTED_VALUE"""),5)</f>
        <v>5</v>
      </c>
      <c r="O221" s="5"/>
      <c r="P221" s="41" t="str">
        <f ca="1">IFERROR(__xludf.DUMMYFUNCTION("""COMPUTED_VALUE"""),"")</f>
        <v/>
      </c>
      <c r="Q221" s="41" t="str">
        <f ca="1">IFERROR(__xludf.DUMMYFUNCTION("""COMPUTED_VALUE"""),"Kayla Knight")</f>
        <v>Kayla Knight</v>
      </c>
      <c r="R221" s="5" t="str">
        <f ca="1">IFERROR(__xludf.DUMMYFUNCTION("""COMPUTED_VALUE"""),"OAK")</f>
        <v>OAK</v>
      </c>
      <c r="S221" s="5" t="str">
        <f ca="1">IFERROR(__xludf.DUMMYFUNCTION("""COMPUTED_VALUE"""),"G15")</f>
        <v>G15</v>
      </c>
      <c r="T221" s="5">
        <f ca="1">IFERROR(__xludf.DUMMYFUNCTION("""COMPUTED_VALUE"""),5)</f>
        <v>5</v>
      </c>
      <c r="U221" s="5">
        <f ca="1"/>
        <v>155</v>
      </c>
      <c r="V221" s="5" t="str">
        <f ca="1">IFERROR(__xludf.DUMMYFUNCTION("""COMPUTED_VALUE"""),"")</f>
        <v/>
      </c>
    </row>
    <row r="222" spans="1:22" ht="13.2">
      <c r="A222" s="1" t="e">
        <f ca="1"/>
        <v>#NAME?</v>
      </c>
      <c r="B222" s="30">
        <v>1688</v>
      </c>
      <c r="C222" s="44" t="s">
        <v>173</v>
      </c>
      <c r="D222" s="45" t="s">
        <v>74</v>
      </c>
      <c r="E222" s="72" t="s">
        <v>174</v>
      </c>
      <c r="F222" s="45" t="s">
        <v>74</v>
      </c>
      <c r="G222" s="46">
        <v>67.709999999999994</v>
      </c>
      <c r="H222" s="40" t="s">
        <v>38</v>
      </c>
      <c r="I222" s="40" t="s">
        <v>38</v>
      </c>
      <c r="J222" s="4"/>
      <c r="K222" s="41" t="str">
        <f ca="1">IFERROR(__xludf.DUMMYFUNCTION("""COMPUTED_VALUE"""),"Kendall Arnz")</f>
        <v>Kendall Arnz</v>
      </c>
      <c r="L222" s="5" t="str">
        <f ca="1">IFERROR(__xludf.DUMMYFUNCTION("""COMPUTED_VALUE"""),"OAK")</f>
        <v>OAK</v>
      </c>
      <c r="M222" s="5" t="str">
        <f ca="1">IFERROR(__xludf.DUMMYFUNCTION("""COMPUTED_VALUE"""),"G16")</f>
        <v>G16</v>
      </c>
      <c r="N222" s="5">
        <f ca="1">IFERROR(__xludf.DUMMYFUNCTION("""COMPUTED_VALUE"""),4)</f>
        <v>4</v>
      </c>
      <c r="O222" s="5"/>
      <c r="P222" s="41" t="str">
        <f ca="1">IFERROR(__xludf.DUMMYFUNCTION("""COMPUTED_VALUE"""),"")</f>
        <v/>
      </c>
      <c r="Q222" s="41" t="str">
        <f ca="1">IFERROR(__xludf.DUMMYFUNCTION("""COMPUTED_VALUE"""),"Charlotte Henderson")</f>
        <v>Charlotte Henderson</v>
      </c>
      <c r="R222" s="5" t="str">
        <f ca="1">IFERROR(__xludf.DUMMYFUNCTION("""COMPUTED_VALUE"""),"OAK")</f>
        <v>OAK</v>
      </c>
      <c r="S222" s="5" t="str">
        <f ca="1">IFERROR(__xludf.DUMMYFUNCTION("""COMPUTED_VALUE"""),"G14")</f>
        <v>G14</v>
      </c>
      <c r="T222" s="5">
        <f ca="1">IFERROR(__xludf.DUMMYFUNCTION("""COMPUTED_VALUE"""),5)</f>
        <v>5</v>
      </c>
      <c r="U222" s="5">
        <f ca="1"/>
        <v>136</v>
      </c>
      <c r="V222" s="5" t="str">
        <f ca="1">IFERROR(__xludf.DUMMYFUNCTION("""COMPUTED_VALUE"""),"")</f>
        <v/>
      </c>
    </row>
    <row r="223" spans="1:22" ht="13.2">
      <c r="A223" s="1" t="e">
        <f ca="1"/>
        <v>#NAME?</v>
      </c>
      <c r="B223" s="30">
        <v>1706</v>
      </c>
      <c r="C223" s="44" t="s">
        <v>175</v>
      </c>
      <c r="D223" s="45" t="s">
        <v>176</v>
      </c>
      <c r="E223" s="72" t="s">
        <v>177</v>
      </c>
      <c r="F223" s="45" t="s">
        <v>176</v>
      </c>
      <c r="G223" s="46">
        <v>101.88</v>
      </c>
      <c r="H223" s="40" t="s">
        <v>38</v>
      </c>
      <c r="I223" s="40" t="s">
        <v>38</v>
      </c>
      <c r="J223" s="4"/>
      <c r="K223" s="41" t="str">
        <f ca="1">IFERROR(__xludf.DUMMYFUNCTION("""COMPUTED_VALUE"""),"Olivia Roca")</f>
        <v>Olivia Roca</v>
      </c>
      <c r="L223" s="5" t="str">
        <f ca="1">IFERROR(__xludf.DUMMYFUNCTION("""COMPUTED_VALUE"""),"F")</f>
        <v>F</v>
      </c>
      <c r="M223" s="5" t="str">
        <f ca="1">IFERROR(__xludf.DUMMYFUNCTION("""COMPUTED_VALUE"""),"G15")</f>
        <v>G15</v>
      </c>
      <c r="N223" s="5">
        <f ca="1">IFERROR(__xludf.DUMMYFUNCTION("""COMPUTED_VALUE"""),5)</f>
        <v>5</v>
      </c>
      <c r="O223" s="5"/>
      <c r="P223" s="41" t="str">
        <f ca="1">IFERROR(__xludf.DUMMYFUNCTION("""COMPUTED_VALUE"""),"")</f>
        <v/>
      </c>
      <c r="Q223" s="41" t="str">
        <f ca="1">IFERROR(__xludf.DUMMYFUNCTION("""COMPUTED_VALUE"""),"Cally Codding")</f>
        <v>Cally Codding</v>
      </c>
      <c r="R223" s="5" t="str">
        <f ca="1">IFERROR(__xludf.DUMMYFUNCTION("""COMPUTED_VALUE"""),"F")</f>
        <v>F</v>
      </c>
      <c r="S223" s="5" t="str">
        <f ca="1">IFERROR(__xludf.DUMMYFUNCTION("""COMPUTED_VALUE"""),"G14")</f>
        <v>G14</v>
      </c>
      <c r="T223" s="5">
        <f ca="1">IFERROR(__xludf.DUMMYFUNCTION("""COMPUTED_VALUE"""),4)</f>
        <v>4</v>
      </c>
      <c r="U223" s="5">
        <f ca="1"/>
        <v>136</v>
      </c>
      <c r="V223" s="5" t="str">
        <f ca="1">IFERROR(__xludf.DUMMYFUNCTION("""COMPUTED_VALUE"""),"")</f>
        <v/>
      </c>
    </row>
    <row r="224" spans="1:22" ht="13.2">
      <c r="A224" s="1" t="e">
        <f ca="1"/>
        <v>#NAME?</v>
      </c>
      <c r="B224" s="30">
        <v>1996</v>
      </c>
      <c r="C224" s="44" t="s">
        <v>178</v>
      </c>
      <c r="D224" s="45" t="s">
        <v>176</v>
      </c>
      <c r="E224" s="72" t="s">
        <v>179</v>
      </c>
      <c r="F224" s="45" t="s">
        <v>176</v>
      </c>
      <c r="G224" s="46">
        <v>107.28</v>
      </c>
      <c r="H224" s="40" t="s">
        <v>38</v>
      </c>
      <c r="I224" s="40" t="s">
        <v>38</v>
      </c>
      <c r="J224" s="4"/>
      <c r="K224" s="41" t="str">
        <f ca="1">IFERROR(__xludf.DUMMYFUNCTION("""COMPUTED_VALUE"""),"Greer Dempster")</f>
        <v>Greer Dempster</v>
      </c>
      <c r="L224" s="5" t="str">
        <f ca="1">IFERROR(__xludf.DUMMYFUNCTION("""COMPUTED_VALUE"""),"F")</f>
        <v>F</v>
      </c>
      <c r="M224" s="5" t="str">
        <f ca="1">IFERROR(__xludf.DUMMYFUNCTION("""COMPUTED_VALUE"""),"G18")</f>
        <v>G18</v>
      </c>
      <c r="N224" s="5">
        <f ca="1">IFERROR(__xludf.DUMMYFUNCTION("""COMPUTED_VALUE"""),3)</f>
        <v>3</v>
      </c>
      <c r="O224" s="5"/>
      <c r="P224" s="41" t="str">
        <f ca="1">IFERROR(__xludf.DUMMYFUNCTION("""COMPUTED_VALUE"""),"")</f>
        <v/>
      </c>
      <c r="Q224" s="41" t="str">
        <f ca="1">IFERROR(__xludf.DUMMYFUNCTION("""COMPUTED_VALUE"""),"Lexi Haynie")</f>
        <v>Lexi Haynie</v>
      </c>
      <c r="R224" s="5" t="str">
        <f ca="1">IFERROR(__xludf.DUMMYFUNCTION("""COMPUTED_VALUE"""),"F")</f>
        <v>F</v>
      </c>
      <c r="S224" s="5" t="str">
        <f ca="1">IFERROR(__xludf.DUMMYFUNCTION("""COMPUTED_VALUE"""),"G17")</f>
        <v>G17</v>
      </c>
      <c r="T224" s="5">
        <f ca="1">IFERROR(__xludf.DUMMYFUNCTION("""COMPUTED_VALUE"""),3)</f>
        <v>3</v>
      </c>
      <c r="U224" s="5">
        <f ca="1"/>
        <v>155</v>
      </c>
      <c r="V224" s="5" t="str">
        <f ca="1">IFERROR(__xludf.DUMMYFUNCTION("""COMPUTED_VALUE"""),"")</f>
        <v/>
      </c>
    </row>
    <row r="225" spans="1:22" ht="13.2">
      <c r="A225" s="1" t="e">
        <f ca="1"/>
        <v>#NAME?</v>
      </c>
      <c r="B225" s="30">
        <v>2855</v>
      </c>
      <c r="C225" s="44" t="s">
        <v>180</v>
      </c>
      <c r="D225" s="45" t="s">
        <v>181</v>
      </c>
      <c r="E225" s="72" t="s">
        <v>182</v>
      </c>
      <c r="F225" s="45" t="s">
        <v>81</v>
      </c>
      <c r="G225" s="46">
        <v>98.79</v>
      </c>
      <c r="H225" s="40" t="s">
        <v>38</v>
      </c>
      <c r="I225" s="40" t="s">
        <v>38</v>
      </c>
      <c r="J225" s="4"/>
      <c r="K225" s="41" t="str">
        <f ca="1">IFERROR(__xludf.DUMMYFUNCTION("""COMPUTED_VALUE"""),"ZZ Arnic")</f>
        <v>ZZ Arnic</v>
      </c>
      <c r="L225" s="5" t="str">
        <f ca="1">IFERROR(__xludf.DUMMYFUNCTION("""COMPUTED_VALUE"""),"SHB")</f>
        <v>SHB</v>
      </c>
      <c r="M225" s="5" t="str">
        <f ca="1">IFERROR(__xludf.DUMMYFUNCTION("""COMPUTED_VALUE"""),"G13")</f>
        <v>G13</v>
      </c>
      <c r="N225" s="5">
        <f ca="1">IFERROR(__xludf.DUMMYFUNCTION("""COMPUTED_VALUE"""),5)</f>
        <v>5</v>
      </c>
      <c r="O225" s="5"/>
      <c r="P225" s="41" t="str">
        <f ca="1">IFERROR(__xludf.DUMMYFUNCTION("""COMPUTED_VALUE"""),"")</f>
        <v/>
      </c>
      <c r="Q225" s="41" t="str">
        <f ca="1">IFERROR(__xludf.DUMMYFUNCTION("""COMPUTED_VALUE"""),"Teagan Wielechowski")</f>
        <v>Teagan Wielechowski</v>
      </c>
      <c r="R225" s="5" t="str">
        <f ca="1">IFERROR(__xludf.DUMMYFUNCTION("""COMPUTED_VALUE"""),"KG")</f>
        <v>KG</v>
      </c>
      <c r="S225" s="5" t="str">
        <f ca="1">IFERROR(__xludf.DUMMYFUNCTION("""COMPUTED_VALUE"""),"G15")</f>
        <v>G15</v>
      </c>
      <c r="T225" s="5">
        <f ca="1">IFERROR(__xludf.DUMMYFUNCTION("""COMPUTED_VALUE"""),4)</f>
        <v>4</v>
      </c>
      <c r="U225" s="5">
        <f ca="1"/>
        <v>155</v>
      </c>
      <c r="V225" s="5" t="str">
        <f ca="1">IFERROR(__xludf.DUMMYFUNCTION("""COMPUTED_VALUE"""),"")</f>
        <v/>
      </c>
    </row>
    <row r="226" spans="1:22" ht="13.2">
      <c r="A226" s="1" t="e">
        <f ca="1"/>
        <v>#NAME?</v>
      </c>
      <c r="B226" s="30">
        <v>2861</v>
      </c>
      <c r="C226" s="44" t="s">
        <v>183</v>
      </c>
      <c r="D226" s="45" t="s">
        <v>81</v>
      </c>
      <c r="E226" s="72" t="s">
        <v>184</v>
      </c>
      <c r="F226" s="45" t="s">
        <v>81</v>
      </c>
      <c r="G226" s="46">
        <v>94.53</v>
      </c>
      <c r="H226" s="40" t="s">
        <v>38</v>
      </c>
      <c r="I226" s="40" t="s">
        <v>38</v>
      </c>
      <c r="J226" s="4"/>
      <c r="K226" s="41" t="str">
        <f ca="1">IFERROR(__xludf.DUMMYFUNCTION("""COMPUTED_VALUE"""),"Meredith Lawler")</f>
        <v>Meredith Lawler</v>
      </c>
      <c r="L226" s="5" t="str">
        <f ca="1">IFERROR(__xludf.DUMMYFUNCTION("""COMPUTED_VALUE"""),"KG")</f>
        <v>KG</v>
      </c>
      <c r="M226" s="5" t="str">
        <f ca="1">IFERROR(__xludf.DUMMYFUNCTION("""COMPUTED_VALUE"""),"G17")</f>
        <v>G17</v>
      </c>
      <c r="N226" s="5">
        <f ca="1">IFERROR(__xludf.DUMMYFUNCTION("""COMPUTED_VALUE"""),4)</f>
        <v>4</v>
      </c>
      <c r="O226" s="5"/>
      <c r="P226" s="41" t="str">
        <f ca="1">IFERROR(__xludf.DUMMYFUNCTION("""COMPUTED_VALUE"""),"")</f>
        <v/>
      </c>
      <c r="Q226" s="41" t="str">
        <f ca="1">IFERROR(__xludf.DUMMYFUNCTION("""COMPUTED_VALUE"""),"Catherine Ayers")</f>
        <v>Catherine Ayers</v>
      </c>
      <c r="R226" s="5" t="str">
        <f ca="1">IFERROR(__xludf.DUMMYFUNCTION("""COMPUTED_VALUE"""),"KG")</f>
        <v>KG</v>
      </c>
      <c r="S226" s="5" t="str">
        <f ca="1">IFERROR(__xludf.DUMMYFUNCTION("""COMPUTED_VALUE"""),"G15")</f>
        <v>G15</v>
      </c>
      <c r="T226" s="5">
        <f ca="1">IFERROR(__xludf.DUMMYFUNCTION("""COMPUTED_VALUE"""),2)</f>
        <v>2</v>
      </c>
      <c r="U226" s="5">
        <f ca="1"/>
        <v>155</v>
      </c>
      <c r="V226" s="5" t="str">
        <f ca="1">IFERROR(__xludf.DUMMYFUNCTION("""COMPUTED_VALUE"""),"")</f>
        <v/>
      </c>
    </row>
    <row r="227" spans="1:22" ht="13.2">
      <c r="A227" s="1" t="e">
        <f ca="1"/>
        <v>#NAME?</v>
      </c>
      <c r="B227" s="30">
        <v>2962</v>
      </c>
      <c r="C227" s="44" t="s">
        <v>185</v>
      </c>
      <c r="D227" s="45" t="s">
        <v>81</v>
      </c>
      <c r="E227" s="72" t="s">
        <v>186</v>
      </c>
      <c r="F227" s="45" t="s">
        <v>81</v>
      </c>
      <c r="G227" s="46">
        <v>99.57</v>
      </c>
      <c r="H227" s="40" t="s">
        <v>38</v>
      </c>
      <c r="I227" s="40" t="s">
        <v>38</v>
      </c>
      <c r="J227" s="4"/>
      <c r="K227" s="41" t="str">
        <f ca="1">IFERROR(__xludf.DUMMYFUNCTION("""COMPUTED_VALUE"""),"Ziya Bhasin")</f>
        <v>Ziya Bhasin</v>
      </c>
      <c r="L227" s="5" t="str">
        <f ca="1">IFERROR(__xludf.DUMMYFUNCTION("""COMPUTED_VALUE"""),"KG")</f>
        <v>KG</v>
      </c>
      <c r="M227" s="5" t="str">
        <f ca="1">IFERROR(__xludf.DUMMYFUNCTION("""COMPUTED_VALUE"""),"G15")</f>
        <v>G15</v>
      </c>
      <c r="N227" s="5">
        <f ca="1">IFERROR(__xludf.DUMMYFUNCTION("""COMPUTED_VALUE"""),5)</f>
        <v>5</v>
      </c>
      <c r="O227" s="5"/>
      <c r="P227" s="41" t="str">
        <f ca="1">IFERROR(__xludf.DUMMYFUNCTION("""COMPUTED_VALUE"""),"")</f>
        <v/>
      </c>
      <c r="Q227" s="41" t="str">
        <f ca="1">IFERROR(__xludf.DUMMYFUNCTION("""COMPUTED_VALUE"""),"Cate Lawler")</f>
        <v>Cate Lawler</v>
      </c>
      <c r="R227" s="5" t="str">
        <f ca="1">IFERROR(__xludf.DUMMYFUNCTION("""COMPUTED_VALUE"""),"KG")</f>
        <v>KG</v>
      </c>
      <c r="S227" s="5" t="str">
        <f ca="1">IFERROR(__xludf.DUMMYFUNCTION("""COMPUTED_VALUE"""),"G15")</f>
        <v>G15</v>
      </c>
      <c r="T227" s="5">
        <f ca="1">IFERROR(__xludf.DUMMYFUNCTION("""COMPUTED_VALUE"""),5)</f>
        <v>5</v>
      </c>
      <c r="U227" s="5">
        <f ca="1"/>
        <v>155</v>
      </c>
      <c r="V227" s="5" t="str">
        <f ca="1">IFERROR(__xludf.DUMMYFUNCTION("""COMPUTED_VALUE"""),"")</f>
        <v/>
      </c>
    </row>
    <row r="228" spans="1:22" ht="13.2">
      <c r="A228" s="1" t="e">
        <f ca="1"/>
        <v>#NAME?</v>
      </c>
      <c r="B228" s="30">
        <v>3002</v>
      </c>
      <c r="C228" s="44" t="s">
        <v>187</v>
      </c>
      <c r="D228" s="45" t="s">
        <v>188</v>
      </c>
      <c r="E228" s="72" t="s">
        <v>189</v>
      </c>
      <c r="F228" s="45" t="s">
        <v>81</v>
      </c>
      <c r="G228" s="46">
        <v>75.989999999999995</v>
      </c>
      <c r="H228" s="40" t="s">
        <v>38</v>
      </c>
      <c r="I228" s="40" t="s">
        <v>190</v>
      </c>
      <c r="J228" s="4"/>
      <c r="K228" s="41" t="str">
        <f ca="1">IFERROR(__xludf.DUMMYFUNCTION("""COMPUTED_VALUE"""),"Kathryn Fegan")</f>
        <v>Kathryn Fegan</v>
      </c>
      <c r="L228" s="5" t="str">
        <f ca="1">IFERROR(__xludf.DUMMYFUNCTION("""COMPUTED_VALUE"""),"RFD")</f>
        <v>RFD</v>
      </c>
      <c r="M228" s="5" t="str">
        <f ca="1">IFERROR(__xludf.DUMMYFUNCTION("""COMPUTED_VALUE"""),"G13")</f>
        <v>G13</v>
      </c>
      <c r="N228" s="5">
        <f ca="1">IFERROR(__xludf.DUMMYFUNCTION("""COMPUTED_VALUE"""),5)</f>
        <v>5</v>
      </c>
      <c r="O228" s="5"/>
      <c r="P228" s="41" t="str">
        <f ca="1">IFERROR(__xludf.DUMMYFUNCTION("""COMPUTED_VALUE"""),"")</f>
        <v/>
      </c>
      <c r="Q228" s="41" t="str">
        <f ca="1">IFERROR(__xludf.DUMMYFUNCTION("""COMPUTED_VALUE"""),"Milla Schymanski")</f>
        <v>Milla Schymanski</v>
      </c>
      <c r="R228" s="5" t="str">
        <f ca="1">IFERROR(__xludf.DUMMYFUNCTION("""COMPUTED_VALUE"""),"KG")</f>
        <v>KG</v>
      </c>
      <c r="S228" s="5" t="str">
        <f ca="1">IFERROR(__xludf.DUMMYFUNCTION("""COMPUTED_VALUE"""),"G11")</f>
        <v>G11</v>
      </c>
      <c r="T228" s="5">
        <f ca="1">IFERROR(__xludf.DUMMYFUNCTION("""COMPUTED_VALUE"""),5)</f>
        <v>5</v>
      </c>
      <c r="U228" s="5">
        <f ca="1"/>
        <v>99</v>
      </c>
      <c r="V228" s="5" t="str">
        <f ca="1">IFERROR(__xludf.DUMMYFUNCTION("""COMPUTED_VALUE"""),"Age-11")</f>
        <v>Age-11</v>
      </c>
    </row>
    <row r="229" spans="1:22" ht="13.2">
      <c r="A229" s="1" t="e">
        <f ca="1"/>
        <v>#NAME?</v>
      </c>
      <c r="B229" s="30">
        <v>3290</v>
      </c>
      <c r="C229" s="44" t="s">
        <v>191</v>
      </c>
      <c r="D229" s="45" t="s">
        <v>86</v>
      </c>
      <c r="E229" s="72" t="s">
        <v>192</v>
      </c>
      <c r="F229" s="45" t="s">
        <v>86</v>
      </c>
      <c r="G229" s="46">
        <v>49.11</v>
      </c>
      <c r="H229" s="40" t="s">
        <v>162</v>
      </c>
      <c r="I229" s="40" t="s">
        <v>38</v>
      </c>
      <c r="J229" s="4"/>
      <c r="K229" s="41" t="str">
        <f ca="1">IFERROR(__xludf.DUMMYFUNCTION("""COMPUTED_VALUE"""),"Phoebe Guy")</f>
        <v>Phoebe Guy</v>
      </c>
      <c r="L229" s="5" t="str">
        <f ca="1">IFERROR(__xludf.DUMMYFUNCTION("""COMPUTED_VALUE"""),"HP")</f>
        <v>HP</v>
      </c>
      <c r="M229" s="5" t="str">
        <f ca="1">IFERROR(__xludf.DUMMYFUNCTION("""COMPUTED_VALUE"""),"G12")</f>
        <v>G12</v>
      </c>
      <c r="N229" s="5">
        <f ca="1">IFERROR(__xludf.DUMMYFUNCTION("""COMPUTED_VALUE"""),5)</f>
        <v>5</v>
      </c>
      <c r="O229" s="5"/>
      <c r="P229" s="41" t="str">
        <f ca="1">IFERROR(__xludf.DUMMYFUNCTION("""COMPUTED_VALUE"""),"Age-12")</f>
        <v>Age-12</v>
      </c>
      <c r="Q229" s="41" t="str">
        <f ca="1">IFERROR(__xludf.DUMMYFUNCTION("""COMPUTED_VALUE"""),"Kimberly Kobus")</f>
        <v>Kimberly Kobus</v>
      </c>
      <c r="R229" s="5" t="str">
        <f ca="1">IFERROR(__xludf.DUMMYFUNCTION("""COMPUTED_VALUE"""),"HP")</f>
        <v>HP</v>
      </c>
      <c r="S229" s="5" t="str">
        <f ca="1">IFERROR(__xludf.DUMMYFUNCTION("""COMPUTED_VALUE"""),"G14")</f>
        <v>G14</v>
      </c>
      <c r="T229" s="5">
        <f ca="1">IFERROR(__xludf.DUMMYFUNCTION("""COMPUTED_VALUE"""),0)</f>
        <v>0</v>
      </c>
      <c r="U229" s="5">
        <f ca="1"/>
        <v>136</v>
      </c>
      <c r="V229" s="5" t="str">
        <f ca="1">IFERROR(__xludf.DUMMYFUNCTION("""COMPUTED_VALUE"""),"")</f>
        <v/>
      </c>
    </row>
    <row r="230" spans="1:22" ht="13.2">
      <c r="A230" s="1" t="e">
        <f ca="1"/>
        <v>#NAME?</v>
      </c>
      <c r="B230" s="30">
        <v>3736</v>
      </c>
      <c r="C230" s="36" t="s">
        <v>193</v>
      </c>
      <c r="D230" s="37" t="s">
        <v>86</v>
      </c>
      <c r="E230" s="36" t="s">
        <v>194</v>
      </c>
      <c r="F230" s="37" t="s">
        <v>86</v>
      </c>
      <c r="G230" s="42">
        <v>78.12</v>
      </c>
      <c r="H230" s="40" t="s">
        <v>38</v>
      </c>
      <c r="I230" s="40" t="s">
        <v>38</v>
      </c>
      <c r="J230" s="4"/>
      <c r="K230" s="41" t="str">
        <f ca="1">IFERROR(__xludf.DUMMYFUNCTION("""COMPUTED_VALUE"""),"Mabel Margolis")</f>
        <v>Mabel Margolis</v>
      </c>
      <c r="L230" s="5" t="str">
        <f ca="1">IFERROR(__xludf.DUMMYFUNCTION("""COMPUTED_VALUE"""),"HP")</f>
        <v>HP</v>
      </c>
      <c r="M230" s="5" t="str">
        <f ca="1">IFERROR(__xludf.DUMMYFUNCTION("""COMPUTED_VALUE"""),"G15")</f>
        <v>G15</v>
      </c>
      <c r="N230" s="5">
        <f ca="1">IFERROR(__xludf.DUMMYFUNCTION("""COMPUTED_VALUE"""),4)</f>
        <v>4</v>
      </c>
      <c r="O230" s="5"/>
      <c r="P230" s="41" t="str">
        <f ca="1">IFERROR(__xludf.DUMMYFUNCTION("""COMPUTED_VALUE"""),"")</f>
        <v/>
      </c>
      <c r="Q230" s="41" t="str">
        <f ca="1">IFERROR(__xludf.DUMMYFUNCTION("""COMPUTED_VALUE"""),"Lilly Coulby")</f>
        <v>Lilly Coulby</v>
      </c>
      <c r="R230" s="5" t="str">
        <f ca="1">IFERROR(__xludf.DUMMYFUNCTION("""COMPUTED_VALUE"""),"HP")</f>
        <v>HP</v>
      </c>
      <c r="S230" s="5" t="str">
        <f ca="1">IFERROR(__xludf.DUMMYFUNCTION("""COMPUTED_VALUE"""),"G15")</f>
        <v>G15</v>
      </c>
      <c r="T230" s="5">
        <f ca="1">IFERROR(__xludf.DUMMYFUNCTION("""COMPUTED_VALUE"""),3)</f>
        <v>3</v>
      </c>
      <c r="U230" s="5">
        <f ca="1"/>
        <v>155</v>
      </c>
      <c r="V230" s="5" t="str">
        <f ca="1">IFERROR(__xludf.DUMMYFUNCTION("""COMPUTED_VALUE"""),"")</f>
        <v/>
      </c>
    </row>
    <row r="231" spans="1:22" ht="13.2">
      <c r="A231" s="1" t="e">
        <f ca="1"/>
        <v>#NAME?</v>
      </c>
      <c r="B231" s="30">
        <v>3870</v>
      </c>
      <c r="C231" s="36" t="s">
        <v>195</v>
      </c>
      <c r="D231" s="37" t="s">
        <v>95</v>
      </c>
      <c r="E231" s="36" t="s">
        <v>196</v>
      </c>
      <c r="F231" s="37" t="s">
        <v>95</v>
      </c>
      <c r="G231" s="42">
        <v>88.8</v>
      </c>
      <c r="H231" s="40" t="s">
        <v>38</v>
      </c>
      <c r="I231" s="40" t="s">
        <v>38</v>
      </c>
      <c r="J231" s="4"/>
      <c r="K231" s="41" t="str">
        <f ca="1">IFERROR(__xludf.DUMMYFUNCTION("""COMPUTED_VALUE"""),"Shannon Stegmaier")</f>
        <v>Shannon Stegmaier</v>
      </c>
      <c r="L231" s="5" t="str">
        <f ca="1">IFERROR(__xludf.DUMMYFUNCTION("""COMPUTED_VALUE"""),"OKM")</f>
        <v>OKM</v>
      </c>
      <c r="M231" s="5" t="str">
        <f ca="1">IFERROR(__xludf.DUMMYFUNCTION("""COMPUTED_VALUE"""),"G13")</f>
        <v>G13</v>
      </c>
      <c r="N231" s="5">
        <f ca="1">IFERROR(__xludf.DUMMYFUNCTION("""COMPUTED_VALUE"""),5)</f>
        <v>5</v>
      </c>
      <c r="O231" s="5"/>
      <c r="P231" s="41" t="str">
        <f ca="1">IFERROR(__xludf.DUMMYFUNCTION("""COMPUTED_VALUE"""),"")</f>
        <v/>
      </c>
      <c r="Q231" s="41" t="str">
        <f ca="1">IFERROR(__xludf.DUMMYFUNCTION("""COMPUTED_VALUE"""),"Samantha Kluger")</f>
        <v>Samantha Kluger</v>
      </c>
      <c r="R231" s="5" t="str">
        <f ca="1">IFERROR(__xludf.DUMMYFUNCTION("""COMPUTED_VALUE"""),"OKM")</f>
        <v>OKM</v>
      </c>
      <c r="S231" s="5" t="str">
        <f ca="1">IFERROR(__xludf.DUMMYFUNCTION("""COMPUTED_VALUE"""),"G13")</f>
        <v>G13</v>
      </c>
      <c r="T231" s="5">
        <f ca="1">IFERROR(__xludf.DUMMYFUNCTION("""COMPUTED_VALUE"""),5)</f>
        <v>5</v>
      </c>
      <c r="U231" s="5">
        <f ca="1"/>
        <v>136</v>
      </c>
      <c r="V231" s="5" t="str">
        <f ca="1">IFERROR(__xludf.DUMMYFUNCTION("""COMPUTED_VALUE"""),"")</f>
        <v/>
      </c>
    </row>
    <row r="232" spans="1:22" ht="13.2">
      <c r="A232" s="1" t="e">
        <f ca="1"/>
        <v>#NAME?</v>
      </c>
      <c r="B232" s="30">
        <v>4017</v>
      </c>
      <c r="C232" s="36" t="s">
        <v>197</v>
      </c>
      <c r="D232" s="37" t="s">
        <v>198</v>
      </c>
      <c r="E232" s="36" t="s">
        <v>199</v>
      </c>
      <c r="F232" s="37" t="s">
        <v>198</v>
      </c>
      <c r="G232" s="42">
        <v>100.98</v>
      </c>
      <c r="H232" s="40" t="s">
        <v>38</v>
      </c>
      <c r="I232" s="40" t="s">
        <v>162</v>
      </c>
      <c r="J232" s="4"/>
      <c r="K232" s="41" t="str">
        <f ca="1">IFERROR(__xludf.DUMMYFUNCTION("""COMPUTED_VALUE"""),"CiCi Yen")</f>
        <v>CiCi Yen</v>
      </c>
      <c r="L232" s="5" t="str">
        <f ca="1">IFERROR(__xludf.DUMMYFUNCTION("""COMPUTED_VALUE"""),"O")</f>
        <v>O</v>
      </c>
      <c r="M232" s="5" t="str">
        <f ca="1">IFERROR(__xludf.DUMMYFUNCTION("""COMPUTED_VALUE"""),"G13")</f>
        <v>G13</v>
      </c>
      <c r="N232" s="5">
        <f ca="1">IFERROR(__xludf.DUMMYFUNCTION("""COMPUTED_VALUE"""),5)</f>
        <v>5</v>
      </c>
      <c r="O232" s="5"/>
      <c r="P232" s="41" t="str">
        <f ca="1">IFERROR(__xludf.DUMMYFUNCTION("""COMPUTED_VALUE"""),"")</f>
        <v/>
      </c>
      <c r="Q232" s="41" t="str">
        <f ca="1">IFERROR(__xludf.DUMMYFUNCTION("""COMPUTED_VALUE"""),"McKay Deegan")</f>
        <v>McKay Deegan</v>
      </c>
      <c r="R232" s="5" t="str">
        <f ca="1">IFERROR(__xludf.DUMMYFUNCTION("""COMPUTED_VALUE"""),"O")</f>
        <v>O</v>
      </c>
      <c r="S232" s="5" t="str">
        <f ca="1">IFERROR(__xludf.DUMMYFUNCTION("""COMPUTED_VALUE"""),"G12")</f>
        <v>G12</v>
      </c>
      <c r="T232" s="5">
        <f ca="1">IFERROR(__xludf.DUMMYFUNCTION("""COMPUTED_VALUE"""),5)</f>
        <v>5</v>
      </c>
      <c r="U232" s="5">
        <f ca="1"/>
        <v>99</v>
      </c>
      <c r="V232" s="5" t="str">
        <f ca="1">IFERROR(__xludf.DUMMYFUNCTION("""COMPUTED_VALUE"""),"Age-12")</f>
        <v>Age-12</v>
      </c>
    </row>
    <row r="233" spans="1:22" ht="13.2">
      <c r="A233" s="1" t="e">
        <f ca="1"/>
        <v>#NAME?</v>
      </c>
      <c r="B233" s="30">
        <v>4182</v>
      </c>
      <c r="C233" s="36" t="s">
        <v>200</v>
      </c>
      <c r="D233" s="37" t="s">
        <v>198</v>
      </c>
      <c r="E233" s="36" t="s">
        <v>201</v>
      </c>
      <c r="F233" s="37" t="s">
        <v>198</v>
      </c>
      <c r="G233" s="42">
        <v>81.33</v>
      </c>
      <c r="H233" s="40" t="s">
        <v>38</v>
      </c>
      <c r="I233" s="40" t="s">
        <v>38</v>
      </c>
      <c r="J233" s="4"/>
      <c r="K233" s="41" t="str">
        <f ca="1">IFERROR(__xludf.DUMMYFUNCTION("""COMPUTED_VALUE"""),"Scarlett Waltrup")</f>
        <v>Scarlett Waltrup</v>
      </c>
      <c r="L233" s="5" t="str">
        <f ca="1">IFERROR(__xludf.DUMMYFUNCTION("""COMPUTED_VALUE"""),"O")</f>
        <v>O</v>
      </c>
      <c r="M233" s="5" t="str">
        <f ca="1">IFERROR(__xludf.DUMMYFUNCTION("""COMPUTED_VALUE"""),"G14")</f>
        <v>G14</v>
      </c>
      <c r="N233" s="5">
        <f ca="1">IFERROR(__xludf.DUMMYFUNCTION("""COMPUTED_VALUE"""),5)</f>
        <v>5</v>
      </c>
      <c r="O233" s="5"/>
      <c r="P233" s="41" t="str">
        <f ca="1">IFERROR(__xludf.DUMMYFUNCTION("""COMPUTED_VALUE"""),"")</f>
        <v/>
      </c>
      <c r="Q233" s="41" t="str">
        <f ca="1">IFERROR(__xludf.DUMMYFUNCTION("""COMPUTED_VALUE"""),"Anna Dober")</f>
        <v>Anna Dober</v>
      </c>
      <c r="R233" s="5" t="str">
        <f ca="1">IFERROR(__xludf.DUMMYFUNCTION("""COMPUTED_VALUE"""),"O")</f>
        <v>O</v>
      </c>
      <c r="S233" s="5" t="str">
        <f ca="1">IFERROR(__xludf.DUMMYFUNCTION("""COMPUTED_VALUE"""),"G14")</f>
        <v>G14</v>
      </c>
      <c r="T233" s="5">
        <f ca="1">IFERROR(__xludf.DUMMYFUNCTION("""COMPUTED_VALUE"""),5)</f>
        <v>5</v>
      </c>
      <c r="U233" s="5">
        <f ca="1"/>
        <v>136</v>
      </c>
      <c r="V233" s="5" t="str">
        <f ca="1">IFERROR(__xludf.DUMMYFUNCTION("""COMPUTED_VALUE"""),"")</f>
        <v/>
      </c>
    </row>
    <row r="234" spans="1:22" ht="13.2">
      <c r="A234" s="1" t="e">
        <f ca="1"/>
        <v>#NAME?</v>
      </c>
      <c r="B234" s="30">
        <v>4190</v>
      </c>
      <c r="C234" s="36" t="s">
        <v>202</v>
      </c>
      <c r="D234" s="37" t="s">
        <v>58</v>
      </c>
      <c r="E234" s="36" t="s">
        <v>203</v>
      </c>
      <c r="F234" s="37" t="s">
        <v>58</v>
      </c>
      <c r="G234" s="42">
        <v>91.14</v>
      </c>
      <c r="H234" s="40" t="s">
        <v>38</v>
      </c>
      <c r="I234" s="40" t="s">
        <v>38</v>
      </c>
      <c r="J234" s="4"/>
      <c r="K234" s="41" t="str">
        <f ca="1">IFERROR(__xludf.DUMMYFUNCTION("""COMPUTED_VALUE"""),"Mary Abela")</f>
        <v>Mary Abela</v>
      </c>
      <c r="L234" s="5" t="str">
        <f ca="1">IFERROR(__xludf.DUMMYFUNCTION("""COMPUTED_VALUE"""),"GF")</f>
        <v>GF</v>
      </c>
      <c r="M234" s="5" t="str">
        <f ca="1">IFERROR(__xludf.DUMMYFUNCTION("""COMPUTED_VALUE"""),"G15")</f>
        <v>G15</v>
      </c>
      <c r="N234" s="5">
        <f ca="1">IFERROR(__xludf.DUMMYFUNCTION("""COMPUTED_VALUE"""),4)</f>
        <v>4</v>
      </c>
      <c r="O234" s="5"/>
      <c r="P234" s="41" t="str">
        <f ca="1">IFERROR(__xludf.DUMMYFUNCTION("""COMPUTED_VALUE"""),"")</f>
        <v/>
      </c>
      <c r="Q234" s="41" t="str">
        <f ca="1">IFERROR(__xludf.DUMMYFUNCTION("""COMPUTED_VALUE"""),"Norah Kissinger")</f>
        <v>Norah Kissinger</v>
      </c>
      <c r="R234" s="5" t="str">
        <f ca="1">IFERROR(__xludf.DUMMYFUNCTION("""COMPUTED_VALUE"""),"GF")</f>
        <v>GF</v>
      </c>
      <c r="S234" s="5" t="str">
        <f ca="1">IFERROR(__xludf.DUMMYFUNCTION("""COMPUTED_VALUE"""),"G17")</f>
        <v>G17</v>
      </c>
      <c r="T234" s="5">
        <f ca="1">IFERROR(__xludf.DUMMYFUNCTION("""COMPUTED_VALUE"""),5)</f>
        <v>5</v>
      </c>
      <c r="U234" s="5">
        <f ca="1"/>
        <v>155</v>
      </c>
      <c r="V234" s="5" t="str">
        <f ca="1">IFERROR(__xludf.DUMMYFUNCTION("""COMPUTED_VALUE"""),"")</f>
        <v/>
      </c>
    </row>
    <row r="235" spans="1:22" ht="13.2">
      <c r="A235" s="1" t="e">
        <f ca="1"/>
        <v>#NAME?</v>
      </c>
      <c r="B235" s="30">
        <v>4248</v>
      </c>
      <c r="C235" s="36" t="s">
        <v>204</v>
      </c>
      <c r="D235" s="37" t="s">
        <v>188</v>
      </c>
      <c r="E235" s="36" t="s">
        <v>205</v>
      </c>
      <c r="F235" s="37" t="s">
        <v>188</v>
      </c>
      <c r="G235" s="42">
        <v>93.99</v>
      </c>
      <c r="H235" s="40" t="s">
        <v>38</v>
      </c>
      <c r="I235" s="40" t="s">
        <v>38</v>
      </c>
      <c r="J235" s="4"/>
      <c r="K235" s="41" t="str">
        <f ca="1">IFERROR(__xludf.DUMMYFUNCTION("""COMPUTED_VALUE"""),"Heather Calderon")</f>
        <v>Heather Calderon</v>
      </c>
      <c r="L235" s="5" t="str">
        <f ca="1">IFERROR(__xludf.DUMMYFUNCTION("""COMPUTED_VALUE"""),"RFD")</f>
        <v>RFD</v>
      </c>
      <c r="M235" s="5" t="str">
        <f ca="1">IFERROR(__xludf.DUMMYFUNCTION("""COMPUTED_VALUE"""),"G18")</f>
        <v>G18</v>
      </c>
      <c r="N235" s="5">
        <f ca="1">IFERROR(__xludf.DUMMYFUNCTION("""COMPUTED_VALUE"""),4)</f>
        <v>4</v>
      </c>
      <c r="O235" s="5"/>
      <c r="P235" s="41" t="str">
        <f ca="1">IFERROR(__xludf.DUMMYFUNCTION("""COMPUTED_VALUE"""),"")</f>
        <v/>
      </c>
      <c r="Q235" s="41" t="str">
        <f ca="1">IFERROR(__xludf.DUMMYFUNCTION("""COMPUTED_VALUE"""),"Taityn Speier")</f>
        <v>Taityn Speier</v>
      </c>
      <c r="R235" s="5" t="str">
        <f ca="1">IFERROR(__xludf.DUMMYFUNCTION("""COMPUTED_VALUE"""),"RFD")</f>
        <v>RFD</v>
      </c>
      <c r="S235" s="5" t="str">
        <f ca="1">IFERROR(__xludf.DUMMYFUNCTION("""COMPUTED_VALUE"""),"G18")</f>
        <v>G18</v>
      </c>
      <c r="T235" s="5">
        <f ca="1">IFERROR(__xludf.DUMMYFUNCTION("""COMPUTED_VALUE"""),4)</f>
        <v>4</v>
      </c>
      <c r="U235" s="5">
        <f ca="1"/>
        <v>155</v>
      </c>
      <c r="V235" s="5" t="str">
        <f ca="1">IFERROR(__xludf.DUMMYFUNCTION("""COMPUTED_VALUE"""),"")</f>
        <v/>
      </c>
    </row>
    <row r="236" spans="1:22" ht="13.2">
      <c r="A236" s="1" t="e">
        <f ca="1"/>
        <v>#NAME?</v>
      </c>
      <c r="B236" s="30">
        <v>4301</v>
      </c>
      <c r="C236" s="36"/>
      <c r="D236" s="37"/>
      <c r="E236" s="36"/>
      <c r="F236" s="37"/>
      <c r="G236" s="42"/>
      <c r="H236" s="40" t="s">
        <v>38</v>
      </c>
      <c r="I236" s="40" t="s">
        <v>38</v>
      </c>
      <c r="J236" s="4"/>
      <c r="K236" s="41" t="str">
        <f ca="1">IFERROR(__xludf.DUMMYFUNCTION("""COMPUTED_VALUE"""),"")</f>
        <v/>
      </c>
      <c r="L236" s="5" t="str">
        <f ca="1">IFERROR(__xludf.DUMMYFUNCTION("""COMPUTED_VALUE"""),"")</f>
        <v/>
      </c>
      <c r="M236" s="5" t="str">
        <f ca="1">IFERROR(__xludf.DUMMYFUNCTION("""COMPUTED_VALUE"""),"")</f>
        <v/>
      </c>
      <c r="N236" s="5" t="str">
        <f ca="1">IFERROR(__xludf.DUMMYFUNCTION("""COMPUTED_VALUE"""),"")</f>
        <v/>
      </c>
      <c r="O236" s="5"/>
      <c r="P236" s="41" t="str">
        <f ca="1">IFERROR(__xludf.DUMMYFUNCTION("""COMPUTED_VALUE"""),"")</f>
        <v/>
      </c>
      <c r="Q236" s="41" t="str">
        <f ca="1">IFERROR(__xludf.DUMMYFUNCTION("""COMPUTED_VALUE"""),"")</f>
        <v/>
      </c>
      <c r="R236" s="5" t="str">
        <f ca="1">IFERROR(__xludf.DUMMYFUNCTION("""COMPUTED_VALUE"""),"")</f>
        <v/>
      </c>
      <c r="S236" s="5" t="str">
        <f ca="1">IFERROR(__xludf.DUMMYFUNCTION("""COMPUTED_VALUE"""),"")</f>
        <v/>
      </c>
      <c r="T236" s="5" t="str">
        <f ca="1">IFERROR(__xludf.DUMMYFUNCTION("""COMPUTED_VALUE"""),"")</f>
        <v/>
      </c>
      <c r="U236" s="5" t="str">
        <f ca="1"/>
        <v/>
      </c>
      <c r="V236" s="5" t="str">
        <f ca="1">IFERROR(__xludf.DUMMYFUNCTION("""COMPUTED_VALUE"""),"")</f>
        <v/>
      </c>
    </row>
    <row r="237" spans="1:22" ht="13.2">
      <c r="A237" s="1" t="e">
        <f ca="1"/>
        <v>#NAME?</v>
      </c>
      <c r="B237" s="30">
        <v>4382</v>
      </c>
      <c r="C237" s="36"/>
      <c r="D237" s="37"/>
      <c r="E237" s="36"/>
      <c r="F237" s="37"/>
      <c r="G237" s="42"/>
      <c r="H237" s="40" t="s">
        <v>38</v>
      </c>
      <c r="I237" s="40" t="s">
        <v>38</v>
      </c>
      <c r="J237" s="4"/>
      <c r="K237" s="41" t="str">
        <f ca="1">IFERROR(__xludf.DUMMYFUNCTION("""COMPUTED_VALUE"""),"")</f>
        <v/>
      </c>
      <c r="L237" s="5" t="str">
        <f ca="1">IFERROR(__xludf.DUMMYFUNCTION("""COMPUTED_VALUE"""),"")</f>
        <v/>
      </c>
      <c r="M237" s="5" t="str">
        <f ca="1">IFERROR(__xludf.DUMMYFUNCTION("""COMPUTED_VALUE"""),"")</f>
        <v/>
      </c>
      <c r="N237" s="5" t="str">
        <f ca="1">IFERROR(__xludf.DUMMYFUNCTION("""COMPUTED_VALUE"""),"")</f>
        <v/>
      </c>
      <c r="O237" s="5"/>
      <c r="P237" s="41" t="str">
        <f ca="1">IFERROR(__xludf.DUMMYFUNCTION("""COMPUTED_VALUE"""),"")</f>
        <v/>
      </c>
      <c r="Q237" s="41" t="str">
        <f ca="1">IFERROR(__xludf.DUMMYFUNCTION("""COMPUTED_VALUE"""),"")</f>
        <v/>
      </c>
      <c r="R237" s="5" t="str">
        <f ca="1">IFERROR(__xludf.DUMMYFUNCTION("""COMPUTED_VALUE"""),"")</f>
        <v/>
      </c>
      <c r="S237" s="5" t="str">
        <f ca="1">IFERROR(__xludf.DUMMYFUNCTION("""COMPUTED_VALUE"""),"")</f>
        <v/>
      </c>
      <c r="T237" s="5" t="str">
        <f ca="1">IFERROR(__xludf.DUMMYFUNCTION("""COMPUTED_VALUE"""),"")</f>
        <v/>
      </c>
      <c r="U237" s="5" t="str">
        <f ca="1"/>
        <v/>
      </c>
      <c r="V237" s="5" t="str">
        <f ca="1">IFERROR(__xludf.DUMMYFUNCTION("""COMPUTED_VALUE"""),"")</f>
        <v/>
      </c>
    </row>
    <row r="238" spans="1:22" ht="13.2">
      <c r="A238" s="1" t="e">
        <f ca="1"/>
        <v>#NAME?</v>
      </c>
      <c r="B238" s="30">
        <v>4836</v>
      </c>
      <c r="C238" s="36"/>
      <c r="D238" s="37"/>
      <c r="E238" s="36"/>
      <c r="F238" s="37"/>
      <c r="G238" s="42"/>
      <c r="H238" s="40" t="s">
        <v>38</v>
      </c>
      <c r="I238" s="40" t="s">
        <v>38</v>
      </c>
      <c r="J238" s="4"/>
      <c r="K238" s="41" t="str">
        <f ca="1">IFERROR(__xludf.DUMMYFUNCTION("""COMPUTED_VALUE"""),"")</f>
        <v/>
      </c>
      <c r="L238" s="5" t="str">
        <f ca="1">IFERROR(__xludf.DUMMYFUNCTION("""COMPUTED_VALUE"""),"")</f>
        <v/>
      </c>
      <c r="M238" s="5" t="str">
        <f ca="1">IFERROR(__xludf.DUMMYFUNCTION("""COMPUTED_VALUE"""),"")</f>
        <v/>
      </c>
      <c r="N238" s="5" t="str">
        <f ca="1">IFERROR(__xludf.DUMMYFUNCTION("""COMPUTED_VALUE"""),"")</f>
        <v/>
      </c>
      <c r="O238" s="5"/>
      <c r="P238" s="41" t="str">
        <f ca="1">IFERROR(__xludf.DUMMYFUNCTION("""COMPUTED_VALUE"""),"")</f>
        <v/>
      </c>
      <c r="Q238" s="41" t="str">
        <f ca="1">IFERROR(__xludf.DUMMYFUNCTION("""COMPUTED_VALUE"""),"")</f>
        <v/>
      </c>
      <c r="R238" s="5" t="str">
        <f ca="1">IFERROR(__xludf.DUMMYFUNCTION("""COMPUTED_VALUE"""),"")</f>
        <v/>
      </c>
      <c r="S238" s="5" t="str">
        <f ca="1">IFERROR(__xludf.DUMMYFUNCTION("""COMPUTED_VALUE"""),"")</f>
        <v/>
      </c>
      <c r="T238" s="5" t="str">
        <f ca="1">IFERROR(__xludf.DUMMYFUNCTION("""COMPUTED_VALUE"""),"")</f>
        <v/>
      </c>
      <c r="U238" s="5" t="str">
        <f ca="1"/>
        <v/>
      </c>
      <c r="V238" s="5" t="str">
        <f ca="1">IFERROR(__xludf.DUMMYFUNCTION("""COMPUTED_VALUE"""),"")</f>
        <v/>
      </c>
    </row>
    <row r="239" spans="1:22" ht="13.2">
      <c r="A239" s="1" t="e">
        <f ca="1"/>
        <v>#NAME?</v>
      </c>
      <c r="B239" s="30">
        <v>4873</v>
      </c>
      <c r="C239" s="48"/>
      <c r="D239" s="49"/>
      <c r="E239" s="48"/>
      <c r="F239" s="49"/>
      <c r="G239" s="51"/>
      <c r="H239" s="40" t="s">
        <v>38</v>
      </c>
      <c r="I239" s="40" t="s">
        <v>38</v>
      </c>
      <c r="J239" s="4"/>
      <c r="K239" s="41" t="str">
        <f ca="1">IFERROR(__xludf.DUMMYFUNCTION("""COMPUTED_VALUE"""),"")</f>
        <v/>
      </c>
      <c r="L239" s="5" t="str">
        <f ca="1">IFERROR(__xludf.DUMMYFUNCTION("""COMPUTED_VALUE"""),"")</f>
        <v/>
      </c>
      <c r="M239" s="5" t="str">
        <f ca="1">IFERROR(__xludf.DUMMYFUNCTION("""COMPUTED_VALUE"""),"")</f>
        <v/>
      </c>
      <c r="N239" s="5" t="str">
        <f ca="1">IFERROR(__xludf.DUMMYFUNCTION("""COMPUTED_VALUE"""),"")</f>
        <v/>
      </c>
      <c r="O239" s="5"/>
      <c r="P239" s="41" t="str">
        <f ca="1">IFERROR(__xludf.DUMMYFUNCTION("""COMPUTED_VALUE"""),"")</f>
        <v/>
      </c>
      <c r="Q239" s="41" t="str">
        <f ca="1">IFERROR(__xludf.DUMMYFUNCTION("""COMPUTED_VALUE"""),"")</f>
        <v/>
      </c>
      <c r="R239" s="5" t="str">
        <f ca="1">IFERROR(__xludf.DUMMYFUNCTION("""COMPUTED_VALUE"""),"")</f>
        <v/>
      </c>
      <c r="S239" s="5" t="str">
        <f ca="1">IFERROR(__xludf.DUMMYFUNCTION("""COMPUTED_VALUE"""),"")</f>
        <v/>
      </c>
      <c r="T239" s="5" t="str">
        <f ca="1">IFERROR(__xludf.DUMMYFUNCTION("""COMPUTED_VALUE"""),"")</f>
        <v/>
      </c>
      <c r="U239" s="5" t="str">
        <f ca="1"/>
        <v/>
      </c>
      <c r="V239" s="5" t="str">
        <f ca="1">IFERROR(__xludf.DUMMYFUNCTION("""COMPUTED_VALUE"""),"")</f>
        <v/>
      </c>
    </row>
    <row r="240" spans="1:22" ht="13.2">
      <c r="A240" s="1" t="e">
        <f ca="1"/>
        <v>#NAME?</v>
      </c>
      <c r="B240" s="30">
        <v>4938</v>
      </c>
      <c r="C240" s="48"/>
      <c r="D240" s="49"/>
      <c r="E240" s="48"/>
      <c r="F240" s="49"/>
      <c r="G240" s="51"/>
      <c r="H240" s="40" t="s">
        <v>38</v>
      </c>
      <c r="I240" s="40" t="s">
        <v>38</v>
      </c>
      <c r="J240" s="4"/>
      <c r="K240" s="41" t="str">
        <f ca="1">IFERROR(__xludf.DUMMYFUNCTION("""COMPUTED_VALUE"""),"")</f>
        <v/>
      </c>
      <c r="L240" s="5" t="str">
        <f ca="1">IFERROR(__xludf.DUMMYFUNCTION("""COMPUTED_VALUE"""),"")</f>
        <v/>
      </c>
      <c r="M240" s="5" t="str">
        <f ca="1">IFERROR(__xludf.DUMMYFUNCTION("""COMPUTED_VALUE"""),"")</f>
        <v/>
      </c>
      <c r="N240" s="5" t="str">
        <f ca="1">IFERROR(__xludf.DUMMYFUNCTION("""COMPUTED_VALUE"""),"")</f>
        <v/>
      </c>
      <c r="O240" s="5"/>
      <c r="P240" s="41" t="str">
        <f ca="1">IFERROR(__xludf.DUMMYFUNCTION("""COMPUTED_VALUE"""),"")</f>
        <v/>
      </c>
      <c r="Q240" s="41" t="str">
        <f ca="1">IFERROR(__xludf.DUMMYFUNCTION("""COMPUTED_VALUE"""),"")</f>
        <v/>
      </c>
      <c r="R240" s="5" t="str">
        <f ca="1">IFERROR(__xludf.DUMMYFUNCTION("""COMPUTED_VALUE"""),"")</f>
        <v/>
      </c>
      <c r="S240" s="5" t="str">
        <f ca="1">IFERROR(__xludf.DUMMYFUNCTION("""COMPUTED_VALUE"""),"")</f>
        <v/>
      </c>
      <c r="T240" s="5" t="str">
        <f ca="1">IFERROR(__xludf.DUMMYFUNCTION("""COMPUTED_VALUE"""),"")</f>
        <v/>
      </c>
      <c r="U240" s="5" t="str">
        <f ca="1"/>
        <v/>
      </c>
      <c r="V240" s="5" t="str">
        <f ca="1">IFERROR(__xludf.DUMMYFUNCTION("""COMPUTED_VALUE"""),"")</f>
        <v/>
      </c>
    </row>
    <row r="241" spans="1:22" ht="13.2">
      <c r="A241" s="1" t="e">
        <f ca="1"/>
        <v>#NAME?</v>
      </c>
      <c r="B241" s="30">
        <v>5295</v>
      </c>
      <c r="C241" s="48"/>
      <c r="D241" s="49"/>
      <c r="E241" s="48"/>
      <c r="F241" s="49"/>
      <c r="G241" s="51"/>
      <c r="H241" s="40" t="s">
        <v>38</v>
      </c>
      <c r="I241" s="40" t="s">
        <v>38</v>
      </c>
      <c r="J241" s="4"/>
      <c r="K241" s="41" t="str">
        <f ca="1">IFERROR(__xludf.DUMMYFUNCTION("""COMPUTED_VALUE"""),"")</f>
        <v/>
      </c>
      <c r="L241" s="5" t="str">
        <f ca="1">IFERROR(__xludf.DUMMYFUNCTION("""COMPUTED_VALUE"""),"")</f>
        <v/>
      </c>
      <c r="M241" s="5" t="str">
        <f ca="1">IFERROR(__xludf.DUMMYFUNCTION("""COMPUTED_VALUE"""),"")</f>
        <v/>
      </c>
      <c r="N241" s="5" t="str">
        <f ca="1">IFERROR(__xludf.DUMMYFUNCTION("""COMPUTED_VALUE"""),"")</f>
        <v/>
      </c>
      <c r="O241" s="5"/>
      <c r="P241" s="41" t="str">
        <f ca="1">IFERROR(__xludf.DUMMYFUNCTION("""COMPUTED_VALUE"""),"")</f>
        <v/>
      </c>
      <c r="Q241" s="41" t="str">
        <f ca="1">IFERROR(__xludf.DUMMYFUNCTION("""COMPUTED_VALUE"""),"")</f>
        <v/>
      </c>
      <c r="R241" s="5" t="str">
        <f ca="1">IFERROR(__xludf.DUMMYFUNCTION("""COMPUTED_VALUE"""),"")</f>
        <v/>
      </c>
      <c r="S241" s="5" t="str">
        <f ca="1">IFERROR(__xludf.DUMMYFUNCTION("""COMPUTED_VALUE"""),"")</f>
        <v/>
      </c>
      <c r="T241" s="5" t="str">
        <f ca="1">IFERROR(__xludf.DUMMYFUNCTION("""COMPUTED_VALUE"""),"")</f>
        <v/>
      </c>
      <c r="U241" s="5" t="str">
        <f ca="1"/>
        <v/>
      </c>
      <c r="V241" s="5" t="str">
        <f ca="1">IFERROR(__xludf.DUMMYFUNCTION("""COMPUTED_VALUE"""),"")</f>
        <v/>
      </c>
    </row>
    <row r="242" spans="1:22" ht="13.2">
      <c r="A242" s="1" t="e">
        <f ca="1"/>
        <v>#NAME?</v>
      </c>
      <c r="B242" s="30">
        <v>6327</v>
      </c>
      <c r="C242" s="48"/>
      <c r="D242" s="49"/>
      <c r="E242" s="48"/>
      <c r="F242" s="49"/>
      <c r="G242" s="51"/>
      <c r="H242" s="40" t="s">
        <v>38</v>
      </c>
      <c r="I242" s="40" t="s">
        <v>38</v>
      </c>
      <c r="J242" s="4"/>
      <c r="K242" s="41" t="str">
        <f ca="1">IFERROR(__xludf.DUMMYFUNCTION("""COMPUTED_VALUE"""),"")</f>
        <v/>
      </c>
      <c r="L242" s="5" t="str">
        <f ca="1">IFERROR(__xludf.DUMMYFUNCTION("""COMPUTED_VALUE"""),"")</f>
        <v/>
      </c>
      <c r="M242" s="5" t="str">
        <f ca="1">IFERROR(__xludf.DUMMYFUNCTION("""COMPUTED_VALUE"""),"")</f>
        <v/>
      </c>
      <c r="N242" s="5" t="str">
        <f ca="1">IFERROR(__xludf.DUMMYFUNCTION("""COMPUTED_VALUE"""),"")</f>
        <v/>
      </c>
      <c r="O242" s="5"/>
      <c r="P242" s="41" t="str">
        <f ca="1">IFERROR(__xludf.DUMMYFUNCTION("""COMPUTED_VALUE"""),"")</f>
        <v/>
      </c>
      <c r="Q242" s="41" t="str">
        <f ca="1">IFERROR(__xludf.DUMMYFUNCTION("""COMPUTED_VALUE"""),"")</f>
        <v/>
      </c>
      <c r="R242" s="5" t="str">
        <f ca="1">IFERROR(__xludf.DUMMYFUNCTION("""COMPUTED_VALUE"""),"")</f>
        <v/>
      </c>
      <c r="S242" s="5" t="str">
        <f ca="1">IFERROR(__xludf.DUMMYFUNCTION("""COMPUTED_VALUE"""),"")</f>
        <v/>
      </c>
      <c r="T242" s="5" t="str">
        <f ca="1">IFERROR(__xludf.DUMMYFUNCTION("""COMPUTED_VALUE"""),"")</f>
        <v/>
      </c>
      <c r="U242" s="5" t="str">
        <f ca="1"/>
        <v/>
      </c>
      <c r="V242" s="5" t="str">
        <f ca="1">IFERROR(__xludf.DUMMYFUNCTION("""COMPUTED_VALUE"""),"")</f>
        <v/>
      </c>
    </row>
    <row r="243" spans="1:22" ht="13.2">
      <c r="A243" s="1" t="e">
        <f ca="1"/>
        <v>#NAME?</v>
      </c>
      <c r="B243" s="30">
        <v>6446</v>
      </c>
      <c r="C243" s="48"/>
      <c r="D243" s="49"/>
      <c r="E243" s="48"/>
      <c r="F243" s="49"/>
      <c r="G243" s="51"/>
      <c r="H243" s="40" t="s">
        <v>38</v>
      </c>
      <c r="I243" s="40" t="s">
        <v>38</v>
      </c>
      <c r="J243" s="4"/>
      <c r="K243" s="41" t="str">
        <f ca="1">IFERROR(__xludf.DUMMYFUNCTION("""COMPUTED_VALUE"""),"")</f>
        <v/>
      </c>
      <c r="L243" s="5" t="str">
        <f ca="1">IFERROR(__xludf.DUMMYFUNCTION("""COMPUTED_VALUE"""),"")</f>
        <v/>
      </c>
      <c r="M243" s="5" t="str">
        <f ca="1">IFERROR(__xludf.DUMMYFUNCTION("""COMPUTED_VALUE"""),"")</f>
        <v/>
      </c>
      <c r="N243" s="5" t="str">
        <f ca="1">IFERROR(__xludf.DUMMYFUNCTION("""COMPUTED_VALUE"""),"")</f>
        <v/>
      </c>
      <c r="O243" s="5"/>
      <c r="P243" s="41" t="str">
        <f ca="1">IFERROR(__xludf.DUMMYFUNCTION("""COMPUTED_VALUE"""),"")</f>
        <v/>
      </c>
      <c r="Q243" s="41" t="str">
        <f ca="1">IFERROR(__xludf.DUMMYFUNCTION("""COMPUTED_VALUE"""),"")</f>
        <v/>
      </c>
      <c r="R243" s="5" t="str">
        <f ca="1">IFERROR(__xludf.DUMMYFUNCTION("""COMPUTED_VALUE"""),"")</f>
        <v/>
      </c>
      <c r="S243" s="5" t="str">
        <f ca="1">IFERROR(__xludf.DUMMYFUNCTION("""COMPUTED_VALUE"""),"")</f>
        <v/>
      </c>
      <c r="T243" s="5" t="str">
        <f ca="1">IFERROR(__xludf.DUMMYFUNCTION("""COMPUTED_VALUE"""),"")</f>
        <v/>
      </c>
      <c r="U243" s="5" t="str">
        <f ca="1"/>
        <v/>
      </c>
      <c r="V243" s="5" t="str">
        <f ca="1">IFERROR(__xludf.DUMMYFUNCTION("""COMPUTED_VALUE"""),"")</f>
        <v/>
      </c>
    </row>
    <row r="244" spans="1:22" ht="13.2">
      <c r="A244" s="1" t="e">
        <f ca="1"/>
        <v>#NAME?</v>
      </c>
      <c r="B244" s="30">
        <v>6472</v>
      </c>
      <c r="C244" s="48"/>
      <c r="D244" s="49"/>
      <c r="E244" s="48"/>
      <c r="F244" s="49"/>
      <c r="G244" s="51"/>
      <c r="H244" s="40" t="s">
        <v>38</v>
      </c>
      <c r="I244" s="40" t="s">
        <v>38</v>
      </c>
      <c r="J244" s="4"/>
      <c r="K244" s="41" t="str">
        <f ca="1">IFERROR(__xludf.DUMMYFUNCTION("""COMPUTED_VALUE"""),"")</f>
        <v/>
      </c>
      <c r="L244" s="5" t="str">
        <f ca="1">IFERROR(__xludf.DUMMYFUNCTION("""COMPUTED_VALUE"""),"")</f>
        <v/>
      </c>
      <c r="M244" s="5" t="str">
        <f ca="1">IFERROR(__xludf.DUMMYFUNCTION("""COMPUTED_VALUE"""),"")</f>
        <v/>
      </c>
      <c r="N244" s="5" t="str">
        <f ca="1">IFERROR(__xludf.DUMMYFUNCTION("""COMPUTED_VALUE"""),"")</f>
        <v/>
      </c>
      <c r="O244" s="5"/>
      <c r="P244" s="41" t="str">
        <f ca="1">IFERROR(__xludf.DUMMYFUNCTION("""COMPUTED_VALUE"""),"")</f>
        <v/>
      </c>
      <c r="Q244" s="41" t="str">
        <f ca="1">IFERROR(__xludf.DUMMYFUNCTION("""COMPUTED_VALUE"""),"")</f>
        <v/>
      </c>
      <c r="R244" s="5" t="str">
        <f ca="1">IFERROR(__xludf.DUMMYFUNCTION("""COMPUTED_VALUE"""),"")</f>
        <v/>
      </c>
      <c r="S244" s="5" t="str">
        <f ca="1">IFERROR(__xludf.DUMMYFUNCTION("""COMPUTED_VALUE"""),"")</f>
        <v/>
      </c>
      <c r="T244" s="5" t="str">
        <f ca="1">IFERROR(__xludf.DUMMYFUNCTION("""COMPUTED_VALUE"""),"")</f>
        <v/>
      </c>
      <c r="U244" s="5" t="str">
        <f ca="1"/>
        <v/>
      </c>
      <c r="V244" s="5" t="str">
        <f ca="1">IFERROR(__xludf.DUMMYFUNCTION("""COMPUTED_VALUE"""),"")</f>
        <v/>
      </c>
    </row>
    <row r="245" spans="1:22" ht="13.2">
      <c r="A245" s="1" t="e">
        <f ca="1"/>
        <v>#NAME?</v>
      </c>
      <c r="B245" s="30">
        <v>6503</v>
      </c>
      <c r="C245" s="48"/>
      <c r="D245" s="49"/>
      <c r="E245" s="48"/>
      <c r="F245" s="49"/>
      <c r="G245" s="51"/>
      <c r="H245" s="40" t="s">
        <v>38</v>
      </c>
      <c r="I245" s="40" t="s">
        <v>38</v>
      </c>
      <c r="J245" s="4"/>
      <c r="K245" s="41" t="str">
        <f ca="1">IFERROR(__xludf.DUMMYFUNCTION("""COMPUTED_VALUE"""),"")</f>
        <v/>
      </c>
      <c r="L245" s="5" t="str">
        <f ca="1">IFERROR(__xludf.DUMMYFUNCTION("""COMPUTED_VALUE"""),"")</f>
        <v/>
      </c>
      <c r="M245" s="5" t="str">
        <f ca="1">IFERROR(__xludf.DUMMYFUNCTION("""COMPUTED_VALUE"""),"")</f>
        <v/>
      </c>
      <c r="N245" s="5" t="str">
        <f ca="1">IFERROR(__xludf.DUMMYFUNCTION("""COMPUTED_VALUE"""),"")</f>
        <v/>
      </c>
      <c r="O245" s="5"/>
      <c r="P245" s="41" t="str">
        <f ca="1">IFERROR(__xludf.DUMMYFUNCTION("""COMPUTED_VALUE"""),"")</f>
        <v/>
      </c>
      <c r="Q245" s="41" t="str">
        <f ca="1">IFERROR(__xludf.DUMMYFUNCTION("""COMPUTED_VALUE"""),"")</f>
        <v/>
      </c>
      <c r="R245" s="5" t="str">
        <f ca="1">IFERROR(__xludf.DUMMYFUNCTION("""COMPUTED_VALUE"""),"")</f>
        <v/>
      </c>
      <c r="S245" s="5" t="str">
        <f ca="1">IFERROR(__xludf.DUMMYFUNCTION("""COMPUTED_VALUE"""),"")</f>
        <v/>
      </c>
      <c r="T245" s="5" t="str">
        <f ca="1">IFERROR(__xludf.DUMMYFUNCTION("""COMPUTED_VALUE"""),"")</f>
        <v/>
      </c>
      <c r="U245" s="5" t="str">
        <f ca="1"/>
        <v/>
      </c>
      <c r="V245" s="5" t="str">
        <f ca="1">IFERROR(__xludf.DUMMYFUNCTION("""COMPUTED_VALUE"""),"")</f>
        <v/>
      </c>
    </row>
    <row r="246" spans="1:22" ht="13.2">
      <c r="A246" s="1" t="e">
        <f ca="1"/>
        <v>#NAME?</v>
      </c>
      <c r="B246" s="30">
        <v>6610</v>
      </c>
      <c r="C246" s="48"/>
      <c r="D246" s="49"/>
      <c r="E246" s="48"/>
      <c r="F246" s="49"/>
      <c r="G246" s="51"/>
      <c r="H246" s="40" t="s">
        <v>38</v>
      </c>
      <c r="I246" s="40" t="s">
        <v>38</v>
      </c>
      <c r="J246" s="4"/>
      <c r="K246" s="41" t="str">
        <f ca="1">IFERROR(__xludf.DUMMYFUNCTION("""COMPUTED_VALUE"""),"")</f>
        <v/>
      </c>
      <c r="L246" s="5" t="str">
        <f ca="1">IFERROR(__xludf.DUMMYFUNCTION("""COMPUTED_VALUE"""),"")</f>
        <v/>
      </c>
      <c r="M246" s="5" t="str">
        <f ca="1">IFERROR(__xludf.DUMMYFUNCTION("""COMPUTED_VALUE"""),"")</f>
        <v/>
      </c>
      <c r="N246" s="5" t="str">
        <f ca="1">IFERROR(__xludf.DUMMYFUNCTION("""COMPUTED_VALUE"""),"")</f>
        <v/>
      </c>
      <c r="O246" s="5"/>
      <c r="P246" s="41" t="str">
        <f ca="1">IFERROR(__xludf.DUMMYFUNCTION("""COMPUTED_VALUE"""),"")</f>
        <v/>
      </c>
      <c r="Q246" s="41" t="str">
        <f ca="1">IFERROR(__xludf.DUMMYFUNCTION("""COMPUTED_VALUE"""),"")</f>
        <v/>
      </c>
      <c r="R246" s="5" t="str">
        <f ca="1">IFERROR(__xludf.DUMMYFUNCTION("""COMPUTED_VALUE"""),"")</f>
        <v/>
      </c>
      <c r="S246" s="5" t="str">
        <f ca="1">IFERROR(__xludf.DUMMYFUNCTION("""COMPUTED_VALUE"""),"")</f>
        <v/>
      </c>
      <c r="T246" s="5" t="str">
        <f ca="1">IFERROR(__xludf.DUMMYFUNCTION("""COMPUTED_VALUE"""),"")</f>
        <v/>
      </c>
      <c r="U246" s="5" t="str">
        <f ca="1"/>
        <v/>
      </c>
      <c r="V246" s="5" t="str">
        <f ca="1">IFERROR(__xludf.DUMMYFUNCTION("""COMPUTED_VALUE"""),"")</f>
        <v/>
      </c>
    </row>
    <row r="247" spans="1:22" ht="13.2">
      <c r="A247" s="1" t="e">
        <f ca="1"/>
        <v>#NAME?</v>
      </c>
      <c r="B247" s="30">
        <v>6977</v>
      </c>
      <c r="C247" s="48"/>
      <c r="D247" s="49"/>
      <c r="E247" s="48"/>
      <c r="F247" s="49"/>
      <c r="G247" s="51"/>
      <c r="H247" s="40" t="s">
        <v>38</v>
      </c>
      <c r="I247" s="40" t="s">
        <v>38</v>
      </c>
      <c r="J247" s="4"/>
      <c r="K247" s="41" t="str">
        <f ca="1">IFERROR(__xludf.DUMMYFUNCTION("""COMPUTED_VALUE"""),"")</f>
        <v/>
      </c>
      <c r="L247" s="5" t="str">
        <f ca="1">IFERROR(__xludf.DUMMYFUNCTION("""COMPUTED_VALUE"""),"")</f>
        <v/>
      </c>
      <c r="M247" s="5" t="str">
        <f ca="1">IFERROR(__xludf.DUMMYFUNCTION("""COMPUTED_VALUE"""),"")</f>
        <v/>
      </c>
      <c r="N247" s="5" t="str">
        <f ca="1">IFERROR(__xludf.DUMMYFUNCTION("""COMPUTED_VALUE"""),"")</f>
        <v/>
      </c>
      <c r="O247" s="5"/>
      <c r="P247" s="41" t="str">
        <f ca="1">IFERROR(__xludf.DUMMYFUNCTION("""COMPUTED_VALUE"""),"")</f>
        <v/>
      </c>
      <c r="Q247" s="41" t="str">
        <f ca="1">IFERROR(__xludf.DUMMYFUNCTION("""COMPUTED_VALUE"""),"")</f>
        <v/>
      </c>
      <c r="R247" s="5" t="str">
        <f ca="1">IFERROR(__xludf.DUMMYFUNCTION("""COMPUTED_VALUE"""),"")</f>
        <v/>
      </c>
      <c r="S247" s="5" t="str">
        <f ca="1">IFERROR(__xludf.DUMMYFUNCTION("""COMPUTED_VALUE"""),"")</f>
        <v/>
      </c>
      <c r="T247" s="5" t="str">
        <f ca="1">IFERROR(__xludf.DUMMYFUNCTION("""COMPUTED_VALUE"""),"")</f>
        <v/>
      </c>
      <c r="U247" s="5" t="str">
        <f ca="1"/>
        <v/>
      </c>
      <c r="V247" s="5" t="str">
        <f ca="1">IFERROR(__xludf.DUMMYFUNCTION("""COMPUTED_VALUE"""),"")</f>
        <v/>
      </c>
    </row>
    <row r="248" spans="1:22" ht="13.2">
      <c r="A248" s="1" t="e">
        <f ca="1"/>
        <v>#NAME?</v>
      </c>
      <c r="B248" s="30">
        <v>7011</v>
      </c>
      <c r="C248" s="48"/>
      <c r="D248" s="49"/>
      <c r="E248" s="48"/>
      <c r="F248" s="49"/>
      <c r="G248" s="51"/>
      <c r="H248" s="40" t="s">
        <v>38</v>
      </c>
      <c r="I248" s="40" t="s">
        <v>38</v>
      </c>
      <c r="J248" s="4"/>
      <c r="K248" s="41" t="str">
        <f ca="1">IFERROR(__xludf.DUMMYFUNCTION("""COMPUTED_VALUE"""),"")</f>
        <v/>
      </c>
      <c r="L248" s="5" t="str">
        <f ca="1">IFERROR(__xludf.DUMMYFUNCTION("""COMPUTED_VALUE"""),"")</f>
        <v/>
      </c>
      <c r="M248" s="5" t="str">
        <f ca="1">IFERROR(__xludf.DUMMYFUNCTION("""COMPUTED_VALUE"""),"")</f>
        <v/>
      </c>
      <c r="N248" s="5" t="str">
        <f ca="1">IFERROR(__xludf.DUMMYFUNCTION("""COMPUTED_VALUE"""),"")</f>
        <v/>
      </c>
      <c r="O248" s="5"/>
      <c r="P248" s="41" t="str">
        <f ca="1">IFERROR(__xludf.DUMMYFUNCTION("""COMPUTED_VALUE"""),"")</f>
        <v/>
      </c>
      <c r="Q248" s="41" t="str">
        <f ca="1">IFERROR(__xludf.DUMMYFUNCTION("""COMPUTED_VALUE"""),"")</f>
        <v/>
      </c>
      <c r="R248" s="5" t="str">
        <f ca="1">IFERROR(__xludf.DUMMYFUNCTION("""COMPUTED_VALUE"""),"")</f>
        <v/>
      </c>
      <c r="S248" s="5" t="str">
        <f ca="1">IFERROR(__xludf.DUMMYFUNCTION("""COMPUTED_VALUE"""),"")</f>
        <v/>
      </c>
      <c r="T248" s="5" t="str">
        <f ca="1">IFERROR(__xludf.DUMMYFUNCTION("""COMPUTED_VALUE"""),"")</f>
        <v/>
      </c>
      <c r="U248" s="5" t="str">
        <f ca="1"/>
        <v/>
      </c>
      <c r="V248" s="5" t="str">
        <f ca="1">IFERROR(__xludf.DUMMYFUNCTION("""COMPUTED_VALUE"""),"")</f>
        <v/>
      </c>
    </row>
    <row r="249" spans="1:22" ht="13.2">
      <c r="A249" s="1" t="e">
        <f ca="1"/>
        <v>#NAME?</v>
      </c>
      <c r="B249" s="30">
        <v>7127</v>
      </c>
      <c r="C249" s="48"/>
      <c r="D249" s="49"/>
      <c r="E249" s="48"/>
      <c r="F249" s="49"/>
      <c r="G249" s="51"/>
      <c r="H249" s="40" t="s">
        <v>38</v>
      </c>
      <c r="I249" s="40" t="s">
        <v>38</v>
      </c>
      <c r="J249" s="4"/>
      <c r="K249" s="41" t="str">
        <f ca="1">IFERROR(__xludf.DUMMYFUNCTION("""COMPUTED_VALUE"""),"")</f>
        <v/>
      </c>
      <c r="L249" s="5" t="str">
        <f ca="1">IFERROR(__xludf.DUMMYFUNCTION("""COMPUTED_VALUE"""),"")</f>
        <v/>
      </c>
      <c r="M249" s="5" t="str">
        <f ca="1">IFERROR(__xludf.DUMMYFUNCTION("""COMPUTED_VALUE"""),"")</f>
        <v/>
      </c>
      <c r="N249" s="5" t="str">
        <f ca="1">IFERROR(__xludf.DUMMYFUNCTION("""COMPUTED_VALUE"""),"")</f>
        <v/>
      </c>
      <c r="O249" s="5"/>
      <c r="P249" s="41" t="str">
        <f ca="1">IFERROR(__xludf.DUMMYFUNCTION("""COMPUTED_VALUE"""),"")</f>
        <v/>
      </c>
      <c r="Q249" s="41" t="str">
        <f ca="1">IFERROR(__xludf.DUMMYFUNCTION("""COMPUTED_VALUE"""),"")</f>
        <v/>
      </c>
      <c r="R249" s="5" t="str">
        <f ca="1">IFERROR(__xludf.DUMMYFUNCTION("""COMPUTED_VALUE"""),"")</f>
        <v/>
      </c>
      <c r="S249" s="5" t="str">
        <f ca="1">IFERROR(__xludf.DUMMYFUNCTION("""COMPUTED_VALUE"""),"")</f>
        <v/>
      </c>
      <c r="T249" s="5" t="str">
        <f ca="1">IFERROR(__xludf.DUMMYFUNCTION("""COMPUTED_VALUE"""),"")</f>
        <v/>
      </c>
      <c r="U249" s="5" t="str">
        <f ca="1"/>
        <v/>
      </c>
      <c r="V249" s="5" t="str">
        <f ca="1">IFERROR(__xludf.DUMMYFUNCTION("""COMPUTED_VALUE"""),"")</f>
        <v/>
      </c>
    </row>
    <row r="250" spans="1:22" ht="13.2">
      <c r="A250" s="1" t="e">
        <f ca="1"/>
        <v>#NAME?</v>
      </c>
      <c r="B250" s="30">
        <v>7383</v>
      </c>
      <c r="C250" s="48"/>
      <c r="D250" s="49"/>
      <c r="E250" s="48"/>
      <c r="F250" s="49"/>
      <c r="G250" s="51"/>
      <c r="H250" s="40" t="s">
        <v>38</v>
      </c>
      <c r="I250" s="40" t="s">
        <v>38</v>
      </c>
      <c r="J250" s="4"/>
      <c r="K250" s="41" t="str">
        <f ca="1">IFERROR(__xludf.DUMMYFUNCTION("""COMPUTED_VALUE"""),"")</f>
        <v/>
      </c>
      <c r="L250" s="5" t="str">
        <f ca="1">IFERROR(__xludf.DUMMYFUNCTION("""COMPUTED_VALUE"""),"")</f>
        <v/>
      </c>
      <c r="M250" s="5" t="str">
        <f ca="1">IFERROR(__xludf.DUMMYFUNCTION("""COMPUTED_VALUE"""),"")</f>
        <v/>
      </c>
      <c r="N250" s="5" t="str">
        <f ca="1">IFERROR(__xludf.DUMMYFUNCTION("""COMPUTED_VALUE"""),"")</f>
        <v/>
      </c>
      <c r="O250" s="5"/>
      <c r="P250" s="41" t="str">
        <f ca="1">IFERROR(__xludf.DUMMYFUNCTION("""COMPUTED_VALUE"""),"")</f>
        <v/>
      </c>
      <c r="Q250" s="41" t="str">
        <f ca="1">IFERROR(__xludf.DUMMYFUNCTION("""COMPUTED_VALUE"""),"")</f>
        <v/>
      </c>
      <c r="R250" s="5" t="str">
        <f ca="1">IFERROR(__xludf.DUMMYFUNCTION("""COMPUTED_VALUE"""),"")</f>
        <v/>
      </c>
      <c r="S250" s="5" t="str">
        <f ca="1">IFERROR(__xludf.DUMMYFUNCTION("""COMPUTED_VALUE"""),"")</f>
        <v/>
      </c>
      <c r="T250" s="5" t="str">
        <f ca="1">IFERROR(__xludf.DUMMYFUNCTION("""COMPUTED_VALUE"""),"")</f>
        <v/>
      </c>
      <c r="U250" s="5" t="str">
        <f ca="1"/>
        <v/>
      </c>
      <c r="V250" s="5" t="str">
        <f ca="1">IFERROR(__xludf.DUMMYFUNCTION("""COMPUTED_VALUE"""),"")</f>
        <v/>
      </c>
    </row>
    <row r="251" spans="1:22" ht="13.2">
      <c r="A251" s="1" t="e">
        <f ca="1"/>
        <v>#NAME?</v>
      </c>
      <c r="B251" s="30">
        <v>7572</v>
      </c>
      <c r="C251" s="48"/>
      <c r="D251" s="49"/>
      <c r="E251" s="48"/>
      <c r="F251" s="49"/>
      <c r="G251" s="51"/>
      <c r="H251" s="40" t="s">
        <v>38</v>
      </c>
      <c r="I251" s="40" t="s">
        <v>38</v>
      </c>
      <c r="J251" s="4"/>
      <c r="K251" s="41" t="str">
        <f ca="1">IFERROR(__xludf.DUMMYFUNCTION("""COMPUTED_VALUE"""),"")</f>
        <v/>
      </c>
      <c r="L251" s="5" t="str">
        <f ca="1">IFERROR(__xludf.DUMMYFUNCTION("""COMPUTED_VALUE"""),"")</f>
        <v/>
      </c>
      <c r="M251" s="5" t="str">
        <f ca="1">IFERROR(__xludf.DUMMYFUNCTION("""COMPUTED_VALUE"""),"")</f>
        <v/>
      </c>
      <c r="N251" s="5" t="str">
        <f ca="1">IFERROR(__xludf.DUMMYFUNCTION("""COMPUTED_VALUE"""),"")</f>
        <v/>
      </c>
      <c r="O251" s="5"/>
      <c r="P251" s="41" t="str">
        <f ca="1">IFERROR(__xludf.DUMMYFUNCTION("""COMPUTED_VALUE"""),"")</f>
        <v/>
      </c>
      <c r="Q251" s="41" t="str">
        <f ca="1">IFERROR(__xludf.DUMMYFUNCTION("""COMPUTED_VALUE"""),"")</f>
        <v/>
      </c>
      <c r="R251" s="5" t="str">
        <f ca="1">IFERROR(__xludf.DUMMYFUNCTION("""COMPUTED_VALUE"""),"")</f>
        <v/>
      </c>
      <c r="S251" s="5" t="str">
        <f ca="1">IFERROR(__xludf.DUMMYFUNCTION("""COMPUTED_VALUE"""),"")</f>
        <v/>
      </c>
      <c r="T251" s="5" t="str">
        <f ca="1">IFERROR(__xludf.DUMMYFUNCTION("""COMPUTED_VALUE"""),"")</f>
        <v/>
      </c>
      <c r="U251" s="5" t="str">
        <f ca="1"/>
        <v/>
      </c>
      <c r="V251" s="5" t="str">
        <f ca="1">IFERROR(__xludf.DUMMYFUNCTION("""COMPUTED_VALUE"""),"")</f>
        <v/>
      </c>
    </row>
    <row r="252" spans="1:22" ht="13.2">
      <c r="A252" s="1" t="e">
        <f ca="1"/>
        <v>#NAME?</v>
      </c>
      <c r="B252" s="30">
        <v>8246</v>
      </c>
      <c r="C252" s="48"/>
      <c r="D252" s="49"/>
      <c r="E252" s="48"/>
      <c r="F252" s="49"/>
      <c r="G252" s="51"/>
      <c r="H252" s="40" t="s">
        <v>38</v>
      </c>
      <c r="I252" s="40" t="s">
        <v>38</v>
      </c>
      <c r="J252" s="4"/>
      <c r="K252" s="41" t="str">
        <f ca="1">IFERROR(__xludf.DUMMYFUNCTION("""COMPUTED_VALUE"""),"")</f>
        <v/>
      </c>
      <c r="L252" s="5" t="str">
        <f ca="1">IFERROR(__xludf.DUMMYFUNCTION("""COMPUTED_VALUE"""),"")</f>
        <v/>
      </c>
      <c r="M252" s="5" t="str">
        <f ca="1">IFERROR(__xludf.DUMMYFUNCTION("""COMPUTED_VALUE"""),"")</f>
        <v/>
      </c>
      <c r="N252" s="5" t="str">
        <f ca="1">IFERROR(__xludf.DUMMYFUNCTION("""COMPUTED_VALUE"""),"")</f>
        <v/>
      </c>
      <c r="O252" s="5"/>
      <c r="P252" s="41" t="str">
        <f ca="1">IFERROR(__xludf.DUMMYFUNCTION("""COMPUTED_VALUE"""),"")</f>
        <v/>
      </c>
      <c r="Q252" s="41" t="str">
        <f ca="1">IFERROR(__xludf.DUMMYFUNCTION("""COMPUTED_VALUE"""),"")</f>
        <v/>
      </c>
      <c r="R252" s="5" t="str">
        <f ca="1">IFERROR(__xludf.DUMMYFUNCTION("""COMPUTED_VALUE"""),"")</f>
        <v/>
      </c>
      <c r="S252" s="5" t="str">
        <f ca="1">IFERROR(__xludf.DUMMYFUNCTION("""COMPUTED_VALUE"""),"")</f>
        <v/>
      </c>
      <c r="T252" s="5" t="str">
        <f ca="1">IFERROR(__xludf.DUMMYFUNCTION("""COMPUTED_VALUE"""),"")</f>
        <v/>
      </c>
      <c r="U252" s="5" t="str">
        <f ca="1"/>
        <v/>
      </c>
      <c r="V252" s="5" t="str">
        <f ca="1">IFERROR(__xludf.DUMMYFUNCTION("""COMPUTED_VALUE"""),"")</f>
        <v/>
      </c>
    </row>
    <row r="253" spans="1:22" ht="13.2">
      <c r="A253" s="1" t="e">
        <f ca="1"/>
        <v>#NAME?</v>
      </c>
      <c r="B253" s="30">
        <v>8518</v>
      </c>
      <c r="C253" s="48"/>
      <c r="D253" s="49"/>
      <c r="E253" s="48"/>
      <c r="F253" s="49"/>
      <c r="G253" s="51"/>
      <c r="H253" s="40" t="s">
        <v>38</v>
      </c>
      <c r="I253" s="40" t="s">
        <v>38</v>
      </c>
      <c r="J253" s="4"/>
      <c r="K253" s="41" t="str">
        <f ca="1">IFERROR(__xludf.DUMMYFUNCTION("""COMPUTED_VALUE"""),"")</f>
        <v/>
      </c>
      <c r="L253" s="5" t="str">
        <f ca="1">IFERROR(__xludf.DUMMYFUNCTION("""COMPUTED_VALUE"""),"")</f>
        <v/>
      </c>
      <c r="M253" s="5" t="str">
        <f ca="1">IFERROR(__xludf.DUMMYFUNCTION("""COMPUTED_VALUE"""),"")</f>
        <v/>
      </c>
      <c r="N253" s="5" t="str">
        <f ca="1">IFERROR(__xludf.DUMMYFUNCTION("""COMPUTED_VALUE"""),"")</f>
        <v/>
      </c>
      <c r="O253" s="5"/>
      <c r="P253" s="41" t="str">
        <f ca="1">IFERROR(__xludf.DUMMYFUNCTION("""COMPUTED_VALUE"""),"")</f>
        <v/>
      </c>
      <c r="Q253" s="41" t="str">
        <f ca="1">IFERROR(__xludf.DUMMYFUNCTION("""COMPUTED_VALUE"""),"")</f>
        <v/>
      </c>
      <c r="R253" s="5" t="str">
        <f ca="1">IFERROR(__xludf.DUMMYFUNCTION("""COMPUTED_VALUE"""),"")</f>
        <v/>
      </c>
      <c r="S253" s="5" t="str">
        <f ca="1">IFERROR(__xludf.DUMMYFUNCTION("""COMPUTED_VALUE"""),"")</f>
        <v/>
      </c>
      <c r="T253" s="5" t="str">
        <f ca="1">IFERROR(__xludf.DUMMYFUNCTION("""COMPUTED_VALUE"""),"")</f>
        <v/>
      </c>
      <c r="U253" s="5" t="str">
        <f ca="1"/>
        <v/>
      </c>
      <c r="V253" s="5" t="str">
        <f ca="1">IFERROR(__xludf.DUMMYFUNCTION("""COMPUTED_VALUE"""),"")</f>
        <v/>
      </c>
    </row>
    <row r="254" spans="1:22" ht="13.2">
      <c r="A254" s="1" t="e">
        <f ca="1"/>
        <v>#NAME?</v>
      </c>
      <c r="B254" s="30">
        <v>8557</v>
      </c>
      <c r="C254" s="48"/>
      <c r="D254" s="49"/>
      <c r="E254" s="48"/>
      <c r="F254" s="49"/>
      <c r="G254" s="51"/>
      <c r="H254" s="40" t="s">
        <v>38</v>
      </c>
      <c r="I254" s="40" t="s">
        <v>38</v>
      </c>
      <c r="J254" s="4"/>
      <c r="K254" s="41" t="str">
        <f ca="1">IFERROR(__xludf.DUMMYFUNCTION("""COMPUTED_VALUE"""),"")</f>
        <v/>
      </c>
      <c r="L254" s="5" t="str">
        <f ca="1">IFERROR(__xludf.DUMMYFUNCTION("""COMPUTED_VALUE"""),"")</f>
        <v/>
      </c>
      <c r="M254" s="5" t="str">
        <f ca="1">IFERROR(__xludf.DUMMYFUNCTION("""COMPUTED_VALUE"""),"")</f>
        <v/>
      </c>
      <c r="N254" s="5" t="str">
        <f ca="1">IFERROR(__xludf.DUMMYFUNCTION("""COMPUTED_VALUE"""),"")</f>
        <v/>
      </c>
      <c r="O254" s="5"/>
      <c r="P254" s="41" t="str">
        <f ca="1">IFERROR(__xludf.DUMMYFUNCTION("""COMPUTED_VALUE"""),"")</f>
        <v/>
      </c>
      <c r="Q254" s="41" t="str">
        <f ca="1">IFERROR(__xludf.DUMMYFUNCTION("""COMPUTED_VALUE"""),"")</f>
        <v/>
      </c>
      <c r="R254" s="5" t="str">
        <f ca="1">IFERROR(__xludf.DUMMYFUNCTION("""COMPUTED_VALUE"""),"")</f>
        <v/>
      </c>
      <c r="S254" s="5" t="str">
        <f ca="1">IFERROR(__xludf.DUMMYFUNCTION("""COMPUTED_VALUE"""),"")</f>
        <v/>
      </c>
      <c r="T254" s="5" t="str">
        <f ca="1">IFERROR(__xludf.DUMMYFUNCTION("""COMPUTED_VALUE"""),"")</f>
        <v/>
      </c>
      <c r="U254" s="5" t="str">
        <f ca="1"/>
        <v/>
      </c>
      <c r="V254" s="5" t="str">
        <f ca="1">IFERROR(__xludf.DUMMYFUNCTION("""COMPUTED_VALUE"""),"")</f>
        <v/>
      </c>
    </row>
    <row r="255" spans="1:22" ht="13.2">
      <c r="A255" s="1" t="e">
        <f ca="1"/>
        <v>#NAME?</v>
      </c>
      <c r="B255" s="30">
        <v>8568</v>
      </c>
      <c r="C255" s="48"/>
      <c r="D255" s="49"/>
      <c r="E255" s="48"/>
      <c r="F255" s="49"/>
      <c r="G255" s="51"/>
      <c r="H255" s="40" t="s">
        <v>38</v>
      </c>
      <c r="I255" s="40" t="s">
        <v>38</v>
      </c>
      <c r="J255" s="4"/>
      <c r="K255" s="41" t="str">
        <f ca="1">IFERROR(__xludf.DUMMYFUNCTION("""COMPUTED_VALUE"""),"")</f>
        <v/>
      </c>
      <c r="L255" s="5" t="str">
        <f ca="1">IFERROR(__xludf.DUMMYFUNCTION("""COMPUTED_VALUE"""),"")</f>
        <v/>
      </c>
      <c r="M255" s="5" t="str">
        <f ca="1">IFERROR(__xludf.DUMMYFUNCTION("""COMPUTED_VALUE"""),"")</f>
        <v/>
      </c>
      <c r="N255" s="5" t="str">
        <f ca="1">IFERROR(__xludf.DUMMYFUNCTION("""COMPUTED_VALUE"""),"")</f>
        <v/>
      </c>
      <c r="O255" s="5"/>
      <c r="P255" s="41" t="str">
        <f ca="1">IFERROR(__xludf.DUMMYFUNCTION("""COMPUTED_VALUE"""),"")</f>
        <v/>
      </c>
      <c r="Q255" s="41" t="str">
        <f ca="1">IFERROR(__xludf.DUMMYFUNCTION("""COMPUTED_VALUE"""),"")</f>
        <v/>
      </c>
      <c r="R255" s="5" t="str">
        <f ca="1">IFERROR(__xludf.DUMMYFUNCTION("""COMPUTED_VALUE"""),"")</f>
        <v/>
      </c>
      <c r="S255" s="5" t="str">
        <f ca="1">IFERROR(__xludf.DUMMYFUNCTION("""COMPUTED_VALUE"""),"")</f>
        <v/>
      </c>
      <c r="T255" s="5" t="str">
        <f ca="1">IFERROR(__xludf.DUMMYFUNCTION("""COMPUTED_VALUE"""),"")</f>
        <v/>
      </c>
      <c r="U255" s="5" t="str">
        <f ca="1"/>
        <v/>
      </c>
      <c r="V255" s="5" t="str">
        <f ca="1">IFERROR(__xludf.DUMMYFUNCTION("""COMPUTED_VALUE"""),"")</f>
        <v/>
      </c>
    </row>
    <row r="256" spans="1:22" ht="13.2">
      <c r="A256" s="1" t="e">
        <f ca="1"/>
        <v>#NAME?</v>
      </c>
      <c r="B256" s="30">
        <v>8664</v>
      </c>
      <c r="C256" s="48"/>
      <c r="D256" s="49"/>
      <c r="E256" s="48"/>
      <c r="F256" s="49"/>
      <c r="G256" s="51"/>
      <c r="H256" s="40" t="s">
        <v>38</v>
      </c>
      <c r="I256" s="40" t="s">
        <v>38</v>
      </c>
      <c r="J256" s="4"/>
      <c r="K256" s="41" t="str">
        <f ca="1">IFERROR(__xludf.DUMMYFUNCTION("""COMPUTED_VALUE"""),"")</f>
        <v/>
      </c>
      <c r="L256" s="5" t="str">
        <f ca="1">IFERROR(__xludf.DUMMYFUNCTION("""COMPUTED_VALUE"""),"")</f>
        <v/>
      </c>
      <c r="M256" s="5" t="str">
        <f ca="1">IFERROR(__xludf.DUMMYFUNCTION("""COMPUTED_VALUE"""),"")</f>
        <v/>
      </c>
      <c r="N256" s="5" t="str">
        <f ca="1">IFERROR(__xludf.DUMMYFUNCTION("""COMPUTED_VALUE"""),"")</f>
        <v/>
      </c>
      <c r="O256" s="5"/>
      <c r="P256" s="41" t="str">
        <f ca="1">IFERROR(__xludf.DUMMYFUNCTION("""COMPUTED_VALUE"""),"")</f>
        <v/>
      </c>
      <c r="Q256" s="41" t="str">
        <f ca="1">IFERROR(__xludf.DUMMYFUNCTION("""COMPUTED_VALUE"""),"")</f>
        <v/>
      </c>
      <c r="R256" s="5" t="str">
        <f ca="1">IFERROR(__xludf.DUMMYFUNCTION("""COMPUTED_VALUE"""),"")</f>
        <v/>
      </c>
      <c r="S256" s="5" t="str">
        <f ca="1">IFERROR(__xludf.DUMMYFUNCTION("""COMPUTED_VALUE"""),"")</f>
        <v/>
      </c>
      <c r="T256" s="5" t="str">
        <f ca="1">IFERROR(__xludf.DUMMYFUNCTION("""COMPUTED_VALUE"""),"")</f>
        <v/>
      </c>
      <c r="U256" s="5" t="str">
        <f ca="1"/>
        <v/>
      </c>
      <c r="V256" s="5" t="str">
        <f ca="1">IFERROR(__xludf.DUMMYFUNCTION("""COMPUTED_VALUE"""),"")</f>
        <v/>
      </c>
    </row>
    <row r="257" spans="1:22" ht="13.2">
      <c r="A257" s="1" t="e">
        <f ca="1"/>
        <v>#NAME?</v>
      </c>
      <c r="B257" s="30">
        <v>8697</v>
      </c>
      <c r="C257" s="48"/>
      <c r="D257" s="49"/>
      <c r="E257" s="48"/>
      <c r="F257" s="49"/>
      <c r="G257" s="51"/>
      <c r="H257" s="40" t="s">
        <v>38</v>
      </c>
      <c r="I257" s="40" t="s">
        <v>38</v>
      </c>
      <c r="J257" s="4"/>
      <c r="K257" s="41" t="str">
        <f ca="1">IFERROR(__xludf.DUMMYFUNCTION("""COMPUTED_VALUE"""),"")</f>
        <v/>
      </c>
      <c r="L257" s="5" t="str">
        <f ca="1">IFERROR(__xludf.DUMMYFUNCTION("""COMPUTED_VALUE"""),"")</f>
        <v/>
      </c>
      <c r="M257" s="5" t="str">
        <f ca="1">IFERROR(__xludf.DUMMYFUNCTION("""COMPUTED_VALUE"""),"")</f>
        <v/>
      </c>
      <c r="N257" s="5" t="str">
        <f ca="1">IFERROR(__xludf.DUMMYFUNCTION("""COMPUTED_VALUE"""),"")</f>
        <v/>
      </c>
      <c r="O257" s="5"/>
      <c r="P257" s="41" t="str">
        <f ca="1">IFERROR(__xludf.DUMMYFUNCTION("""COMPUTED_VALUE"""),"")</f>
        <v/>
      </c>
      <c r="Q257" s="41" t="str">
        <f ca="1">IFERROR(__xludf.DUMMYFUNCTION("""COMPUTED_VALUE"""),"")</f>
        <v/>
      </c>
      <c r="R257" s="5" t="str">
        <f ca="1">IFERROR(__xludf.DUMMYFUNCTION("""COMPUTED_VALUE"""),"")</f>
        <v/>
      </c>
      <c r="S257" s="5" t="str">
        <f ca="1">IFERROR(__xludf.DUMMYFUNCTION("""COMPUTED_VALUE"""),"")</f>
        <v/>
      </c>
      <c r="T257" s="5" t="str">
        <f ca="1">IFERROR(__xludf.DUMMYFUNCTION("""COMPUTED_VALUE"""),"")</f>
        <v/>
      </c>
      <c r="U257" s="5" t="str">
        <f ca="1"/>
        <v/>
      </c>
      <c r="V257" s="5" t="str">
        <f ca="1">IFERROR(__xludf.DUMMYFUNCTION("""COMPUTED_VALUE"""),"")</f>
        <v/>
      </c>
    </row>
    <row r="258" spans="1:22" ht="13.2">
      <c r="A258" s="1" t="e">
        <f ca="1"/>
        <v>#NAME?</v>
      </c>
      <c r="B258" s="30">
        <v>9020</v>
      </c>
      <c r="C258" s="48"/>
      <c r="D258" s="49"/>
      <c r="E258" s="48"/>
      <c r="F258" s="49"/>
      <c r="G258" s="51"/>
      <c r="H258" s="40" t="s">
        <v>38</v>
      </c>
      <c r="I258" s="40" t="s">
        <v>38</v>
      </c>
      <c r="J258" s="4"/>
      <c r="K258" s="41" t="str">
        <f ca="1">IFERROR(__xludf.DUMMYFUNCTION("""COMPUTED_VALUE"""),"")</f>
        <v/>
      </c>
      <c r="L258" s="5" t="str">
        <f ca="1">IFERROR(__xludf.DUMMYFUNCTION("""COMPUTED_VALUE"""),"")</f>
        <v/>
      </c>
      <c r="M258" s="5" t="str">
        <f ca="1">IFERROR(__xludf.DUMMYFUNCTION("""COMPUTED_VALUE"""),"")</f>
        <v/>
      </c>
      <c r="N258" s="5" t="str">
        <f ca="1">IFERROR(__xludf.DUMMYFUNCTION("""COMPUTED_VALUE"""),"")</f>
        <v/>
      </c>
      <c r="O258" s="5"/>
      <c r="P258" s="41" t="str">
        <f ca="1">IFERROR(__xludf.DUMMYFUNCTION("""COMPUTED_VALUE"""),"")</f>
        <v/>
      </c>
      <c r="Q258" s="41" t="str">
        <f ca="1">IFERROR(__xludf.DUMMYFUNCTION("""COMPUTED_VALUE"""),"")</f>
        <v/>
      </c>
      <c r="R258" s="5" t="str">
        <f ca="1">IFERROR(__xludf.DUMMYFUNCTION("""COMPUTED_VALUE"""),"")</f>
        <v/>
      </c>
      <c r="S258" s="5" t="str">
        <f ca="1">IFERROR(__xludf.DUMMYFUNCTION("""COMPUTED_VALUE"""),"")</f>
        <v/>
      </c>
      <c r="T258" s="5" t="str">
        <f ca="1">IFERROR(__xludf.DUMMYFUNCTION("""COMPUTED_VALUE"""),"")</f>
        <v/>
      </c>
      <c r="U258" s="5" t="str">
        <f ca="1"/>
        <v/>
      </c>
      <c r="V258" s="5" t="str">
        <f ca="1">IFERROR(__xludf.DUMMYFUNCTION("""COMPUTED_VALUE"""),"")</f>
        <v/>
      </c>
    </row>
    <row r="259" spans="1:22" ht="13.2">
      <c r="A259" s="1" t="e">
        <f ca="1"/>
        <v>#NAME?</v>
      </c>
      <c r="B259" s="30">
        <v>9496</v>
      </c>
      <c r="C259" s="48"/>
      <c r="D259" s="49"/>
      <c r="E259" s="48"/>
      <c r="F259" s="49"/>
      <c r="G259" s="51"/>
      <c r="H259" s="40" t="s">
        <v>38</v>
      </c>
      <c r="I259" s="40" t="s">
        <v>38</v>
      </c>
      <c r="J259" s="4"/>
      <c r="K259" s="41" t="str">
        <f ca="1">IFERROR(__xludf.DUMMYFUNCTION("""COMPUTED_VALUE"""),"")</f>
        <v/>
      </c>
      <c r="L259" s="5" t="str">
        <f ca="1">IFERROR(__xludf.DUMMYFUNCTION("""COMPUTED_VALUE"""),"")</f>
        <v/>
      </c>
      <c r="M259" s="5" t="str">
        <f ca="1">IFERROR(__xludf.DUMMYFUNCTION("""COMPUTED_VALUE"""),"")</f>
        <v/>
      </c>
      <c r="N259" s="5" t="str">
        <f ca="1">IFERROR(__xludf.DUMMYFUNCTION("""COMPUTED_VALUE"""),"")</f>
        <v/>
      </c>
      <c r="O259" s="5"/>
      <c r="P259" s="41" t="str">
        <f ca="1">IFERROR(__xludf.DUMMYFUNCTION("""COMPUTED_VALUE"""),"")</f>
        <v/>
      </c>
      <c r="Q259" s="41" t="str">
        <f ca="1">IFERROR(__xludf.DUMMYFUNCTION("""COMPUTED_VALUE"""),"")</f>
        <v/>
      </c>
      <c r="R259" s="5" t="str">
        <f ca="1">IFERROR(__xludf.DUMMYFUNCTION("""COMPUTED_VALUE"""),"")</f>
        <v/>
      </c>
      <c r="S259" s="5" t="str">
        <f ca="1">IFERROR(__xludf.DUMMYFUNCTION("""COMPUTED_VALUE"""),"")</f>
        <v/>
      </c>
      <c r="T259" s="5" t="str">
        <f ca="1">IFERROR(__xludf.DUMMYFUNCTION("""COMPUTED_VALUE"""),"")</f>
        <v/>
      </c>
      <c r="U259" s="5" t="str">
        <f ca="1"/>
        <v/>
      </c>
      <c r="V259" s="5" t="str">
        <f ca="1">IFERROR(__xludf.DUMMYFUNCTION("""COMPUTED_VALUE"""),"")</f>
        <v/>
      </c>
    </row>
    <row r="260" spans="1:22" ht="13.2">
      <c r="A260" s="1" t="e">
        <f ca="1"/>
        <v>#NAME?</v>
      </c>
      <c r="B260" s="30">
        <v>9766</v>
      </c>
      <c r="C260" s="48"/>
      <c r="D260" s="49"/>
      <c r="E260" s="48"/>
      <c r="F260" s="49"/>
      <c r="G260" s="51"/>
      <c r="H260" s="40" t="s">
        <v>38</v>
      </c>
      <c r="I260" s="40" t="s">
        <v>38</v>
      </c>
      <c r="J260" s="4"/>
      <c r="K260" s="41" t="str">
        <f ca="1">IFERROR(__xludf.DUMMYFUNCTION("""COMPUTED_VALUE"""),"")</f>
        <v/>
      </c>
      <c r="L260" s="5" t="str">
        <f ca="1">IFERROR(__xludf.DUMMYFUNCTION("""COMPUTED_VALUE"""),"")</f>
        <v/>
      </c>
      <c r="M260" s="5" t="str">
        <f ca="1">IFERROR(__xludf.DUMMYFUNCTION("""COMPUTED_VALUE"""),"")</f>
        <v/>
      </c>
      <c r="N260" s="5" t="str">
        <f ca="1">IFERROR(__xludf.DUMMYFUNCTION("""COMPUTED_VALUE"""),"")</f>
        <v/>
      </c>
      <c r="O260" s="5"/>
      <c r="P260" s="41" t="str">
        <f ca="1">IFERROR(__xludf.DUMMYFUNCTION("""COMPUTED_VALUE"""),"")</f>
        <v/>
      </c>
      <c r="Q260" s="41" t="str">
        <f ca="1">IFERROR(__xludf.DUMMYFUNCTION("""COMPUTED_VALUE"""),"")</f>
        <v/>
      </c>
      <c r="R260" s="5" t="str">
        <f ca="1">IFERROR(__xludf.DUMMYFUNCTION("""COMPUTED_VALUE"""),"")</f>
        <v/>
      </c>
      <c r="S260" s="5" t="str">
        <f ca="1">IFERROR(__xludf.DUMMYFUNCTION("""COMPUTED_VALUE"""),"")</f>
        <v/>
      </c>
      <c r="T260" s="5" t="str">
        <f ca="1">IFERROR(__xludf.DUMMYFUNCTION("""COMPUTED_VALUE"""),"")</f>
        <v/>
      </c>
      <c r="U260" s="5" t="str">
        <f ca="1"/>
        <v/>
      </c>
      <c r="V260" s="5" t="str">
        <f ca="1">IFERROR(__xludf.DUMMYFUNCTION("""COMPUTED_VALUE"""),"")</f>
        <v/>
      </c>
    </row>
    <row r="261" spans="1:22" ht="13.2">
      <c r="A261" s="1" t="e">
        <f ca="1"/>
        <v>#NAME?</v>
      </c>
      <c r="B261" s="30">
        <v>9976</v>
      </c>
      <c r="C261" s="48"/>
      <c r="D261" s="49"/>
      <c r="E261" s="48"/>
      <c r="F261" s="49"/>
      <c r="G261" s="51"/>
      <c r="H261" s="40" t="s">
        <v>38</v>
      </c>
      <c r="I261" s="40" t="s">
        <v>38</v>
      </c>
      <c r="J261" s="4"/>
      <c r="K261" s="41" t="str">
        <f ca="1">IFERROR(__xludf.DUMMYFUNCTION("""COMPUTED_VALUE"""),"")</f>
        <v/>
      </c>
      <c r="L261" s="5" t="str">
        <f ca="1">IFERROR(__xludf.DUMMYFUNCTION("""COMPUTED_VALUE"""),"")</f>
        <v/>
      </c>
      <c r="M261" s="5" t="str">
        <f ca="1">IFERROR(__xludf.DUMMYFUNCTION("""COMPUTED_VALUE"""),"")</f>
        <v/>
      </c>
      <c r="N261" s="5" t="str">
        <f ca="1">IFERROR(__xludf.DUMMYFUNCTION("""COMPUTED_VALUE"""),"")</f>
        <v/>
      </c>
      <c r="O261" s="5"/>
      <c r="P261" s="41" t="str">
        <f ca="1">IFERROR(__xludf.DUMMYFUNCTION("""COMPUTED_VALUE"""),"")</f>
        <v/>
      </c>
      <c r="Q261" s="41" t="str">
        <f ca="1">IFERROR(__xludf.DUMMYFUNCTION("""COMPUTED_VALUE"""),"")</f>
        <v/>
      </c>
      <c r="R261" s="5" t="str">
        <f ca="1">IFERROR(__xludf.DUMMYFUNCTION("""COMPUTED_VALUE"""),"")</f>
        <v/>
      </c>
      <c r="S261" s="5" t="str">
        <f ca="1">IFERROR(__xludf.DUMMYFUNCTION("""COMPUTED_VALUE"""),"")</f>
        <v/>
      </c>
      <c r="T261" s="5" t="str">
        <f ca="1">IFERROR(__xludf.DUMMYFUNCTION("""COMPUTED_VALUE"""),"")</f>
        <v/>
      </c>
      <c r="U261" s="5" t="str">
        <f ca="1"/>
        <v/>
      </c>
      <c r="V261" s="5" t="str">
        <f ca="1">IFERROR(__xludf.DUMMYFUNCTION("""COMPUTED_VALUE"""),"")</f>
        <v/>
      </c>
    </row>
    <row r="262" spans="1:22" ht="13.2">
      <c r="A262" s="1" t="e">
        <f ca="1"/>
        <v>#NAME?</v>
      </c>
      <c r="B262" s="30">
        <v>9989</v>
      </c>
      <c r="C262" s="48"/>
      <c r="D262" s="49"/>
      <c r="E262" s="48"/>
      <c r="F262" s="49"/>
      <c r="G262" s="51"/>
      <c r="H262" s="40" t="s">
        <v>38</v>
      </c>
      <c r="I262" s="40" t="s">
        <v>38</v>
      </c>
      <c r="J262" s="4"/>
      <c r="K262" s="41" t="str">
        <f ca="1">IFERROR(__xludf.DUMMYFUNCTION("""COMPUTED_VALUE"""),"")</f>
        <v/>
      </c>
      <c r="L262" s="5" t="str">
        <f ca="1">IFERROR(__xludf.DUMMYFUNCTION("""COMPUTED_VALUE"""),"")</f>
        <v/>
      </c>
      <c r="M262" s="5" t="str">
        <f ca="1">IFERROR(__xludf.DUMMYFUNCTION("""COMPUTED_VALUE"""),"")</f>
        <v/>
      </c>
      <c r="N262" s="5" t="str">
        <f ca="1">IFERROR(__xludf.DUMMYFUNCTION("""COMPUTED_VALUE"""),"")</f>
        <v/>
      </c>
      <c r="O262" s="5"/>
      <c r="P262" s="41" t="str">
        <f ca="1">IFERROR(__xludf.DUMMYFUNCTION("""COMPUTED_VALUE"""),"")</f>
        <v/>
      </c>
      <c r="Q262" s="41" t="str">
        <f ca="1">IFERROR(__xludf.DUMMYFUNCTION("""COMPUTED_VALUE"""),"")</f>
        <v/>
      </c>
      <c r="R262" s="5" t="str">
        <f ca="1">IFERROR(__xludf.DUMMYFUNCTION("""COMPUTED_VALUE"""),"")</f>
        <v/>
      </c>
      <c r="S262" s="5" t="str">
        <f ca="1">IFERROR(__xludf.DUMMYFUNCTION("""COMPUTED_VALUE"""),"")</f>
        <v/>
      </c>
      <c r="T262" s="5" t="str">
        <f ca="1">IFERROR(__xludf.DUMMYFUNCTION("""COMPUTED_VALUE"""),"")</f>
        <v/>
      </c>
      <c r="U262" s="5" t="str">
        <f ca="1"/>
        <v/>
      </c>
      <c r="V262" s="5" t="str">
        <f ca="1">IFERROR(__xludf.DUMMYFUNCTION("""COMPUTED_VALUE"""),"")</f>
        <v/>
      </c>
    </row>
    <row r="263" spans="1:22" ht="13.2">
      <c r="A263" s="1"/>
      <c r="B263" s="52"/>
      <c r="C263" s="53"/>
      <c r="D263" s="54"/>
      <c r="E263" s="55"/>
      <c r="F263" s="55"/>
      <c r="G263" s="56"/>
      <c r="H263" s="55"/>
      <c r="I263" s="57"/>
      <c r="J263" s="4"/>
      <c r="K263" s="5" t="str">
        <f ca="1">IFERROR(__xludf.DUMMYFUNCTION("""COMPUTED_VALUE"""),"")</f>
        <v/>
      </c>
      <c r="L263" s="5" t="str">
        <f ca="1">IFERROR(__xludf.DUMMYFUNCTION("""COMPUTED_VALUE"""),"")</f>
        <v/>
      </c>
      <c r="M263" s="5" t="str">
        <f ca="1">IFERROR(__xludf.DUMMYFUNCTION("""COMPUTED_VALUE"""),"")</f>
        <v/>
      </c>
      <c r="N263" s="5" t="str">
        <f ca="1">IFERROR(__xludf.DUMMYFUNCTION("""COMPUTED_VALUE"""),"")</f>
        <v/>
      </c>
      <c r="O263" s="5"/>
      <c r="P263" s="5"/>
      <c r="Q263" s="5" t="str">
        <f ca="1">IFERROR(__xludf.DUMMYFUNCTION("""COMPUTED_VALUE"""),"")</f>
        <v/>
      </c>
      <c r="R263" s="5" t="str">
        <f ca="1">IFERROR(__xludf.DUMMYFUNCTION("""COMPUTED_VALUE"""),"")</f>
        <v/>
      </c>
      <c r="S263" s="5" t="str">
        <f ca="1">IFERROR(__xludf.DUMMYFUNCTION("""COMPUTED_VALUE"""),"")</f>
        <v/>
      </c>
      <c r="T263" s="5" t="str">
        <f ca="1">IFERROR(__xludf.DUMMYFUNCTION("""COMPUTED_VALUE"""),"")</f>
        <v/>
      </c>
      <c r="U263" s="5"/>
      <c r="V263" s="5"/>
    </row>
    <row r="264" spans="1:22" ht="13.2">
      <c r="A264" s="1"/>
      <c r="B264" s="1"/>
      <c r="C264" s="1"/>
      <c r="D264" s="58"/>
      <c r="E264" s="1"/>
      <c r="F264" s="1"/>
      <c r="G264" s="59"/>
      <c r="H264" s="1"/>
      <c r="I264" s="1"/>
      <c r="J264" s="4"/>
      <c r="K264" s="5" t="str">
        <f ca="1">IFERROR(__xludf.DUMMYFUNCTION("""COMPUTED_VALUE"""),"")</f>
        <v/>
      </c>
      <c r="L264" s="5" t="str">
        <f ca="1">IFERROR(__xludf.DUMMYFUNCTION("""COMPUTED_VALUE"""),"")</f>
        <v/>
      </c>
      <c r="M264" s="5" t="str">
        <f ca="1">IFERROR(__xludf.DUMMYFUNCTION("""COMPUTED_VALUE"""),"")</f>
        <v/>
      </c>
      <c r="N264" s="5" t="str">
        <f ca="1">IFERROR(__xludf.DUMMYFUNCTION("""COMPUTED_VALUE"""),"")</f>
        <v/>
      </c>
      <c r="O264" s="5"/>
      <c r="P264" s="5"/>
      <c r="Q264" s="5" t="str">
        <f ca="1">IFERROR(__xludf.DUMMYFUNCTION("""COMPUTED_VALUE"""),"")</f>
        <v/>
      </c>
      <c r="R264" s="5" t="str">
        <f ca="1">IFERROR(__xludf.DUMMYFUNCTION("""COMPUTED_VALUE"""),"")</f>
        <v/>
      </c>
      <c r="S264" s="5" t="str">
        <f ca="1">IFERROR(__xludf.DUMMYFUNCTION("""COMPUTED_VALUE"""),"")</f>
        <v/>
      </c>
      <c r="T264" s="5" t="str">
        <f ca="1">IFERROR(__xludf.DUMMYFUNCTION("""COMPUTED_VALUE"""),"")</f>
        <v/>
      </c>
      <c r="U264" s="5"/>
      <c r="V264" s="5"/>
    </row>
    <row r="265" spans="1:22" ht="13.2">
      <c r="A265" s="1"/>
      <c r="B265" s="1"/>
      <c r="C265" s="60" t="s">
        <v>108</v>
      </c>
      <c r="D265" s="61" t="s">
        <v>109</v>
      </c>
      <c r="E265" s="62" t="s">
        <v>110</v>
      </c>
      <c r="F265" s="187"/>
      <c r="G265" s="188"/>
      <c r="H265" s="1"/>
      <c r="I265" s="1"/>
      <c r="J265" s="4"/>
      <c r="K265" s="5" t="str">
        <f ca="1">IFERROR(__xludf.DUMMYFUNCTION("""COMPUTED_VALUE"""),"")</f>
        <v/>
      </c>
      <c r="L265" s="5" t="str">
        <f ca="1">IFERROR(__xludf.DUMMYFUNCTION("""COMPUTED_VALUE"""),"")</f>
        <v/>
      </c>
      <c r="M265" s="5" t="str">
        <f ca="1">IFERROR(__xludf.DUMMYFUNCTION("""COMPUTED_VALUE"""),"")</f>
        <v/>
      </c>
      <c r="N265" s="5" t="str">
        <f ca="1">IFERROR(__xludf.DUMMYFUNCTION("""COMPUTED_VALUE"""),"")</f>
        <v/>
      </c>
      <c r="O265" s="5"/>
      <c r="P265" s="5"/>
      <c r="Q265" s="5" t="str">
        <f ca="1">IFERROR(__xludf.DUMMYFUNCTION("""COMPUTED_VALUE"""),"")</f>
        <v/>
      </c>
      <c r="R265" s="5" t="str">
        <f ca="1">IFERROR(__xludf.DUMMYFUNCTION("""COMPUTED_VALUE"""),"")</f>
        <v/>
      </c>
      <c r="S265" s="5" t="str">
        <f ca="1">IFERROR(__xludf.DUMMYFUNCTION("""COMPUTED_VALUE"""),"")</f>
        <v/>
      </c>
      <c r="T265" s="5" t="str">
        <f ca="1">IFERROR(__xludf.DUMMYFUNCTION("""COMPUTED_VALUE"""),"")</f>
        <v/>
      </c>
      <c r="U265" s="5"/>
      <c r="V265" s="5"/>
    </row>
    <row r="266" spans="1:22" ht="13.2">
      <c r="A266" s="1"/>
      <c r="B266" s="1"/>
      <c r="C266" s="62"/>
      <c r="D266" s="63" t="s">
        <v>111</v>
      </c>
      <c r="E266" s="62"/>
      <c r="F266" s="187"/>
      <c r="G266" s="188"/>
      <c r="H266" s="1"/>
      <c r="I266" s="1"/>
      <c r="J266" s="4"/>
      <c r="K266" s="5" t="str">
        <f ca="1">IFERROR(__xludf.DUMMYFUNCTION("""COMPUTED_VALUE"""),"")</f>
        <v/>
      </c>
      <c r="L266" s="5" t="str">
        <f ca="1">IFERROR(__xludf.DUMMYFUNCTION("""COMPUTED_VALUE"""),"")</f>
        <v/>
      </c>
      <c r="M266" s="5" t="str">
        <f ca="1">IFERROR(__xludf.DUMMYFUNCTION("""COMPUTED_VALUE"""),"")</f>
        <v/>
      </c>
      <c r="N266" s="5" t="str">
        <f ca="1">IFERROR(__xludf.DUMMYFUNCTION("""COMPUTED_VALUE"""),"")</f>
        <v/>
      </c>
      <c r="O266" s="5"/>
      <c r="P266" s="5"/>
      <c r="Q266" s="5" t="str">
        <f ca="1">IFERROR(__xludf.DUMMYFUNCTION("""COMPUTED_VALUE"""),"")</f>
        <v/>
      </c>
      <c r="R266" s="5" t="str">
        <f ca="1">IFERROR(__xludf.DUMMYFUNCTION("""COMPUTED_VALUE"""),"")</f>
        <v/>
      </c>
      <c r="S266" s="5" t="str">
        <f ca="1">IFERROR(__xludf.DUMMYFUNCTION("""COMPUTED_VALUE"""),"")</f>
        <v/>
      </c>
      <c r="T266" s="5" t="str">
        <f ca="1">IFERROR(__xludf.DUMMYFUNCTION("""COMPUTED_VALUE"""),"")</f>
        <v/>
      </c>
      <c r="U266" s="5"/>
      <c r="V266" s="5"/>
    </row>
    <row r="267" spans="1:22" ht="13.2">
      <c r="A267" s="1"/>
      <c r="B267" s="1"/>
      <c r="C267" s="62"/>
      <c r="D267" s="64"/>
      <c r="E267" s="62"/>
      <c r="F267" s="187"/>
      <c r="G267" s="188"/>
      <c r="H267" s="1"/>
      <c r="I267" s="1"/>
      <c r="J267" s="4"/>
      <c r="K267" s="5" t="str">
        <f ca="1">IFERROR(__xludf.DUMMYFUNCTION("""COMPUTED_VALUE"""),"")</f>
        <v/>
      </c>
      <c r="L267" s="5" t="str">
        <f ca="1">IFERROR(__xludf.DUMMYFUNCTION("""COMPUTED_VALUE"""),"")</f>
        <v/>
      </c>
      <c r="M267" s="5" t="str">
        <f ca="1">IFERROR(__xludf.DUMMYFUNCTION("""COMPUTED_VALUE"""),"")</f>
        <v/>
      </c>
      <c r="N267" s="5" t="str">
        <f ca="1">IFERROR(__xludf.DUMMYFUNCTION("""COMPUTED_VALUE"""),"")</f>
        <v/>
      </c>
      <c r="O267" s="5"/>
      <c r="P267" s="5"/>
      <c r="Q267" s="5" t="str">
        <f ca="1">IFERROR(__xludf.DUMMYFUNCTION("""COMPUTED_VALUE"""),"")</f>
        <v/>
      </c>
      <c r="R267" s="5" t="str">
        <f ca="1">IFERROR(__xludf.DUMMYFUNCTION("""COMPUTED_VALUE"""),"")</f>
        <v/>
      </c>
      <c r="S267" s="5" t="str">
        <f ca="1">IFERROR(__xludf.DUMMYFUNCTION("""COMPUTED_VALUE"""),"")</f>
        <v/>
      </c>
      <c r="T267" s="5" t="str">
        <f ca="1">IFERROR(__xludf.DUMMYFUNCTION("""COMPUTED_VALUE"""),"")</f>
        <v/>
      </c>
      <c r="U267" s="5"/>
      <c r="V267" s="5"/>
    </row>
    <row r="268" spans="1:22" ht="13.2">
      <c r="A268" s="1"/>
      <c r="B268" s="1"/>
      <c r="C268" s="62"/>
      <c r="D268" s="64"/>
      <c r="E268" s="62"/>
      <c r="F268" s="187"/>
      <c r="G268" s="188"/>
      <c r="H268" s="1"/>
      <c r="I268" s="1"/>
      <c r="J268" s="4"/>
      <c r="K268" s="5" t="str">
        <f ca="1">IFERROR(__xludf.DUMMYFUNCTION("""COMPUTED_VALUE"""),"")</f>
        <v/>
      </c>
      <c r="L268" s="5" t="str">
        <f ca="1">IFERROR(__xludf.DUMMYFUNCTION("""COMPUTED_VALUE"""),"")</f>
        <v/>
      </c>
      <c r="M268" s="5" t="str">
        <f ca="1">IFERROR(__xludf.DUMMYFUNCTION("""COMPUTED_VALUE"""),"")</f>
        <v/>
      </c>
      <c r="N268" s="5" t="str">
        <f ca="1">IFERROR(__xludf.DUMMYFUNCTION("""COMPUTED_VALUE"""),"")</f>
        <v/>
      </c>
      <c r="O268" s="5"/>
      <c r="P268" s="5"/>
      <c r="Q268" s="5" t="str">
        <f ca="1">IFERROR(__xludf.DUMMYFUNCTION("""COMPUTED_VALUE"""),"")</f>
        <v/>
      </c>
      <c r="R268" s="5" t="str">
        <f ca="1">IFERROR(__xludf.DUMMYFUNCTION("""COMPUTED_VALUE"""),"")</f>
        <v/>
      </c>
      <c r="S268" s="5" t="str">
        <f ca="1">IFERROR(__xludf.DUMMYFUNCTION("""COMPUTED_VALUE"""),"")</f>
        <v/>
      </c>
      <c r="T268" s="5" t="str">
        <f ca="1">IFERROR(__xludf.DUMMYFUNCTION("""COMPUTED_VALUE"""),"")</f>
        <v/>
      </c>
      <c r="U268" s="5"/>
      <c r="V268" s="5"/>
    </row>
    <row r="269" spans="1:22" ht="13.2">
      <c r="A269" s="1"/>
      <c r="B269" s="1"/>
      <c r="C269" s="62"/>
      <c r="D269" s="64"/>
      <c r="E269" s="62"/>
      <c r="F269" s="187"/>
      <c r="G269" s="188"/>
      <c r="H269" s="1"/>
      <c r="I269" s="1"/>
      <c r="J269" s="4"/>
      <c r="K269" s="5" t="str">
        <f ca="1">IFERROR(__xludf.DUMMYFUNCTION("""COMPUTED_VALUE"""),"")</f>
        <v/>
      </c>
      <c r="L269" s="5" t="str">
        <f ca="1">IFERROR(__xludf.DUMMYFUNCTION("""COMPUTED_VALUE"""),"")</f>
        <v/>
      </c>
      <c r="M269" s="5" t="str">
        <f ca="1">IFERROR(__xludf.DUMMYFUNCTION("""COMPUTED_VALUE"""),"")</f>
        <v/>
      </c>
      <c r="N269" s="5" t="str">
        <f ca="1">IFERROR(__xludf.DUMMYFUNCTION("""COMPUTED_VALUE"""),"")</f>
        <v/>
      </c>
      <c r="O269" s="5"/>
      <c r="P269" s="5"/>
      <c r="Q269" s="5" t="str">
        <f ca="1">IFERROR(__xludf.DUMMYFUNCTION("""COMPUTED_VALUE"""),"")</f>
        <v/>
      </c>
      <c r="R269" s="5" t="str">
        <f ca="1">IFERROR(__xludf.DUMMYFUNCTION("""COMPUTED_VALUE"""),"")</f>
        <v/>
      </c>
      <c r="S269" s="5" t="str">
        <f ca="1">IFERROR(__xludf.DUMMYFUNCTION("""COMPUTED_VALUE"""),"")</f>
        <v/>
      </c>
      <c r="T269" s="5" t="str">
        <f ca="1">IFERROR(__xludf.DUMMYFUNCTION("""COMPUTED_VALUE"""),"")</f>
        <v/>
      </c>
      <c r="U269" s="5"/>
      <c r="V269" s="5"/>
    </row>
    <row r="270" spans="1:22" ht="13.2">
      <c r="A270" s="1"/>
      <c r="B270" s="1"/>
      <c r="C270" s="1"/>
      <c r="D270" s="58"/>
      <c r="E270" s="1"/>
      <c r="F270" s="187"/>
      <c r="G270" s="188"/>
      <c r="H270" s="1"/>
      <c r="I270" s="1"/>
      <c r="J270" s="4"/>
      <c r="K270" s="5" t="str">
        <f ca="1">IFERROR(__xludf.DUMMYFUNCTION("""COMPUTED_VALUE"""),"")</f>
        <v/>
      </c>
      <c r="L270" s="5" t="str">
        <f ca="1">IFERROR(__xludf.DUMMYFUNCTION("""COMPUTED_VALUE"""),"")</f>
        <v/>
      </c>
      <c r="M270" s="5" t="str">
        <f ca="1">IFERROR(__xludf.DUMMYFUNCTION("""COMPUTED_VALUE"""),"")</f>
        <v/>
      </c>
      <c r="N270" s="5" t="str">
        <f ca="1">IFERROR(__xludf.DUMMYFUNCTION("""COMPUTED_VALUE"""),"")</f>
        <v/>
      </c>
      <c r="O270" s="5"/>
      <c r="P270" s="5"/>
      <c r="Q270" s="5" t="str">
        <f ca="1">IFERROR(__xludf.DUMMYFUNCTION("""COMPUTED_VALUE"""),"")</f>
        <v/>
      </c>
      <c r="R270" s="5" t="str">
        <f ca="1">IFERROR(__xludf.DUMMYFUNCTION("""COMPUTED_VALUE"""),"")</f>
        <v/>
      </c>
      <c r="S270" s="5" t="str">
        <f ca="1">IFERROR(__xludf.DUMMYFUNCTION("""COMPUTED_VALUE"""),"")</f>
        <v/>
      </c>
      <c r="T270" s="5" t="str">
        <f ca="1">IFERROR(__xludf.DUMMYFUNCTION("""COMPUTED_VALUE"""),"")</f>
        <v/>
      </c>
      <c r="U270" s="5"/>
      <c r="V270" s="5"/>
    </row>
    <row r="271" spans="1:22" ht="13.2">
      <c r="A271" s="1"/>
      <c r="B271" s="1"/>
      <c r="C271" s="1"/>
      <c r="D271" s="58"/>
      <c r="E271" s="1"/>
      <c r="F271" s="187"/>
      <c r="G271" s="188"/>
      <c r="H271" s="1"/>
      <c r="I271" s="1"/>
      <c r="J271" s="4"/>
      <c r="K271" s="5" t="str">
        <f ca="1">IFERROR(__xludf.DUMMYFUNCTION("""COMPUTED_VALUE"""),"")</f>
        <v/>
      </c>
      <c r="L271" s="5" t="str">
        <f ca="1">IFERROR(__xludf.DUMMYFUNCTION("""COMPUTED_VALUE"""),"")</f>
        <v/>
      </c>
      <c r="M271" s="5" t="str">
        <f ca="1">IFERROR(__xludf.DUMMYFUNCTION("""COMPUTED_VALUE"""),"")</f>
        <v/>
      </c>
      <c r="N271" s="5" t="str">
        <f ca="1">IFERROR(__xludf.DUMMYFUNCTION("""COMPUTED_VALUE"""),"")</f>
        <v/>
      </c>
      <c r="O271" s="5"/>
      <c r="P271" s="5"/>
      <c r="Q271" s="5" t="str">
        <f ca="1">IFERROR(__xludf.DUMMYFUNCTION("""COMPUTED_VALUE"""),"")</f>
        <v/>
      </c>
      <c r="R271" s="5" t="str">
        <f ca="1">IFERROR(__xludf.DUMMYFUNCTION("""COMPUTED_VALUE"""),"")</f>
        <v/>
      </c>
      <c r="S271" s="5" t="str">
        <f ca="1">IFERROR(__xludf.DUMMYFUNCTION("""COMPUTED_VALUE"""),"")</f>
        <v/>
      </c>
      <c r="T271" s="5" t="str">
        <f ca="1">IFERROR(__xludf.DUMMYFUNCTION("""COMPUTED_VALUE"""),"")</f>
        <v/>
      </c>
      <c r="U271" s="5"/>
      <c r="V271" s="5"/>
    </row>
    <row r="272" spans="1:22" ht="13.2">
      <c r="A272" s="1"/>
      <c r="B272" s="1"/>
      <c r="C272" s="1"/>
      <c r="D272" s="58"/>
      <c r="E272" s="1"/>
      <c r="F272" s="187"/>
      <c r="G272" s="188"/>
      <c r="H272" s="1"/>
      <c r="I272" s="1"/>
      <c r="J272" s="4"/>
      <c r="K272" s="5" t="str">
        <f ca="1">IFERROR(__xludf.DUMMYFUNCTION("""COMPUTED_VALUE"""),"")</f>
        <v/>
      </c>
      <c r="L272" s="5" t="str">
        <f ca="1">IFERROR(__xludf.DUMMYFUNCTION("""COMPUTED_VALUE"""),"")</f>
        <v/>
      </c>
      <c r="M272" s="5" t="str">
        <f ca="1">IFERROR(__xludf.DUMMYFUNCTION("""COMPUTED_VALUE"""),"")</f>
        <v/>
      </c>
      <c r="N272" s="5" t="str">
        <f ca="1">IFERROR(__xludf.DUMMYFUNCTION("""COMPUTED_VALUE"""),"")</f>
        <v/>
      </c>
      <c r="O272" s="5"/>
      <c r="P272" s="5"/>
      <c r="Q272" s="5" t="str">
        <f ca="1">IFERROR(__xludf.DUMMYFUNCTION("""COMPUTED_VALUE"""),"")</f>
        <v/>
      </c>
      <c r="R272" s="5" t="str">
        <f ca="1">IFERROR(__xludf.DUMMYFUNCTION("""COMPUTED_VALUE"""),"")</f>
        <v/>
      </c>
      <c r="S272" s="5" t="str">
        <f ca="1">IFERROR(__xludf.DUMMYFUNCTION("""COMPUTED_VALUE"""),"")</f>
        <v/>
      </c>
      <c r="T272" s="5" t="str">
        <f ca="1">IFERROR(__xludf.DUMMYFUNCTION("""COMPUTED_VALUE"""),"")</f>
        <v/>
      </c>
      <c r="U272" s="5"/>
      <c r="V272" s="5"/>
    </row>
    <row r="273" spans="1:22" ht="13.2">
      <c r="A273" s="1"/>
      <c r="B273" s="1"/>
      <c r="C273" s="1"/>
      <c r="D273" s="58"/>
      <c r="E273" s="1"/>
      <c r="F273" s="187"/>
      <c r="G273" s="188"/>
      <c r="H273" s="1"/>
      <c r="I273" s="1"/>
      <c r="J273" s="4"/>
      <c r="K273" s="5" t="str">
        <f ca="1">IFERROR(__xludf.DUMMYFUNCTION("""COMPUTED_VALUE"""),"")</f>
        <v/>
      </c>
      <c r="L273" s="5" t="str">
        <f ca="1">IFERROR(__xludf.DUMMYFUNCTION("""COMPUTED_VALUE"""),"")</f>
        <v/>
      </c>
      <c r="M273" s="5" t="str">
        <f ca="1">IFERROR(__xludf.DUMMYFUNCTION("""COMPUTED_VALUE"""),"")</f>
        <v/>
      </c>
      <c r="N273" s="5" t="str">
        <f ca="1">IFERROR(__xludf.DUMMYFUNCTION("""COMPUTED_VALUE"""),"")</f>
        <v/>
      </c>
      <c r="O273" s="5"/>
      <c r="P273" s="5"/>
      <c r="Q273" s="5" t="str">
        <f ca="1">IFERROR(__xludf.DUMMYFUNCTION("""COMPUTED_VALUE"""),"")</f>
        <v/>
      </c>
      <c r="R273" s="5" t="str">
        <f ca="1">IFERROR(__xludf.DUMMYFUNCTION("""COMPUTED_VALUE"""),"")</f>
        <v/>
      </c>
      <c r="S273" s="5" t="str">
        <f ca="1">IFERROR(__xludf.DUMMYFUNCTION("""COMPUTED_VALUE"""),"")</f>
        <v/>
      </c>
      <c r="T273" s="5" t="str">
        <f ca="1">IFERROR(__xludf.DUMMYFUNCTION("""COMPUTED_VALUE"""),"")</f>
        <v/>
      </c>
      <c r="U273" s="5"/>
      <c r="V273" s="5"/>
    </row>
    <row r="274" spans="1:22" ht="13.2">
      <c r="A274" s="1"/>
      <c r="B274" s="1"/>
      <c r="C274" s="62"/>
      <c r="D274" s="64"/>
      <c r="E274" s="62" t="s">
        <v>112</v>
      </c>
      <c r="F274" s="187"/>
      <c r="G274" s="188"/>
      <c r="H274" s="1"/>
      <c r="I274" s="1"/>
      <c r="J274" s="4"/>
      <c r="K274" s="5" t="str">
        <f ca="1">IFERROR(__xludf.DUMMYFUNCTION("""COMPUTED_VALUE"""),"")</f>
        <v/>
      </c>
      <c r="L274" s="5" t="str">
        <f ca="1">IFERROR(__xludf.DUMMYFUNCTION("""COMPUTED_VALUE"""),"")</f>
        <v/>
      </c>
      <c r="M274" s="5" t="str">
        <f ca="1">IFERROR(__xludf.DUMMYFUNCTION("""COMPUTED_VALUE"""),"")</f>
        <v/>
      </c>
      <c r="N274" s="5" t="str">
        <f ca="1">IFERROR(__xludf.DUMMYFUNCTION("""COMPUTED_VALUE"""),"")</f>
        <v/>
      </c>
      <c r="O274" s="5"/>
      <c r="P274" s="5"/>
      <c r="Q274" s="5" t="str">
        <f ca="1">IFERROR(__xludf.DUMMYFUNCTION("""COMPUTED_VALUE"""),"")</f>
        <v/>
      </c>
      <c r="R274" s="5" t="str">
        <f ca="1">IFERROR(__xludf.DUMMYFUNCTION("""COMPUTED_VALUE"""),"")</f>
        <v/>
      </c>
      <c r="S274" s="5" t="str">
        <f ca="1">IFERROR(__xludf.DUMMYFUNCTION("""COMPUTED_VALUE"""),"")</f>
        <v/>
      </c>
      <c r="T274" s="5" t="str">
        <f ca="1">IFERROR(__xludf.DUMMYFUNCTION("""COMPUTED_VALUE"""),"")</f>
        <v/>
      </c>
      <c r="U274" s="5"/>
      <c r="V274" s="5"/>
    </row>
    <row r="275" spans="1:22" ht="13.2">
      <c r="A275" s="1"/>
      <c r="B275" s="1"/>
      <c r="C275" s="62"/>
      <c r="D275" s="64"/>
      <c r="E275" s="62" t="s">
        <v>113</v>
      </c>
      <c r="F275" s="187"/>
      <c r="G275" s="188"/>
      <c r="H275" s="1"/>
      <c r="I275" s="1"/>
      <c r="J275" s="4"/>
      <c r="K275" s="5" t="str">
        <f ca="1">IFERROR(__xludf.DUMMYFUNCTION("""COMPUTED_VALUE"""),"")</f>
        <v/>
      </c>
      <c r="L275" s="5" t="str">
        <f ca="1">IFERROR(__xludf.DUMMYFUNCTION("""COMPUTED_VALUE"""),"")</f>
        <v/>
      </c>
      <c r="M275" s="5" t="str">
        <f ca="1">IFERROR(__xludf.DUMMYFUNCTION("""COMPUTED_VALUE"""),"")</f>
        <v/>
      </c>
      <c r="N275" s="5" t="str">
        <f ca="1">IFERROR(__xludf.DUMMYFUNCTION("""COMPUTED_VALUE"""),"")</f>
        <v/>
      </c>
      <c r="O275" s="5"/>
      <c r="P275" s="5"/>
      <c r="Q275" s="5" t="str">
        <f ca="1">IFERROR(__xludf.DUMMYFUNCTION("""COMPUTED_VALUE"""),"")</f>
        <v/>
      </c>
      <c r="R275" s="5" t="str">
        <f ca="1">IFERROR(__xludf.DUMMYFUNCTION("""COMPUTED_VALUE"""),"")</f>
        <v/>
      </c>
      <c r="S275" s="5" t="str">
        <f ca="1">IFERROR(__xludf.DUMMYFUNCTION("""COMPUTED_VALUE"""),"")</f>
        <v/>
      </c>
      <c r="T275" s="5" t="str">
        <f ca="1">IFERROR(__xludf.DUMMYFUNCTION("""COMPUTED_VALUE"""),"")</f>
        <v/>
      </c>
      <c r="U275" s="5"/>
      <c r="V275" s="5"/>
    </row>
    <row r="276" spans="1:22" ht="13.2">
      <c r="A276" s="1"/>
      <c r="B276" s="1"/>
      <c r="C276" s="62"/>
      <c r="D276" s="64"/>
      <c r="E276" s="62"/>
      <c r="F276" s="62"/>
      <c r="G276" s="65"/>
      <c r="H276" s="1"/>
      <c r="I276" s="1"/>
      <c r="J276" s="4"/>
      <c r="K276" s="5" t="str">
        <f ca="1">IFERROR(__xludf.DUMMYFUNCTION("""COMPUTED_VALUE"""),"")</f>
        <v/>
      </c>
      <c r="L276" s="5" t="str">
        <f ca="1">IFERROR(__xludf.DUMMYFUNCTION("""COMPUTED_VALUE"""),"")</f>
        <v/>
      </c>
      <c r="M276" s="5" t="str">
        <f ca="1">IFERROR(__xludf.DUMMYFUNCTION("""COMPUTED_VALUE"""),"")</f>
        <v/>
      </c>
      <c r="N276" s="5" t="str">
        <f ca="1">IFERROR(__xludf.DUMMYFUNCTION("""COMPUTED_VALUE"""),"")</f>
        <v/>
      </c>
      <c r="O276" s="5"/>
      <c r="P276" s="5"/>
      <c r="Q276" s="5" t="str">
        <f ca="1">IFERROR(__xludf.DUMMYFUNCTION("""COMPUTED_VALUE"""),"")</f>
        <v/>
      </c>
      <c r="R276" s="5" t="str">
        <f ca="1">IFERROR(__xludf.DUMMYFUNCTION("""COMPUTED_VALUE"""),"")</f>
        <v/>
      </c>
      <c r="S276" s="5" t="str">
        <f ca="1">IFERROR(__xludf.DUMMYFUNCTION("""COMPUTED_VALUE"""),"")</f>
        <v/>
      </c>
      <c r="T276" s="5" t="str">
        <f ca="1">IFERROR(__xludf.DUMMYFUNCTION("""COMPUTED_VALUE"""),"")</f>
        <v/>
      </c>
      <c r="U276" s="5"/>
      <c r="V276" s="5"/>
    </row>
    <row r="277" spans="1:22" ht="13.2">
      <c r="A277" s="1"/>
      <c r="B277" s="1"/>
      <c r="C277" s="66" t="s">
        <v>114</v>
      </c>
      <c r="D277" s="67"/>
      <c r="E277" s="66" t="s">
        <v>115</v>
      </c>
      <c r="F277" s="68"/>
      <c r="G277" s="69"/>
      <c r="H277" s="1"/>
      <c r="I277" s="1"/>
      <c r="J277" s="4"/>
      <c r="K277" s="5" t="str">
        <f ca="1">IFERROR(__xludf.DUMMYFUNCTION("""COMPUTED_VALUE"""),"")</f>
        <v/>
      </c>
      <c r="L277" s="5" t="str">
        <f ca="1">IFERROR(__xludf.DUMMYFUNCTION("""COMPUTED_VALUE"""),"")</f>
        <v/>
      </c>
      <c r="M277" s="5" t="str">
        <f ca="1">IFERROR(__xludf.DUMMYFUNCTION("""COMPUTED_VALUE"""),"")</f>
        <v/>
      </c>
      <c r="N277" s="5" t="str">
        <f ca="1">IFERROR(__xludf.DUMMYFUNCTION("""COMPUTED_VALUE"""),"")</f>
        <v/>
      </c>
      <c r="O277" s="5"/>
      <c r="P277" s="5"/>
      <c r="Q277" s="5" t="str">
        <f ca="1">IFERROR(__xludf.DUMMYFUNCTION("""COMPUTED_VALUE"""),"")</f>
        <v/>
      </c>
      <c r="R277" s="5" t="str">
        <f ca="1">IFERROR(__xludf.DUMMYFUNCTION("""COMPUTED_VALUE"""),"")</f>
        <v/>
      </c>
      <c r="S277" s="5" t="str">
        <f ca="1">IFERROR(__xludf.DUMMYFUNCTION("""COMPUTED_VALUE"""),"")</f>
        <v/>
      </c>
      <c r="T277" s="5" t="str">
        <f ca="1">IFERROR(__xludf.DUMMYFUNCTION("""COMPUTED_VALUE"""),"")</f>
        <v/>
      </c>
      <c r="U277" s="5"/>
      <c r="V277" s="5"/>
    </row>
    <row r="278" spans="1:22" ht="13.2">
      <c r="A278" s="1"/>
      <c r="B278" s="1"/>
      <c r="C278" s="60" t="s">
        <v>116</v>
      </c>
      <c r="D278" s="70"/>
      <c r="E278" s="60" t="s">
        <v>116</v>
      </c>
      <c r="F278" s="189"/>
      <c r="G278" s="188"/>
      <c r="H278" s="1"/>
      <c r="I278" s="1"/>
      <c r="J278" s="4"/>
      <c r="K278" s="5" t="str">
        <f ca="1">IFERROR(__xludf.DUMMYFUNCTION("""COMPUTED_VALUE"""),"")</f>
        <v/>
      </c>
      <c r="L278" s="5" t="str">
        <f ca="1">IFERROR(__xludf.DUMMYFUNCTION("""COMPUTED_VALUE"""),"")</f>
        <v/>
      </c>
      <c r="M278" s="5" t="str">
        <f ca="1">IFERROR(__xludf.DUMMYFUNCTION("""COMPUTED_VALUE"""),"")</f>
        <v/>
      </c>
      <c r="N278" s="5" t="str">
        <f ca="1">IFERROR(__xludf.DUMMYFUNCTION("""COMPUTED_VALUE"""),"")</f>
        <v/>
      </c>
      <c r="O278" s="5"/>
      <c r="P278" s="5"/>
      <c r="Q278" s="5" t="str">
        <f ca="1">IFERROR(__xludf.DUMMYFUNCTION("""COMPUTED_VALUE"""),"")</f>
        <v/>
      </c>
      <c r="R278" s="5" t="str">
        <f ca="1">IFERROR(__xludf.DUMMYFUNCTION("""COMPUTED_VALUE"""),"")</f>
        <v/>
      </c>
      <c r="S278" s="5" t="str">
        <f ca="1">IFERROR(__xludf.DUMMYFUNCTION("""COMPUTED_VALUE"""),"")</f>
        <v/>
      </c>
      <c r="T278" s="5" t="str">
        <f ca="1">IFERROR(__xludf.DUMMYFUNCTION("""COMPUTED_VALUE"""),"")</f>
        <v/>
      </c>
      <c r="U278" s="5"/>
      <c r="V278" s="5"/>
    </row>
    <row r="279" spans="1:22" ht="13.2">
      <c r="A279" s="1"/>
      <c r="B279" s="1"/>
      <c r="C279" s="68" t="s">
        <v>117</v>
      </c>
      <c r="D279" s="67"/>
      <c r="E279" s="68"/>
      <c r="F279" s="68"/>
      <c r="G279" s="69"/>
      <c r="H279" s="1"/>
      <c r="I279" s="1"/>
      <c r="J279" s="4"/>
      <c r="K279" s="5" t="str">
        <f ca="1">IFERROR(__xludf.DUMMYFUNCTION("""COMPUTED_VALUE"""),"")</f>
        <v/>
      </c>
      <c r="L279" s="5" t="str">
        <f ca="1">IFERROR(__xludf.DUMMYFUNCTION("""COMPUTED_VALUE"""),"")</f>
        <v/>
      </c>
      <c r="M279" s="5" t="str">
        <f ca="1">IFERROR(__xludf.DUMMYFUNCTION("""COMPUTED_VALUE"""),"")</f>
        <v/>
      </c>
      <c r="N279" s="5" t="str">
        <f ca="1">IFERROR(__xludf.DUMMYFUNCTION("""COMPUTED_VALUE"""),"")</f>
        <v/>
      </c>
      <c r="O279" s="5"/>
      <c r="P279" s="5"/>
      <c r="Q279" s="5" t="str">
        <f ca="1">IFERROR(__xludf.DUMMYFUNCTION("""COMPUTED_VALUE"""),"")</f>
        <v/>
      </c>
      <c r="R279" s="5" t="str">
        <f ca="1">IFERROR(__xludf.DUMMYFUNCTION("""COMPUTED_VALUE"""),"")</f>
        <v/>
      </c>
      <c r="S279" s="5" t="str">
        <f ca="1">IFERROR(__xludf.DUMMYFUNCTION("""COMPUTED_VALUE"""),"")</f>
        <v/>
      </c>
      <c r="T279" s="5" t="str">
        <f ca="1">IFERROR(__xludf.DUMMYFUNCTION("""COMPUTED_VALUE"""),"")</f>
        <v/>
      </c>
      <c r="U279" s="5"/>
      <c r="V279" s="5"/>
    </row>
    <row r="280" spans="1:22" ht="13.2">
      <c r="A280" s="1"/>
      <c r="B280" s="1"/>
      <c r="C280" s="190"/>
      <c r="D280" s="191"/>
      <c r="E280" s="191"/>
      <c r="F280" s="191"/>
      <c r="G280" s="192"/>
      <c r="H280" s="1"/>
      <c r="I280" s="1"/>
      <c r="J280" s="4"/>
      <c r="K280" s="5" t="str">
        <f ca="1">IFERROR(__xludf.DUMMYFUNCTION("""COMPUTED_VALUE"""),"")</f>
        <v/>
      </c>
      <c r="L280" s="5" t="str">
        <f ca="1">IFERROR(__xludf.DUMMYFUNCTION("""COMPUTED_VALUE"""),"")</f>
        <v/>
      </c>
      <c r="M280" s="5" t="str">
        <f ca="1">IFERROR(__xludf.DUMMYFUNCTION("""COMPUTED_VALUE"""),"")</f>
        <v/>
      </c>
      <c r="N280" s="5" t="str">
        <f ca="1">IFERROR(__xludf.DUMMYFUNCTION("""COMPUTED_VALUE"""),"")</f>
        <v/>
      </c>
      <c r="O280" s="5"/>
      <c r="P280" s="5"/>
      <c r="Q280" s="5" t="str">
        <f ca="1">IFERROR(__xludf.DUMMYFUNCTION("""COMPUTED_VALUE"""),"")</f>
        <v/>
      </c>
      <c r="R280" s="5" t="str">
        <f ca="1">IFERROR(__xludf.DUMMYFUNCTION("""COMPUTED_VALUE"""),"")</f>
        <v/>
      </c>
      <c r="S280" s="5" t="str">
        <f ca="1">IFERROR(__xludf.DUMMYFUNCTION("""COMPUTED_VALUE"""),"")</f>
        <v/>
      </c>
      <c r="T280" s="5" t="str">
        <f ca="1">IFERROR(__xludf.DUMMYFUNCTION("""COMPUTED_VALUE"""),"")</f>
        <v/>
      </c>
      <c r="U280" s="5"/>
      <c r="V280" s="5"/>
    </row>
    <row r="281" spans="1:22" ht="13.2">
      <c r="A281" s="1"/>
      <c r="B281" s="1"/>
      <c r="C281" s="193"/>
      <c r="D281" s="194"/>
      <c r="E281" s="194"/>
      <c r="F281" s="194"/>
      <c r="G281" s="195"/>
      <c r="H281" s="1"/>
      <c r="I281" s="1"/>
      <c r="J281" s="4"/>
      <c r="K281" s="5" t="str">
        <f ca="1">IFERROR(__xludf.DUMMYFUNCTION("""COMPUTED_VALUE"""),"")</f>
        <v/>
      </c>
      <c r="L281" s="5" t="str">
        <f ca="1">IFERROR(__xludf.DUMMYFUNCTION("""COMPUTED_VALUE"""),"")</f>
        <v/>
      </c>
      <c r="M281" s="5" t="str">
        <f ca="1">IFERROR(__xludf.DUMMYFUNCTION("""COMPUTED_VALUE"""),"")</f>
        <v/>
      </c>
      <c r="N281" s="5" t="str">
        <f ca="1">IFERROR(__xludf.DUMMYFUNCTION("""COMPUTED_VALUE"""),"")</f>
        <v/>
      </c>
      <c r="O281" s="5"/>
      <c r="P281" s="5"/>
      <c r="Q281" s="5" t="str">
        <f ca="1">IFERROR(__xludf.DUMMYFUNCTION("""COMPUTED_VALUE"""),"")</f>
        <v/>
      </c>
      <c r="R281" s="5" t="str">
        <f ca="1">IFERROR(__xludf.DUMMYFUNCTION("""COMPUTED_VALUE"""),"")</f>
        <v/>
      </c>
      <c r="S281" s="5" t="str">
        <f ca="1">IFERROR(__xludf.DUMMYFUNCTION("""COMPUTED_VALUE"""),"")</f>
        <v/>
      </c>
      <c r="T281" s="5" t="str">
        <f ca="1">IFERROR(__xludf.DUMMYFUNCTION("""COMPUTED_VALUE"""),"")</f>
        <v/>
      </c>
      <c r="U281" s="5"/>
      <c r="V281" s="5"/>
    </row>
    <row r="282" spans="1:22" ht="13.2">
      <c r="A282" s="1"/>
      <c r="B282" s="1"/>
      <c r="C282" s="193"/>
      <c r="D282" s="194"/>
      <c r="E282" s="194"/>
      <c r="F282" s="194"/>
      <c r="G282" s="195"/>
      <c r="H282" s="1"/>
      <c r="I282" s="1"/>
      <c r="J282" s="4"/>
      <c r="K282" s="5" t="str">
        <f ca="1">IFERROR(__xludf.DUMMYFUNCTION("""COMPUTED_VALUE"""),"")</f>
        <v/>
      </c>
      <c r="L282" s="5" t="str">
        <f ca="1">IFERROR(__xludf.DUMMYFUNCTION("""COMPUTED_VALUE"""),"")</f>
        <v/>
      </c>
      <c r="M282" s="5" t="str">
        <f ca="1">IFERROR(__xludf.DUMMYFUNCTION("""COMPUTED_VALUE"""),"")</f>
        <v/>
      </c>
      <c r="N282" s="5" t="str">
        <f ca="1">IFERROR(__xludf.DUMMYFUNCTION("""COMPUTED_VALUE"""),"")</f>
        <v/>
      </c>
      <c r="O282" s="5"/>
      <c r="P282" s="5"/>
      <c r="Q282" s="5" t="str">
        <f ca="1">IFERROR(__xludf.DUMMYFUNCTION("""COMPUTED_VALUE"""),"")</f>
        <v/>
      </c>
      <c r="R282" s="5" t="str">
        <f ca="1">IFERROR(__xludf.DUMMYFUNCTION("""COMPUTED_VALUE"""),"")</f>
        <v/>
      </c>
      <c r="S282" s="5" t="str">
        <f ca="1">IFERROR(__xludf.DUMMYFUNCTION("""COMPUTED_VALUE"""),"")</f>
        <v/>
      </c>
      <c r="T282" s="5" t="str">
        <f ca="1">IFERROR(__xludf.DUMMYFUNCTION("""COMPUTED_VALUE"""),"")</f>
        <v/>
      </c>
      <c r="U282" s="5"/>
      <c r="V282" s="5"/>
    </row>
    <row r="283" spans="1:22" ht="13.2">
      <c r="A283" s="1"/>
      <c r="B283" s="1"/>
      <c r="C283" s="196"/>
      <c r="D283" s="197"/>
      <c r="E283" s="197"/>
      <c r="F283" s="197"/>
      <c r="G283" s="198"/>
      <c r="H283" s="1"/>
      <c r="I283" s="1"/>
      <c r="J283" s="4"/>
      <c r="K283" s="5" t="str">
        <f ca="1">IFERROR(__xludf.DUMMYFUNCTION("""COMPUTED_VALUE"""),"")</f>
        <v/>
      </c>
      <c r="L283" s="5" t="str">
        <f ca="1">IFERROR(__xludf.DUMMYFUNCTION("""COMPUTED_VALUE"""),"")</f>
        <v/>
      </c>
      <c r="M283" s="5" t="str">
        <f ca="1">IFERROR(__xludf.DUMMYFUNCTION("""COMPUTED_VALUE"""),"")</f>
        <v/>
      </c>
      <c r="N283" s="5" t="str">
        <f ca="1">IFERROR(__xludf.DUMMYFUNCTION("""COMPUTED_VALUE"""),"")</f>
        <v/>
      </c>
      <c r="O283" s="5"/>
      <c r="P283" s="5"/>
      <c r="Q283" s="5" t="str">
        <f ca="1">IFERROR(__xludf.DUMMYFUNCTION("""COMPUTED_VALUE"""),"")</f>
        <v/>
      </c>
      <c r="R283" s="5" t="str">
        <f ca="1">IFERROR(__xludf.DUMMYFUNCTION("""COMPUTED_VALUE"""),"")</f>
        <v/>
      </c>
      <c r="S283" s="5" t="str">
        <f ca="1">IFERROR(__xludf.DUMMYFUNCTION("""COMPUTED_VALUE"""),"")</f>
        <v/>
      </c>
      <c r="T283" s="5" t="str">
        <f ca="1">IFERROR(__xludf.DUMMYFUNCTION("""COMPUTED_VALUE"""),"")</f>
        <v/>
      </c>
      <c r="U283" s="5"/>
      <c r="V283" s="5"/>
    </row>
    <row r="284" spans="1:22" ht="13.2">
      <c r="A284" s="1"/>
      <c r="B284" s="1"/>
      <c r="C284" s="1"/>
      <c r="D284" s="58"/>
      <c r="E284" s="1"/>
      <c r="F284" s="1"/>
      <c r="G284" s="59"/>
      <c r="H284" s="1"/>
      <c r="I284" s="1"/>
      <c r="J284" s="4"/>
      <c r="K284" s="5" t="str">
        <f ca="1">IFERROR(__xludf.DUMMYFUNCTION("""COMPUTED_VALUE"""),"")</f>
        <v/>
      </c>
      <c r="L284" s="5" t="str">
        <f ca="1">IFERROR(__xludf.DUMMYFUNCTION("""COMPUTED_VALUE"""),"")</f>
        <v/>
      </c>
      <c r="M284" s="5" t="str">
        <f ca="1">IFERROR(__xludf.DUMMYFUNCTION("""COMPUTED_VALUE"""),"")</f>
        <v/>
      </c>
      <c r="N284" s="5" t="str">
        <f ca="1">IFERROR(__xludf.DUMMYFUNCTION("""COMPUTED_VALUE"""),"")</f>
        <v/>
      </c>
      <c r="O284" s="5"/>
      <c r="P284" s="5"/>
      <c r="Q284" s="5" t="str">
        <f ca="1">IFERROR(__xludf.DUMMYFUNCTION("""COMPUTED_VALUE"""),"")</f>
        <v/>
      </c>
      <c r="R284" s="5" t="str">
        <f ca="1">IFERROR(__xludf.DUMMYFUNCTION("""COMPUTED_VALUE"""),"")</f>
        <v/>
      </c>
      <c r="S284" s="5" t="str">
        <f ca="1">IFERROR(__xludf.DUMMYFUNCTION("""COMPUTED_VALUE"""),"")</f>
        <v/>
      </c>
      <c r="T284" s="5" t="str">
        <f ca="1">IFERROR(__xludf.DUMMYFUNCTION("""COMPUTED_VALUE"""),"")</f>
        <v/>
      </c>
      <c r="U284" s="5"/>
      <c r="V284" s="5"/>
    </row>
    <row r="285" spans="1:22" ht="13.2">
      <c r="A285" s="1"/>
      <c r="B285" s="1"/>
      <c r="C285" s="1"/>
      <c r="D285" s="58"/>
      <c r="E285" s="1"/>
      <c r="F285" s="1"/>
      <c r="G285" s="59"/>
      <c r="H285" s="1"/>
      <c r="I285" s="1"/>
      <c r="J285" s="4"/>
      <c r="K285" s="5" t="str">
        <f ca="1">IFERROR(__xludf.DUMMYFUNCTION("""COMPUTED_VALUE"""),"")</f>
        <v/>
      </c>
      <c r="L285" s="5" t="str">
        <f ca="1">IFERROR(__xludf.DUMMYFUNCTION("""COMPUTED_VALUE"""),"")</f>
        <v/>
      </c>
      <c r="M285" s="5" t="str">
        <f ca="1">IFERROR(__xludf.DUMMYFUNCTION("""COMPUTED_VALUE"""),"")</f>
        <v/>
      </c>
      <c r="N285" s="5" t="str">
        <f ca="1">IFERROR(__xludf.DUMMYFUNCTION("""COMPUTED_VALUE"""),"")</f>
        <v/>
      </c>
      <c r="O285" s="5"/>
      <c r="P285" s="5"/>
      <c r="Q285" s="5" t="str">
        <f ca="1">IFERROR(__xludf.DUMMYFUNCTION("""COMPUTED_VALUE"""),"")</f>
        <v/>
      </c>
      <c r="R285" s="5" t="str">
        <f ca="1">IFERROR(__xludf.DUMMYFUNCTION("""COMPUTED_VALUE"""),"")</f>
        <v/>
      </c>
      <c r="S285" s="5" t="str">
        <f ca="1">IFERROR(__xludf.DUMMYFUNCTION("""COMPUTED_VALUE"""),"")</f>
        <v/>
      </c>
      <c r="T285" s="5" t="str">
        <f ca="1">IFERROR(__xludf.DUMMYFUNCTION("""COMPUTED_VALUE"""),"")</f>
        <v/>
      </c>
      <c r="U285" s="5"/>
      <c r="V285" s="5"/>
    </row>
    <row r="286" spans="1:22" ht="13.2">
      <c r="A286" s="1"/>
      <c r="B286" s="1"/>
      <c r="C286" s="1"/>
      <c r="D286" s="58"/>
      <c r="E286" s="1"/>
      <c r="F286" s="1"/>
      <c r="G286" s="59"/>
      <c r="H286" s="1"/>
      <c r="I286" s="1"/>
      <c r="J286" s="4"/>
      <c r="K286" s="5" t="str">
        <f ca="1">IFERROR(__xludf.DUMMYFUNCTION("""COMPUTED_VALUE"""),"")</f>
        <v/>
      </c>
      <c r="L286" s="5" t="str">
        <f ca="1">IFERROR(__xludf.DUMMYFUNCTION("""COMPUTED_VALUE"""),"")</f>
        <v/>
      </c>
      <c r="M286" s="5" t="str">
        <f ca="1">IFERROR(__xludf.DUMMYFUNCTION("""COMPUTED_VALUE"""),"")</f>
        <v/>
      </c>
      <c r="N286" s="5" t="str">
        <f ca="1">IFERROR(__xludf.DUMMYFUNCTION("""COMPUTED_VALUE"""),"")</f>
        <v/>
      </c>
      <c r="O286" s="5"/>
      <c r="P286" s="5"/>
      <c r="Q286" s="5" t="str">
        <f ca="1">IFERROR(__xludf.DUMMYFUNCTION("""COMPUTED_VALUE"""),"")</f>
        <v/>
      </c>
      <c r="R286" s="5" t="str">
        <f ca="1">IFERROR(__xludf.DUMMYFUNCTION("""COMPUTED_VALUE"""),"")</f>
        <v/>
      </c>
      <c r="S286" s="5" t="str">
        <f ca="1">IFERROR(__xludf.DUMMYFUNCTION("""COMPUTED_VALUE"""),"")</f>
        <v/>
      </c>
      <c r="T286" s="5" t="str">
        <f ca="1">IFERROR(__xludf.DUMMYFUNCTION("""COMPUTED_VALUE"""),"")</f>
        <v/>
      </c>
      <c r="U286" s="5"/>
      <c r="V286" s="5"/>
    </row>
    <row r="287" spans="1:22" ht="13.2">
      <c r="A287" s="1"/>
      <c r="B287" s="1"/>
      <c r="C287" s="1"/>
      <c r="D287" s="58"/>
      <c r="E287" s="1"/>
      <c r="F287" s="1"/>
      <c r="G287" s="59"/>
      <c r="H287" s="1"/>
      <c r="I287" s="1"/>
      <c r="J287" s="4"/>
      <c r="K287" s="5" t="str">
        <f ca="1">IFERROR(__xludf.DUMMYFUNCTION("""COMPUTED_VALUE"""),"")</f>
        <v/>
      </c>
      <c r="L287" s="5" t="str">
        <f ca="1">IFERROR(__xludf.DUMMYFUNCTION("""COMPUTED_VALUE"""),"")</f>
        <v/>
      </c>
      <c r="M287" s="5" t="str">
        <f ca="1">IFERROR(__xludf.DUMMYFUNCTION("""COMPUTED_VALUE"""),"")</f>
        <v/>
      </c>
      <c r="N287" s="5" t="str">
        <f ca="1">IFERROR(__xludf.DUMMYFUNCTION("""COMPUTED_VALUE"""),"")</f>
        <v/>
      </c>
      <c r="O287" s="5"/>
      <c r="P287" s="5"/>
      <c r="Q287" s="5" t="str">
        <f ca="1">IFERROR(__xludf.DUMMYFUNCTION("""COMPUTED_VALUE"""),"")</f>
        <v/>
      </c>
      <c r="R287" s="5" t="str">
        <f ca="1">IFERROR(__xludf.DUMMYFUNCTION("""COMPUTED_VALUE"""),"")</f>
        <v/>
      </c>
      <c r="S287" s="5" t="str">
        <f ca="1">IFERROR(__xludf.DUMMYFUNCTION("""COMPUTED_VALUE"""),"")</f>
        <v/>
      </c>
      <c r="T287" s="5" t="str">
        <f ca="1">IFERROR(__xludf.DUMMYFUNCTION("""COMPUTED_VALUE"""),"")</f>
        <v/>
      </c>
      <c r="U287" s="5"/>
      <c r="V287" s="5"/>
    </row>
    <row r="288" spans="1:22" ht="13.2">
      <c r="A288" s="1"/>
      <c r="B288" s="1"/>
      <c r="C288" s="1"/>
      <c r="D288" s="58"/>
      <c r="E288" s="1"/>
      <c r="F288" s="1"/>
      <c r="G288" s="59"/>
      <c r="H288" s="1"/>
      <c r="I288" s="1"/>
      <c r="J288" s="4"/>
      <c r="K288" s="5" t="str">
        <f ca="1">IFERROR(__xludf.DUMMYFUNCTION("""COMPUTED_VALUE"""),"")</f>
        <v/>
      </c>
      <c r="L288" s="5" t="str">
        <f ca="1">IFERROR(__xludf.DUMMYFUNCTION("""COMPUTED_VALUE"""),"")</f>
        <v/>
      </c>
      <c r="M288" s="5" t="str">
        <f ca="1">IFERROR(__xludf.DUMMYFUNCTION("""COMPUTED_VALUE"""),"")</f>
        <v/>
      </c>
      <c r="N288" s="5" t="str">
        <f ca="1">IFERROR(__xludf.DUMMYFUNCTION("""COMPUTED_VALUE"""),"")</f>
        <v/>
      </c>
      <c r="O288" s="5"/>
      <c r="P288" s="5"/>
      <c r="Q288" s="5" t="str">
        <f ca="1">IFERROR(__xludf.DUMMYFUNCTION("""COMPUTED_VALUE"""),"")</f>
        <v/>
      </c>
      <c r="R288" s="5" t="str">
        <f ca="1">IFERROR(__xludf.DUMMYFUNCTION("""COMPUTED_VALUE"""),"")</f>
        <v/>
      </c>
      <c r="S288" s="5" t="str">
        <f ca="1">IFERROR(__xludf.DUMMYFUNCTION("""COMPUTED_VALUE"""),"")</f>
        <v/>
      </c>
      <c r="T288" s="5" t="str">
        <f ca="1">IFERROR(__xludf.DUMMYFUNCTION("""COMPUTED_VALUE"""),"")</f>
        <v/>
      </c>
      <c r="U288" s="5"/>
      <c r="V288" s="5"/>
    </row>
    <row r="289" spans="1:22" ht="13.2">
      <c r="A289" s="1"/>
      <c r="B289" s="1"/>
      <c r="C289" s="1"/>
      <c r="D289" s="58"/>
      <c r="E289" s="1"/>
      <c r="F289" s="1"/>
      <c r="G289" s="59"/>
      <c r="H289" s="1"/>
      <c r="I289" s="1"/>
      <c r="J289" s="4"/>
      <c r="K289" s="5" t="str">
        <f ca="1">IFERROR(__xludf.DUMMYFUNCTION("""COMPUTED_VALUE"""),"")</f>
        <v/>
      </c>
      <c r="L289" s="5" t="str">
        <f ca="1">IFERROR(__xludf.DUMMYFUNCTION("""COMPUTED_VALUE"""),"")</f>
        <v/>
      </c>
      <c r="M289" s="5" t="str">
        <f ca="1">IFERROR(__xludf.DUMMYFUNCTION("""COMPUTED_VALUE"""),"")</f>
        <v/>
      </c>
      <c r="N289" s="5" t="str">
        <f ca="1">IFERROR(__xludf.DUMMYFUNCTION("""COMPUTED_VALUE"""),"")</f>
        <v/>
      </c>
      <c r="O289" s="5"/>
      <c r="P289" s="5"/>
      <c r="Q289" s="5" t="str">
        <f ca="1">IFERROR(__xludf.DUMMYFUNCTION("""COMPUTED_VALUE"""),"")</f>
        <v/>
      </c>
      <c r="R289" s="5" t="str">
        <f ca="1">IFERROR(__xludf.DUMMYFUNCTION("""COMPUTED_VALUE"""),"")</f>
        <v/>
      </c>
      <c r="S289" s="5" t="str">
        <f ca="1">IFERROR(__xludf.DUMMYFUNCTION("""COMPUTED_VALUE"""),"")</f>
        <v/>
      </c>
      <c r="T289" s="5" t="str">
        <f ca="1">IFERROR(__xludf.DUMMYFUNCTION("""COMPUTED_VALUE"""),"")</f>
        <v/>
      </c>
      <c r="U289" s="5"/>
      <c r="V289" s="5"/>
    </row>
    <row r="290" spans="1:22" ht="13.2">
      <c r="A290" s="1"/>
      <c r="B290" s="1"/>
      <c r="C290" s="1"/>
      <c r="D290" s="58"/>
      <c r="E290" s="1"/>
      <c r="F290" s="1"/>
      <c r="G290" s="59"/>
      <c r="H290" s="1"/>
      <c r="I290" s="1"/>
      <c r="J290" s="4"/>
      <c r="K290" s="5" t="str">
        <f ca="1">IFERROR(__xludf.DUMMYFUNCTION("""COMPUTED_VALUE"""),"")</f>
        <v/>
      </c>
      <c r="L290" s="5" t="str">
        <f ca="1">IFERROR(__xludf.DUMMYFUNCTION("""COMPUTED_VALUE"""),"")</f>
        <v/>
      </c>
      <c r="M290" s="5" t="str">
        <f ca="1">IFERROR(__xludf.DUMMYFUNCTION("""COMPUTED_VALUE"""),"")</f>
        <v/>
      </c>
      <c r="N290" s="5" t="str">
        <f ca="1">IFERROR(__xludf.DUMMYFUNCTION("""COMPUTED_VALUE"""),"")</f>
        <v/>
      </c>
      <c r="O290" s="5"/>
      <c r="P290" s="5"/>
      <c r="Q290" s="5" t="str">
        <f ca="1">IFERROR(__xludf.DUMMYFUNCTION("""COMPUTED_VALUE"""),"")</f>
        <v/>
      </c>
      <c r="R290" s="5" t="str">
        <f ca="1">IFERROR(__xludf.DUMMYFUNCTION("""COMPUTED_VALUE"""),"")</f>
        <v/>
      </c>
      <c r="S290" s="5" t="str">
        <f ca="1">IFERROR(__xludf.DUMMYFUNCTION("""COMPUTED_VALUE"""),"")</f>
        <v/>
      </c>
      <c r="T290" s="5" t="str">
        <f ca="1">IFERROR(__xludf.DUMMYFUNCTION("""COMPUTED_VALUE"""),"")</f>
        <v/>
      </c>
      <c r="U290" s="5"/>
      <c r="V290" s="5"/>
    </row>
    <row r="291" spans="1:22" ht="13.2">
      <c r="A291" s="1"/>
      <c r="B291" s="1"/>
      <c r="C291" s="1"/>
      <c r="D291" s="58"/>
      <c r="E291" s="1"/>
      <c r="F291" s="1"/>
      <c r="G291" s="59"/>
      <c r="H291" s="1"/>
      <c r="I291" s="1"/>
      <c r="J291" s="4"/>
      <c r="K291" s="5" t="str">
        <f ca="1">IFERROR(__xludf.DUMMYFUNCTION("""COMPUTED_VALUE"""),"")</f>
        <v/>
      </c>
      <c r="L291" s="5" t="str">
        <f ca="1">IFERROR(__xludf.DUMMYFUNCTION("""COMPUTED_VALUE"""),"")</f>
        <v/>
      </c>
      <c r="M291" s="5" t="str">
        <f ca="1">IFERROR(__xludf.DUMMYFUNCTION("""COMPUTED_VALUE"""),"")</f>
        <v/>
      </c>
      <c r="N291" s="5" t="str">
        <f ca="1">IFERROR(__xludf.DUMMYFUNCTION("""COMPUTED_VALUE"""),"")</f>
        <v/>
      </c>
      <c r="O291" s="5"/>
      <c r="P291" s="5"/>
      <c r="Q291" s="5" t="str">
        <f ca="1">IFERROR(__xludf.DUMMYFUNCTION("""COMPUTED_VALUE"""),"")</f>
        <v/>
      </c>
      <c r="R291" s="5" t="str">
        <f ca="1">IFERROR(__xludf.DUMMYFUNCTION("""COMPUTED_VALUE"""),"")</f>
        <v/>
      </c>
      <c r="S291" s="5" t="str">
        <f ca="1">IFERROR(__xludf.DUMMYFUNCTION("""COMPUTED_VALUE"""),"")</f>
        <v/>
      </c>
      <c r="T291" s="5" t="str">
        <f ca="1">IFERROR(__xludf.DUMMYFUNCTION("""COMPUTED_VALUE"""),"")</f>
        <v/>
      </c>
      <c r="U291" s="5"/>
      <c r="V291" s="5"/>
    </row>
    <row r="292" spans="1:22" ht="13.2">
      <c r="A292" s="1"/>
      <c r="B292" s="1"/>
      <c r="C292" s="1"/>
      <c r="D292" s="58"/>
      <c r="E292" s="1"/>
      <c r="F292" s="1"/>
      <c r="G292" s="59"/>
      <c r="H292" s="1"/>
      <c r="I292" s="1"/>
      <c r="J292" s="4"/>
      <c r="K292" s="5" t="str">
        <f ca="1">IFERROR(__xludf.DUMMYFUNCTION("""COMPUTED_VALUE"""),"")</f>
        <v/>
      </c>
      <c r="L292" s="5" t="str">
        <f ca="1">IFERROR(__xludf.DUMMYFUNCTION("""COMPUTED_VALUE"""),"")</f>
        <v/>
      </c>
      <c r="M292" s="5" t="str">
        <f ca="1">IFERROR(__xludf.DUMMYFUNCTION("""COMPUTED_VALUE"""),"")</f>
        <v/>
      </c>
      <c r="N292" s="5" t="str">
        <f ca="1">IFERROR(__xludf.DUMMYFUNCTION("""COMPUTED_VALUE"""),"")</f>
        <v/>
      </c>
      <c r="O292" s="5"/>
      <c r="P292" s="5"/>
      <c r="Q292" s="5" t="str">
        <f ca="1">IFERROR(__xludf.DUMMYFUNCTION("""COMPUTED_VALUE"""),"")</f>
        <v/>
      </c>
      <c r="R292" s="5" t="str">
        <f ca="1">IFERROR(__xludf.DUMMYFUNCTION("""COMPUTED_VALUE"""),"")</f>
        <v/>
      </c>
      <c r="S292" s="5" t="str">
        <f ca="1">IFERROR(__xludf.DUMMYFUNCTION("""COMPUTED_VALUE"""),"")</f>
        <v/>
      </c>
      <c r="T292" s="5" t="str">
        <f ca="1">IFERROR(__xludf.DUMMYFUNCTION("""COMPUTED_VALUE"""),"")</f>
        <v/>
      </c>
      <c r="U292" s="5"/>
      <c r="V292" s="5"/>
    </row>
    <row r="293" spans="1:22" ht="13.2">
      <c r="A293" s="1"/>
      <c r="B293" s="1"/>
      <c r="C293" s="1"/>
      <c r="D293" s="58"/>
      <c r="E293" s="1"/>
      <c r="F293" s="1"/>
      <c r="G293" s="59"/>
      <c r="H293" s="1"/>
      <c r="I293" s="1"/>
      <c r="J293" s="4"/>
      <c r="K293" s="5" t="str">
        <f ca="1">IFERROR(__xludf.DUMMYFUNCTION("""COMPUTED_VALUE"""),"")</f>
        <v/>
      </c>
      <c r="L293" s="5" t="str">
        <f ca="1">IFERROR(__xludf.DUMMYFUNCTION("""COMPUTED_VALUE"""),"")</f>
        <v/>
      </c>
      <c r="M293" s="5" t="str">
        <f ca="1">IFERROR(__xludf.DUMMYFUNCTION("""COMPUTED_VALUE"""),"")</f>
        <v/>
      </c>
      <c r="N293" s="5" t="str">
        <f ca="1">IFERROR(__xludf.DUMMYFUNCTION("""COMPUTED_VALUE"""),"")</f>
        <v/>
      </c>
      <c r="O293" s="5"/>
      <c r="P293" s="5"/>
      <c r="Q293" s="5" t="str">
        <f ca="1">IFERROR(__xludf.DUMMYFUNCTION("""COMPUTED_VALUE"""),"")</f>
        <v/>
      </c>
      <c r="R293" s="5" t="str">
        <f ca="1">IFERROR(__xludf.DUMMYFUNCTION("""COMPUTED_VALUE"""),"")</f>
        <v/>
      </c>
      <c r="S293" s="5" t="str">
        <f ca="1">IFERROR(__xludf.DUMMYFUNCTION("""COMPUTED_VALUE"""),"")</f>
        <v/>
      </c>
      <c r="T293" s="5" t="str">
        <f ca="1">IFERROR(__xludf.DUMMYFUNCTION("""COMPUTED_VALUE"""),"")</f>
        <v/>
      </c>
      <c r="U293" s="5"/>
      <c r="V293" s="5"/>
    </row>
    <row r="294" spans="1:22" ht="13.2">
      <c r="A294" s="1"/>
      <c r="B294" s="1"/>
      <c r="C294" s="1"/>
      <c r="D294" s="58"/>
      <c r="E294" s="1"/>
      <c r="F294" s="1"/>
      <c r="G294" s="59"/>
      <c r="H294" s="1"/>
      <c r="I294" s="1"/>
      <c r="J294" s="4"/>
      <c r="K294" s="5" t="str">
        <f ca="1">IFERROR(__xludf.DUMMYFUNCTION("""COMPUTED_VALUE"""),"")</f>
        <v/>
      </c>
      <c r="L294" s="5" t="str">
        <f ca="1">IFERROR(__xludf.DUMMYFUNCTION("""COMPUTED_VALUE"""),"")</f>
        <v/>
      </c>
      <c r="M294" s="5" t="str">
        <f ca="1">IFERROR(__xludf.DUMMYFUNCTION("""COMPUTED_VALUE"""),"")</f>
        <v/>
      </c>
      <c r="N294" s="5" t="str">
        <f ca="1">IFERROR(__xludf.DUMMYFUNCTION("""COMPUTED_VALUE"""),"")</f>
        <v/>
      </c>
      <c r="O294" s="5"/>
      <c r="P294" s="5"/>
      <c r="Q294" s="5" t="str">
        <f ca="1">IFERROR(__xludf.DUMMYFUNCTION("""COMPUTED_VALUE"""),"")</f>
        <v/>
      </c>
      <c r="R294" s="5" t="str">
        <f ca="1">IFERROR(__xludf.DUMMYFUNCTION("""COMPUTED_VALUE"""),"")</f>
        <v/>
      </c>
      <c r="S294" s="5" t="str">
        <f ca="1">IFERROR(__xludf.DUMMYFUNCTION("""COMPUTED_VALUE"""),"")</f>
        <v/>
      </c>
      <c r="T294" s="5" t="str">
        <f ca="1">IFERROR(__xludf.DUMMYFUNCTION("""COMPUTED_VALUE"""),"")</f>
        <v/>
      </c>
      <c r="U294" s="5"/>
      <c r="V294" s="5"/>
    </row>
    <row r="295" spans="1:22" ht="13.2">
      <c r="A295" s="1"/>
      <c r="B295" s="1"/>
      <c r="C295" s="1"/>
      <c r="D295" s="58"/>
      <c r="E295" s="1"/>
      <c r="F295" s="1"/>
      <c r="G295" s="59"/>
      <c r="H295" s="1"/>
      <c r="I295" s="1"/>
      <c r="J295" s="4"/>
      <c r="K295" s="5" t="str">
        <f ca="1">IFERROR(__xludf.DUMMYFUNCTION("""COMPUTED_VALUE"""),"")</f>
        <v/>
      </c>
      <c r="L295" s="5" t="str">
        <f ca="1">IFERROR(__xludf.DUMMYFUNCTION("""COMPUTED_VALUE"""),"")</f>
        <v/>
      </c>
      <c r="M295" s="5" t="str">
        <f ca="1">IFERROR(__xludf.DUMMYFUNCTION("""COMPUTED_VALUE"""),"")</f>
        <v/>
      </c>
      <c r="N295" s="5" t="str">
        <f ca="1">IFERROR(__xludf.DUMMYFUNCTION("""COMPUTED_VALUE"""),"")</f>
        <v/>
      </c>
      <c r="O295" s="5"/>
      <c r="P295" s="5"/>
      <c r="Q295" s="5" t="str">
        <f ca="1">IFERROR(__xludf.DUMMYFUNCTION("""COMPUTED_VALUE"""),"")</f>
        <v/>
      </c>
      <c r="R295" s="5" t="str">
        <f ca="1">IFERROR(__xludf.DUMMYFUNCTION("""COMPUTED_VALUE"""),"")</f>
        <v/>
      </c>
      <c r="S295" s="5" t="str">
        <f ca="1">IFERROR(__xludf.DUMMYFUNCTION("""COMPUTED_VALUE"""),"")</f>
        <v/>
      </c>
      <c r="T295" s="5" t="str">
        <f ca="1">IFERROR(__xludf.DUMMYFUNCTION("""COMPUTED_VALUE"""),"")</f>
        <v/>
      </c>
      <c r="U295" s="5"/>
      <c r="V295" s="5"/>
    </row>
    <row r="296" spans="1:22" ht="13.2">
      <c r="A296" s="1"/>
      <c r="B296" s="1"/>
      <c r="C296" s="1"/>
      <c r="D296" s="58"/>
      <c r="E296" s="1"/>
      <c r="F296" s="1"/>
      <c r="G296" s="59"/>
      <c r="H296" s="1"/>
      <c r="I296" s="1"/>
      <c r="J296" s="4"/>
      <c r="K296" s="5" t="str">
        <f ca="1">IFERROR(__xludf.DUMMYFUNCTION("""COMPUTED_VALUE"""),"")</f>
        <v/>
      </c>
      <c r="L296" s="5" t="str">
        <f ca="1">IFERROR(__xludf.DUMMYFUNCTION("""COMPUTED_VALUE"""),"")</f>
        <v/>
      </c>
      <c r="M296" s="5" t="str">
        <f ca="1">IFERROR(__xludf.DUMMYFUNCTION("""COMPUTED_VALUE"""),"")</f>
        <v/>
      </c>
      <c r="N296" s="5" t="str">
        <f ca="1">IFERROR(__xludf.DUMMYFUNCTION("""COMPUTED_VALUE"""),"")</f>
        <v/>
      </c>
      <c r="O296" s="5"/>
      <c r="P296" s="5"/>
      <c r="Q296" s="5" t="str">
        <f ca="1">IFERROR(__xludf.DUMMYFUNCTION("""COMPUTED_VALUE"""),"")</f>
        <v/>
      </c>
      <c r="R296" s="5" t="str">
        <f ca="1">IFERROR(__xludf.DUMMYFUNCTION("""COMPUTED_VALUE"""),"")</f>
        <v/>
      </c>
      <c r="S296" s="5" t="str">
        <f ca="1">IFERROR(__xludf.DUMMYFUNCTION("""COMPUTED_VALUE"""),"")</f>
        <v/>
      </c>
      <c r="T296" s="5" t="str">
        <f ca="1">IFERROR(__xludf.DUMMYFUNCTION("""COMPUTED_VALUE"""),"")</f>
        <v/>
      </c>
      <c r="U296" s="5"/>
      <c r="V296" s="5"/>
    </row>
    <row r="297" spans="1:22" ht="13.2">
      <c r="A297" s="1"/>
      <c r="B297" s="1"/>
      <c r="C297" s="1"/>
      <c r="D297" s="58"/>
      <c r="E297" s="1"/>
      <c r="F297" s="1"/>
      <c r="G297" s="59"/>
      <c r="H297" s="1"/>
      <c r="I297" s="1"/>
      <c r="J297" s="4"/>
      <c r="K297" s="5" t="str">
        <f ca="1">IFERROR(__xludf.DUMMYFUNCTION("""COMPUTED_VALUE"""),"")</f>
        <v/>
      </c>
      <c r="L297" s="5" t="str">
        <f ca="1">IFERROR(__xludf.DUMMYFUNCTION("""COMPUTED_VALUE"""),"")</f>
        <v/>
      </c>
      <c r="M297" s="5" t="str">
        <f ca="1">IFERROR(__xludf.DUMMYFUNCTION("""COMPUTED_VALUE"""),"")</f>
        <v/>
      </c>
      <c r="N297" s="5" t="str">
        <f ca="1">IFERROR(__xludf.DUMMYFUNCTION("""COMPUTED_VALUE"""),"")</f>
        <v/>
      </c>
      <c r="O297" s="5"/>
      <c r="P297" s="5"/>
      <c r="Q297" s="5" t="str">
        <f ca="1">IFERROR(__xludf.DUMMYFUNCTION("""COMPUTED_VALUE"""),"")</f>
        <v/>
      </c>
      <c r="R297" s="5" t="str">
        <f ca="1">IFERROR(__xludf.DUMMYFUNCTION("""COMPUTED_VALUE"""),"")</f>
        <v/>
      </c>
      <c r="S297" s="5" t="str">
        <f ca="1">IFERROR(__xludf.DUMMYFUNCTION("""COMPUTED_VALUE"""),"")</f>
        <v/>
      </c>
      <c r="T297" s="5" t="str">
        <f ca="1">IFERROR(__xludf.DUMMYFUNCTION("""COMPUTED_VALUE"""),"")</f>
        <v/>
      </c>
      <c r="U297" s="5"/>
      <c r="V297" s="5"/>
    </row>
    <row r="298" spans="1:22" ht="13.2">
      <c r="A298" s="1"/>
      <c r="B298" s="1"/>
      <c r="C298" s="1"/>
      <c r="D298" s="58"/>
      <c r="E298" s="1"/>
      <c r="F298" s="1"/>
      <c r="G298" s="59"/>
      <c r="H298" s="1"/>
      <c r="I298" s="1"/>
      <c r="J298" s="4"/>
      <c r="K298" s="5" t="str">
        <f ca="1">IFERROR(__xludf.DUMMYFUNCTION("""COMPUTED_VALUE"""),"")</f>
        <v/>
      </c>
      <c r="L298" s="5" t="str">
        <f ca="1">IFERROR(__xludf.DUMMYFUNCTION("""COMPUTED_VALUE"""),"")</f>
        <v/>
      </c>
      <c r="M298" s="5" t="str">
        <f ca="1">IFERROR(__xludf.DUMMYFUNCTION("""COMPUTED_VALUE"""),"")</f>
        <v/>
      </c>
      <c r="N298" s="5" t="str">
        <f ca="1">IFERROR(__xludf.DUMMYFUNCTION("""COMPUTED_VALUE"""),"")</f>
        <v/>
      </c>
      <c r="O298" s="5"/>
      <c r="P298" s="5"/>
      <c r="Q298" s="5" t="str">
        <f ca="1">IFERROR(__xludf.DUMMYFUNCTION("""COMPUTED_VALUE"""),"")</f>
        <v/>
      </c>
      <c r="R298" s="5" t="str">
        <f ca="1">IFERROR(__xludf.DUMMYFUNCTION("""COMPUTED_VALUE"""),"")</f>
        <v/>
      </c>
      <c r="S298" s="5" t="str">
        <f ca="1">IFERROR(__xludf.DUMMYFUNCTION("""COMPUTED_VALUE"""),"")</f>
        <v/>
      </c>
      <c r="T298" s="5" t="str">
        <f ca="1">IFERROR(__xludf.DUMMYFUNCTION("""COMPUTED_VALUE"""),"")</f>
        <v/>
      </c>
      <c r="U298" s="5"/>
      <c r="V298" s="5"/>
    </row>
    <row r="299" spans="1:22" ht="13.2">
      <c r="A299" s="1"/>
      <c r="B299" s="1"/>
      <c r="C299" s="1"/>
      <c r="D299" s="58"/>
      <c r="E299" s="1"/>
      <c r="F299" s="1"/>
      <c r="G299" s="59"/>
      <c r="H299" s="1"/>
      <c r="I299" s="1"/>
      <c r="J299" s="4"/>
      <c r="K299" s="5" t="str">
        <f ca="1">IFERROR(__xludf.DUMMYFUNCTION("""COMPUTED_VALUE"""),"")</f>
        <v/>
      </c>
      <c r="L299" s="5" t="str">
        <f ca="1">IFERROR(__xludf.DUMMYFUNCTION("""COMPUTED_VALUE"""),"")</f>
        <v/>
      </c>
      <c r="M299" s="5" t="str">
        <f ca="1">IFERROR(__xludf.DUMMYFUNCTION("""COMPUTED_VALUE"""),"")</f>
        <v/>
      </c>
      <c r="N299" s="5" t="str">
        <f ca="1">IFERROR(__xludf.DUMMYFUNCTION("""COMPUTED_VALUE"""),"")</f>
        <v/>
      </c>
      <c r="O299" s="5"/>
      <c r="P299" s="5"/>
      <c r="Q299" s="5" t="str">
        <f ca="1">IFERROR(__xludf.DUMMYFUNCTION("""COMPUTED_VALUE"""),"")</f>
        <v/>
      </c>
      <c r="R299" s="5" t="str">
        <f ca="1">IFERROR(__xludf.DUMMYFUNCTION("""COMPUTED_VALUE"""),"")</f>
        <v/>
      </c>
      <c r="S299" s="5" t="str">
        <f ca="1">IFERROR(__xludf.DUMMYFUNCTION("""COMPUTED_VALUE"""),"")</f>
        <v/>
      </c>
      <c r="T299" s="5" t="str">
        <f ca="1">IFERROR(__xludf.DUMMYFUNCTION("""COMPUTED_VALUE"""),"")</f>
        <v/>
      </c>
      <c r="U299" s="5"/>
      <c r="V299" s="5"/>
    </row>
    <row r="300" spans="1:22" ht="13.2">
      <c r="A300" s="1"/>
      <c r="B300" s="1"/>
      <c r="C300" s="1"/>
      <c r="D300" s="58"/>
      <c r="E300" s="1"/>
      <c r="F300" s="1"/>
      <c r="G300" s="59"/>
      <c r="H300" s="1"/>
      <c r="I300" s="1"/>
      <c r="J300" s="4"/>
      <c r="K300" s="5" t="str">
        <f ca="1">IFERROR(__xludf.DUMMYFUNCTION("""COMPUTED_VALUE"""),"")</f>
        <v/>
      </c>
      <c r="L300" s="5" t="str">
        <f ca="1">IFERROR(__xludf.DUMMYFUNCTION("""COMPUTED_VALUE"""),"")</f>
        <v/>
      </c>
      <c r="M300" s="5" t="str">
        <f ca="1">IFERROR(__xludf.DUMMYFUNCTION("""COMPUTED_VALUE"""),"")</f>
        <v/>
      </c>
      <c r="N300" s="5" t="str">
        <f ca="1">IFERROR(__xludf.DUMMYFUNCTION("""COMPUTED_VALUE"""),"")</f>
        <v/>
      </c>
      <c r="O300" s="5"/>
      <c r="P300" s="5"/>
      <c r="Q300" s="5" t="str">
        <f ca="1">IFERROR(__xludf.DUMMYFUNCTION("""COMPUTED_VALUE"""),"")</f>
        <v/>
      </c>
      <c r="R300" s="5" t="str">
        <f ca="1">IFERROR(__xludf.DUMMYFUNCTION("""COMPUTED_VALUE"""),"")</f>
        <v/>
      </c>
      <c r="S300" s="5" t="str">
        <f ca="1">IFERROR(__xludf.DUMMYFUNCTION("""COMPUTED_VALUE"""),"")</f>
        <v/>
      </c>
      <c r="T300" s="5" t="str">
        <f ca="1">IFERROR(__xludf.DUMMYFUNCTION("""COMPUTED_VALUE"""),"")</f>
        <v/>
      </c>
      <c r="U300" s="5"/>
      <c r="V300" s="5"/>
    </row>
    <row r="301" spans="1:22" ht="13.2">
      <c r="A301" s="1"/>
      <c r="B301" s="1"/>
      <c r="C301" s="1"/>
      <c r="D301" s="58"/>
      <c r="E301" s="1"/>
      <c r="F301" s="1"/>
      <c r="G301" s="59"/>
      <c r="H301" s="1"/>
      <c r="I301" s="1"/>
      <c r="J301" s="4"/>
      <c r="K301" s="5" t="str">
        <f ca="1">IFERROR(__xludf.DUMMYFUNCTION("""COMPUTED_VALUE"""),"")</f>
        <v/>
      </c>
      <c r="L301" s="5" t="str">
        <f ca="1">IFERROR(__xludf.DUMMYFUNCTION("""COMPUTED_VALUE"""),"")</f>
        <v/>
      </c>
      <c r="M301" s="5" t="str">
        <f ca="1">IFERROR(__xludf.DUMMYFUNCTION("""COMPUTED_VALUE"""),"")</f>
        <v/>
      </c>
      <c r="N301" s="5" t="str">
        <f ca="1">IFERROR(__xludf.DUMMYFUNCTION("""COMPUTED_VALUE"""),"")</f>
        <v/>
      </c>
      <c r="O301" s="5"/>
      <c r="P301" s="5"/>
      <c r="Q301" s="5" t="str">
        <f ca="1">IFERROR(__xludf.DUMMYFUNCTION("""COMPUTED_VALUE"""),"")</f>
        <v/>
      </c>
      <c r="R301" s="5" t="str">
        <f ca="1">IFERROR(__xludf.DUMMYFUNCTION("""COMPUTED_VALUE"""),"")</f>
        <v/>
      </c>
      <c r="S301" s="5" t="str">
        <f ca="1">IFERROR(__xludf.DUMMYFUNCTION("""COMPUTED_VALUE"""),"")</f>
        <v/>
      </c>
      <c r="T301" s="5" t="str">
        <f ca="1">IFERROR(__xludf.DUMMYFUNCTION("""COMPUTED_VALUE"""),"")</f>
        <v/>
      </c>
      <c r="U301" s="5"/>
      <c r="V301" s="5"/>
    </row>
    <row r="302" spans="1:22" ht="13.2">
      <c r="A302" s="1"/>
      <c r="B302" s="1"/>
      <c r="C302" s="1"/>
      <c r="D302" s="58"/>
      <c r="E302" s="1"/>
      <c r="F302" s="1"/>
      <c r="G302" s="59"/>
      <c r="H302" s="1"/>
      <c r="I302" s="1"/>
      <c r="J302" s="4"/>
      <c r="K302" s="5" t="str">
        <f ca="1">IFERROR(__xludf.DUMMYFUNCTION("""COMPUTED_VALUE"""),"")</f>
        <v/>
      </c>
      <c r="L302" s="5" t="str">
        <f ca="1">IFERROR(__xludf.DUMMYFUNCTION("""COMPUTED_VALUE"""),"")</f>
        <v/>
      </c>
      <c r="M302" s="5" t="str">
        <f ca="1">IFERROR(__xludf.DUMMYFUNCTION("""COMPUTED_VALUE"""),"")</f>
        <v/>
      </c>
      <c r="N302" s="5" t="str">
        <f ca="1">IFERROR(__xludf.DUMMYFUNCTION("""COMPUTED_VALUE"""),"")</f>
        <v/>
      </c>
      <c r="O302" s="5"/>
      <c r="P302" s="5"/>
      <c r="Q302" s="5" t="str">
        <f ca="1">IFERROR(__xludf.DUMMYFUNCTION("""COMPUTED_VALUE"""),"")</f>
        <v/>
      </c>
      <c r="R302" s="5" t="str">
        <f ca="1">IFERROR(__xludf.DUMMYFUNCTION("""COMPUTED_VALUE"""),"")</f>
        <v/>
      </c>
      <c r="S302" s="5" t="str">
        <f ca="1">IFERROR(__xludf.DUMMYFUNCTION("""COMPUTED_VALUE"""),"")</f>
        <v/>
      </c>
      <c r="T302" s="5" t="str">
        <f ca="1">IFERROR(__xludf.DUMMYFUNCTION("""COMPUTED_VALUE"""),"")</f>
        <v/>
      </c>
      <c r="U302" s="5"/>
      <c r="V302" s="5"/>
    </row>
    <row r="303" spans="1:22" ht="13.2">
      <c r="A303" s="1"/>
      <c r="B303" s="1"/>
      <c r="C303" s="1"/>
      <c r="D303" s="58"/>
      <c r="E303" s="1"/>
      <c r="F303" s="1"/>
      <c r="G303" s="59"/>
      <c r="H303" s="1"/>
      <c r="I303" s="1"/>
      <c r="J303" s="4"/>
      <c r="K303" s="5" t="str">
        <f ca="1">IFERROR(__xludf.DUMMYFUNCTION("""COMPUTED_VALUE"""),"")</f>
        <v/>
      </c>
      <c r="L303" s="5" t="str">
        <f ca="1">IFERROR(__xludf.DUMMYFUNCTION("""COMPUTED_VALUE"""),"")</f>
        <v/>
      </c>
      <c r="M303" s="5" t="str">
        <f ca="1">IFERROR(__xludf.DUMMYFUNCTION("""COMPUTED_VALUE"""),"")</f>
        <v/>
      </c>
      <c r="N303" s="5" t="str">
        <f ca="1">IFERROR(__xludf.DUMMYFUNCTION("""COMPUTED_VALUE"""),"")</f>
        <v/>
      </c>
      <c r="O303" s="5"/>
      <c r="P303" s="5"/>
      <c r="Q303" s="5" t="str">
        <f ca="1">IFERROR(__xludf.DUMMYFUNCTION("""COMPUTED_VALUE"""),"")</f>
        <v/>
      </c>
      <c r="R303" s="5" t="str">
        <f ca="1">IFERROR(__xludf.DUMMYFUNCTION("""COMPUTED_VALUE"""),"")</f>
        <v/>
      </c>
      <c r="S303" s="5" t="str">
        <f ca="1">IFERROR(__xludf.DUMMYFUNCTION("""COMPUTED_VALUE"""),"")</f>
        <v/>
      </c>
      <c r="T303" s="5" t="str">
        <f ca="1">IFERROR(__xludf.DUMMYFUNCTION("""COMPUTED_VALUE"""),"")</f>
        <v/>
      </c>
      <c r="U303" s="5"/>
      <c r="V303" s="5"/>
    </row>
    <row r="304" spans="1:22" ht="13.2">
      <c r="A304" s="1"/>
      <c r="B304" s="1"/>
      <c r="C304" s="1"/>
      <c r="D304" s="58"/>
      <c r="E304" s="1"/>
      <c r="F304" s="1"/>
      <c r="G304" s="59"/>
      <c r="H304" s="1"/>
      <c r="I304" s="1"/>
      <c r="J304" s="4"/>
      <c r="K304" s="5" t="str">
        <f ca="1">IFERROR(__xludf.DUMMYFUNCTION("""COMPUTED_VALUE"""),"")</f>
        <v/>
      </c>
      <c r="L304" s="5" t="str">
        <f ca="1">IFERROR(__xludf.DUMMYFUNCTION("""COMPUTED_VALUE"""),"")</f>
        <v/>
      </c>
      <c r="M304" s="5" t="str">
        <f ca="1">IFERROR(__xludf.DUMMYFUNCTION("""COMPUTED_VALUE"""),"")</f>
        <v/>
      </c>
      <c r="N304" s="5" t="str">
        <f ca="1">IFERROR(__xludf.DUMMYFUNCTION("""COMPUTED_VALUE"""),"")</f>
        <v/>
      </c>
      <c r="O304" s="5"/>
      <c r="P304" s="5"/>
      <c r="Q304" s="5" t="str">
        <f ca="1">IFERROR(__xludf.DUMMYFUNCTION("""COMPUTED_VALUE"""),"")</f>
        <v/>
      </c>
      <c r="R304" s="5" t="str">
        <f ca="1">IFERROR(__xludf.DUMMYFUNCTION("""COMPUTED_VALUE"""),"")</f>
        <v/>
      </c>
      <c r="S304" s="5" t="str">
        <f ca="1">IFERROR(__xludf.DUMMYFUNCTION("""COMPUTED_VALUE"""),"")</f>
        <v/>
      </c>
      <c r="T304" s="5" t="str">
        <f ca="1">IFERROR(__xludf.DUMMYFUNCTION("""COMPUTED_VALUE"""),"")</f>
        <v/>
      </c>
      <c r="U304" s="5"/>
      <c r="V304" s="5"/>
    </row>
    <row r="305" spans="1:22" ht="13.2">
      <c r="A305" s="1"/>
      <c r="B305" s="1"/>
      <c r="C305" s="1"/>
      <c r="D305" s="58"/>
      <c r="E305" s="1"/>
      <c r="F305" s="1"/>
      <c r="G305" s="59"/>
      <c r="H305" s="1"/>
      <c r="I305" s="1"/>
      <c r="J305" s="4"/>
      <c r="K305" s="5" t="str">
        <f ca="1">IFERROR(__xludf.DUMMYFUNCTION("""COMPUTED_VALUE"""),"")</f>
        <v/>
      </c>
      <c r="L305" s="5" t="str">
        <f ca="1">IFERROR(__xludf.DUMMYFUNCTION("""COMPUTED_VALUE"""),"")</f>
        <v/>
      </c>
      <c r="M305" s="5" t="str">
        <f ca="1">IFERROR(__xludf.DUMMYFUNCTION("""COMPUTED_VALUE"""),"")</f>
        <v/>
      </c>
      <c r="N305" s="5" t="str">
        <f ca="1">IFERROR(__xludf.DUMMYFUNCTION("""COMPUTED_VALUE"""),"")</f>
        <v/>
      </c>
      <c r="O305" s="5"/>
      <c r="P305" s="5"/>
      <c r="Q305" s="5" t="str">
        <f ca="1">IFERROR(__xludf.DUMMYFUNCTION("""COMPUTED_VALUE"""),"")</f>
        <v/>
      </c>
      <c r="R305" s="5" t="str">
        <f ca="1">IFERROR(__xludf.DUMMYFUNCTION("""COMPUTED_VALUE"""),"")</f>
        <v/>
      </c>
      <c r="S305" s="5" t="str">
        <f ca="1">IFERROR(__xludf.DUMMYFUNCTION("""COMPUTED_VALUE"""),"")</f>
        <v/>
      </c>
      <c r="T305" s="5" t="str">
        <f ca="1">IFERROR(__xludf.DUMMYFUNCTION("""COMPUTED_VALUE"""),"")</f>
        <v/>
      </c>
      <c r="U305" s="5"/>
      <c r="V305" s="5"/>
    </row>
    <row r="306" spans="1:22" ht="13.2">
      <c r="A306" s="1"/>
      <c r="B306" s="1"/>
      <c r="C306" s="1"/>
      <c r="D306" s="58"/>
      <c r="E306" s="1"/>
      <c r="F306" s="1"/>
      <c r="G306" s="59"/>
      <c r="H306" s="1"/>
      <c r="I306" s="1"/>
      <c r="J306" s="4"/>
      <c r="K306" s="5" t="str">
        <f ca="1">IFERROR(__xludf.DUMMYFUNCTION("""COMPUTED_VALUE"""),"")</f>
        <v/>
      </c>
      <c r="L306" s="5" t="str">
        <f ca="1">IFERROR(__xludf.DUMMYFUNCTION("""COMPUTED_VALUE"""),"")</f>
        <v/>
      </c>
      <c r="M306" s="5" t="str">
        <f ca="1">IFERROR(__xludf.DUMMYFUNCTION("""COMPUTED_VALUE"""),"")</f>
        <v/>
      </c>
      <c r="N306" s="5" t="str">
        <f ca="1">IFERROR(__xludf.DUMMYFUNCTION("""COMPUTED_VALUE"""),"")</f>
        <v/>
      </c>
      <c r="O306" s="5"/>
      <c r="P306" s="5"/>
      <c r="Q306" s="5" t="str">
        <f ca="1">IFERROR(__xludf.DUMMYFUNCTION("""COMPUTED_VALUE"""),"")</f>
        <v/>
      </c>
      <c r="R306" s="5" t="str">
        <f ca="1">IFERROR(__xludf.DUMMYFUNCTION("""COMPUTED_VALUE"""),"")</f>
        <v/>
      </c>
      <c r="S306" s="5" t="str">
        <f ca="1">IFERROR(__xludf.DUMMYFUNCTION("""COMPUTED_VALUE"""),"")</f>
        <v/>
      </c>
      <c r="T306" s="5" t="str">
        <f ca="1">IFERROR(__xludf.DUMMYFUNCTION("""COMPUTED_VALUE"""),"")</f>
        <v/>
      </c>
      <c r="U306" s="5"/>
      <c r="V306" s="5"/>
    </row>
    <row r="307" spans="1:22" ht="13.2">
      <c r="A307" s="1"/>
      <c r="B307" s="1"/>
      <c r="C307" s="1"/>
      <c r="D307" s="58"/>
      <c r="E307" s="1"/>
      <c r="F307" s="1"/>
      <c r="G307" s="59"/>
      <c r="H307" s="1"/>
      <c r="I307" s="1"/>
      <c r="J307" s="4"/>
      <c r="K307" s="29" t="str">
        <f ca="1">IFERROR(__xludf.DUMMYFUNCTION("""COMPUTED_VALUE"""),"")</f>
        <v/>
      </c>
      <c r="L307" s="29" t="str">
        <f ca="1">IFERROR(__xludf.DUMMYFUNCTION("""COMPUTED_VALUE"""),"")</f>
        <v/>
      </c>
      <c r="M307" s="29" t="str">
        <f ca="1">IFERROR(__xludf.DUMMYFUNCTION("""COMPUTED_VALUE"""),"")</f>
        <v/>
      </c>
      <c r="N307" s="29" t="str">
        <f ca="1">IFERROR(__xludf.DUMMYFUNCTION("""COMPUTED_VALUE"""),"")</f>
        <v/>
      </c>
      <c r="O307" s="29"/>
      <c r="P307" s="29"/>
      <c r="Q307" s="29" t="str">
        <f ca="1">IFERROR(__xludf.DUMMYFUNCTION("""COMPUTED_VALUE"""),"")</f>
        <v/>
      </c>
      <c r="R307" s="29" t="str">
        <f ca="1">IFERROR(__xludf.DUMMYFUNCTION("""COMPUTED_VALUE"""),"")</f>
        <v/>
      </c>
      <c r="S307" s="29" t="str">
        <f ca="1">IFERROR(__xludf.DUMMYFUNCTION("""COMPUTED_VALUE"""),"")</f>
        <v/>
      </c>
      <c r="T307" s="29" t="str">
        <f ca="1">IFERROR(__xludf.DUMMYFUNCTION("""COMPUTED_VALUE"""),"")</f>
        <v/>
      </c>
      <c r="U307" s="29"/>
      <c r="V307" s="29"/>
    </row>
    <row r="308" spans="1:22" ht="15.6">
      <c r="A308" s="19" t="str">
        <f>LEFT($D311,2)&amp;"b"</f>
        <v>13b</v>
      </c>
      <c r="B308" s="20"/>
      <c r="C308" s="14" t="str">
        <f>"Age Group: " &amp; D311</f>
        <v>Age Group: 13 &amp; Over Boys</v>
      </c>
      <c r="D308" s="21"/>
      <c r="E308" s="20"/>
      <c r="F308" s="20"/>
      <c r="G308" s="23" t="str">
        <f>G208</f>
        <v>Event Date:</v>
      </c>
      <c r="H308" s="199">
        <f>C$1</f>
        <v>45480</v>
      </c>
      <c r="I308" s="194"/>
      <c r="J308" s="4"/>
      <c r="K308" s="5" t="str">
        <f ca="1">IFERROR(__xludf.DUMMYFUNCTION("""COMPUTED_VALUE"""),"")</f>
        <v/>
      </c>
      <c r="L308" s="5" t="str">
        <f ca="1">IFERROR(__xludf.DUMMYFUNCTION("""COMPUTED_VALUE"""),"")</f>
        <v/>
      </c>
      <c r="M308" s="5" t="str">
        <f ca="1">IFERROR(__xludf.DUMMYFUNCTION("""COMPUTED_VALUE"""),"")</f>
        <v/>
      </c>
      <c r="N308" s="5" t="str">
        <f ca="1">IFERROR(__xludf.DUMMYFUNCTION("""COMPUTED_VALUE"""),"")</f>
        <v/>
      </c>
      <c r="O308" s="5"/>
      <c r="P308" s="5"/>
      <c r="Q308" s="5" t="str">
        <f ca="1">IFERROR(__xludf.DUMMYFUNCTION("""COMPUTED_VALUE"""),"")</f>
        <v/>
      </c>
      <c r="R308" s="5" t="str">
        <f ca="1">IFERROR(__xludf.DUMMYFUNCTION("""COMPUTED_VALUE"""),"")</f>
        <v/>
      </c>
      <c r="S308" s="5" t="str">
        <f ca="1">IFERROR(__xludf.DUMMYFUNCTION("""COMPUTED_VALUE"""),"")</f>
        <v/>
      </c>
      <c r="T308" s="5" t="str">
        <f ca="1">IFERROR(__xludf.DUMMYFUNCTION("""COMPUTED_VALUE"""),"")</f>
        <v/>
      </c>
      <c r="U308" s="5"/>
      <c r="V308" s="5"/>
    </row>
    <row r="309" spans="1:22" ht="13.2">
      <c r="A309" s="1"/>
      <c r="B309" s="20"/>
      <c r="C309" s="25" t="str">
        <f t="shared" ref="C309:C312" si="11">C209</f>
        <v>* Enter Diver name, event and score in yellow sections, (enter "DQ" for score as needed)
* Diver is allowed to dive-up a division, as long as the other diver is age-appropriate
* If you need to move a diver, please DO NOT cut/paste them, please DO copy/paste them instead.
* When pasting data, to help preserve the formatting, please use edit&gt;pasteSpecial&gt;valuesOnly (shift+cntl+v), :-)</v>
      </c>
      <c r="D309" s="2"/>
      <c r="E309" s="20"/>
      <c r="F309" s="20"/>
      <c r="G309" s="71"/>
      <c r="H309" s="20"/>
      <c r="I309" s="20"/>
      <c r="J309" s="4"/>
      <c r="K309" s="5" t="str">
        <f ca="1">IFERROR(__xludf.DUMMYFUNCTION("""COMPUTED_VALUE"""),"")</f>
        <v/>
      </c>
      <c r="L309" s="5" t="str">
        <f ca="1">IFERROR(__xludf.DUMMYFUNCTION("""COMPUTED_VALUE"""),"")</f>
        <v/>
      </c>
      <c r="M309" s="5" t="str">
        <f ca="1">IFERROR(__xludf.DUMMYFUNCTION("""COMPUTED_VALUE"""),"")</f>
        <v/>
      </c>
      <c r="N309" s="5" t="str">
        <f ca="1">IFERROR(__xludf.DUMMYFUNCTION("""COMPUTED_VALUE"""),"")</f>
        <v/>
      </c>
      <c r="O309" s="5"/>
      <c r="P309" s="5"/>
      <c r="Q309" s="5" t="str">
        <f ca="1">IFERROR(__xludf.DUMMYFUNCTION("""COMPUTED_VALUE"""),"")</f>
        <v/>
      </c>
      <c r="R309" s="5" t="str">
        <f ca="1">IFERROR(__xludf.DUMMYFUNCTION("""COMPUTED_VALUE"""),"")</f>
        <v/>
      </c>
      <c r="S309" s="5" t="str">
        <f ca="1">IFERROR(__xludf.DUMMYFUNCTION("""COMPUTED_VALUE"""),"")</f>
        <v/>
      </c>
      <c r="T309" s="5" t="str">
        <f ca="1">IFERROR(__xludf.DUMMYFUNCTION("""COMPUTED_VALUE"""),"")</f>
        <v/>
      </c>
      <c r="U309" s="5"/>
      <c r="V309" s="5"/>
    </row>
    <row r="310" spans="1:22" ht="13.2">
      <c r="A310" s="1"/>
      <c r="B310" s="20"/>
      <c r="C310" s="25" t="str">
        <f t="shared" si="11"/>
        <v>* Enter Judge, Rep and any comments below Diver Details, and change "Report Status" when done
* Click "MeetResults" tab at bottom to review team scores and diver placement</v>
      </c>
      <c r="D310" s="2"/>
      <c r="E310" s="20"/>
      <c r="F310" s="20"/>
      <c r="G310" s="71"/>
      <c r="H310" s="20"/>
      <c r="I310" s="20"/>
      <c r="J310" s="4"/>
      <c r="K310" s="5" t="str">
        <f ca="1">IFERROR(__xludf.DUMMYFUNCTION("""COMPUTED_VALUE"""),"")</f>
        <v/>
      </c>
      <c r="L310" s="5" t="str">
        <f ca="1">IFERROR(__xludf.DUMMYFUNCTION("""COMPUTED_VALUE"""),"")</f>
        <v/>
      </c>
      <c r="M310" s="5" t="str">
        <f ca="1">IFERROR(__xludf.DUMMYFUNCTION("""COMPUTED_VALUE"""),"")</f>
        <v/>
      </c>
      <c r="N310" s="5" t="str">
        <f ca="1">IFERROR(__xludf.DUMMYFUNCTION("""COMPUTED_VALUE"""),"")</f>
        <v/>
      </c>
      <c r="O310" s="5"/>
      <c r="P310" s="5"/>
      <c r="Q310" s="5" t="str">
        <f ca="1">IFERROR(__xludf.DUMMYFUNCTION("""COMPUTED_VALUE"""),"")</f>
        <v/>
      </c>
      <c r="R310" s="5" t="str">
        <f ca="1">IFERROR(__xludf.DUMMYFUNCTION("""COMPUTED_VALUE"""),"")</f>
        <v/>
      </c>
      <c r="S310" s="5" t="str">
        <f ca="1">IFERROR(__xludf.DUMMYFUNCTION("""COMPUTED_VALUE"""),"")</f>
        <v/>
      </c>
      <c r="T310" s="5" t="str">
        <f ca="1">IFERROR(__xludf.DUMMYFUNCTION("""COMPUTED_VALUE"""),"")</f>
        <v/>
      </c>
      <c r="U310" s="5"/>
      <c r="V310" s="5"/>
    </row>
    <row r="311" spans="1:22" ht="15.6">
      <c r="A311" s="1"/>
      <c r="B311" s="27"/>
      <c r="C311" s="28" t="str">
        <f t="shared" si="11"/>
        <v>Age and Gender</v>
      </c>
      <c r="D311" s="200" t="s">
        <v>12</v>
      </c>
      <c r="E311" s="201"/>
      <c r="F311" s="201"/>
      <c r="G311" s="201"/>
      <c r="H311" s="27"/>
      <c r="I311" s="27"/>
      <c r="J311" s="4"/>
      <c r="K311" s="24" t="str">
        <f ca="1">IFERROR(__xludf.DUMMYFUNCTION("""COMPUTED_VALUE"""),"")</f>
        <v/>
      </c>
      <c r="L311" s="24" t="str">
        <f ca="1">IFERROR(__xludf.DUMMYFUNCTION("""COMPUTED_VALUE"""),"")</f>
        <v/>
      </c>
      <c r="M311" s="24" t="str">
        <f ca="1">IFERROR(__xludf.DUMMYFUNCTION("""COMPUTED_VALUE"""),"")</f>
        <v/>
      </c>
      <c r="N311" s="24" t="str">
        <f ca="1">IFERROR(__xludf.DUMMYFUNCTION("""COMPUTED_VALUE"""),"")</f>
        <v/>
      </c>
      <c r="O311" s="24"/>
      <c r="P311" s="24"/>
      <c r="Q311" s="24" t="str">
        <f ca="1">IFERROR(__xludf.DUMMYFUNCTION("""COMPUTED_VALUE"""),"")</f>
        <v/>
      </c>
      <c r="R311" s="24" t="str">
        <f ca="1">IFERROR(__xludf.DUMMYFUNCTION("""COMPUTED_VALUE"""),"")</f>
        <v/>
      </c>
      <c r="S311" s="5" t="str">
        <f ca="1">IFERROR(__xludf.DUMMYFUNCTION("""COMPUTED_VALUE"""),"")</f>
        <v/>
      </c>
      <c r="T311" s="5" t="str">
        <f ca="1">IFERROR(__xludf.DUMMYFUNCTION("""COMPUTED_VALUE"""),"")</f>
        <v/>
      </c>
      <c r="U311" s="5"/>
      <c r="V311" s="5"/>
    </row>
    <row r="312" spans="1:22" ht="15.6">
      <c r="A312" s="1"/>
      <c r="B312" s="30"/>
      <c r="C312" s="31" t="str">
        <f t="shared" si="11"/>
        <v>Diver 1 Name</v>
      </c>
      <c r="D312" s="32" t="str">
        <f t="shared" ref="D312:G312" si="12">D212</f>
        <v>Diver 1 Club</v>
      </c>
      <c r="E312" s="31" t="str">
        <f t="shared" si="12"/>
        <v>Diver 2 Name</v>
      </c>
      <c r="F312" s="32" t="str">
        <f t="shared" si="12"/>
        <v>Diver 2 Club</v>
      </c>
      <c r="G312" s="33" t="str">
        <f t="shared" si="12"/>
        <v>Score</v>
      </c>
      <c r="H312" s="34" t="s">
        <v>268</v>
      </c>
      <c r="I312" s="34" t="s">
        <v>269</v>
      </c>
      <c r="J312" s="4"/>
      <c r="K312" s="24" t="str">
        <f ca="1">IFERROR(__xludf.DUMMYFUNCTION("""COMPUTED_VALUE"""),"")</f>
        <v/>
      </c>
      <c r="L312" s="24" t="str">
        <f ca="1">IFERROR(__xludf.DUMMYFUNCTION("""COMPUTED_VALUE"""),"")</f>
        <v/>
      </c>
      <c r="M312" s="24" t="str">
        <f ca="1">IFERROR(__xludf.DUMMYFUNCTION("""COMPUTED_VALUE"""),"")</f>
        <v/>
      </c>
      <c r="N312" s="24" t="str">
        <f ca="1">IFERROR(__xludf.DUMMYFUNCTION("""COMPUTED_VALUE"""),"")</f>
        <v/>
      </c>
      <c r="O312" s="24"/>
      <c r="P312" s="24"/>
      <c r="Q312" s="24" t="str">
        <f ca="1">IFERROR(__xludf.DUMMYFUNCTION("""COMPUTED_VALUE"""),"")</f>
        <v/>
      </c>
      <c r="R312" s="24" t="str">
        <f ca="1">IFERROR(__xludf.DUMMYFUNCTION("""COMPUTED_VALUE"""),"")</f>
        <v/>
      </c>
      <c r="S312" s="24" t="str">
        <f ca="1">IFERROR(__xludf.DUMMYFUNCTION("""COMPUTED_VALUE"""),"")</f>
        <v/>
      </c>
      <c r="T312" s="24" t="str">
        <f ca="1">IFERROR(__xludf.DUMMYFUNCTION("""COMPUTED_VALUE"""),"")</f>
        <v/>
      </c>
      <c r="U312" s="24" t="str">
        <f t="shared" ref="U312:V312" si="13">U$12</f>
        <v/>
      </c>
      <c r="V312" s="24">
        <f t="shared" si="13"/>
        <v>0</v>
      </c>
    </row>
    <row r="313" spans="1:22" ht="13.2">
      <c r="A313" s="1" t="e">
        <f t="array" aca="1" ref="A313:A362" ca="1">_xludf.SEQUENCE( 50 )</f>
        <v>#NAME?</v>
      </c>
      <c r="B313" s="35">
        <v>346</v>
      </c>
      <c r="C313" s="36" t="s">
        <v>206</v>
      </c>
      <c r="D313" s="37" t="s">
        <v>43</v>
      </c>
      <c r="E313" s="36" t="s">
        <v>207</v>
      </c>
      <c r="F313" s="37" t="s">
        <v>43</v>
      </c>
      <c r="G313" s="42">
        <v>81.39</v>
      </c>
      <c r="H313" s="40" t="s">
        <v>38</v>
      </c>
      <c r="I313" s="40" t="s">
        <v>38</v>
      </c>
      <c r="J313" s="4"/>
      <c r="K313" s="41" t="str">
        <f ca="1">IFERROR(__xludf.DUMMYFUNCTION("""COMPUTED_VALUE"""),"Gabe Newtson")</f>
        <v>Gabe Newtson</v>
      </c>
      <c r="L313" s="5" t="str">
        <f ca="1">IFERROR(__xludf.DUMMYFUNCTION("""COMPUTED_VALUE"""),"RH")</f>
        <v>RH</v>
      </c>
      <c r="M313" s="5" t="str">
        <f ca="1">IFERROR(__xludf.DUMMYFUNCTION("""COMPUTED_VALUE"""),"B13")</f>
        <v>B13</v>
      </c>
      <c r="N313" s="5">
        <f ca="1">IFERROR(__xludf.DUMMYFUNCTION("""COMPUTED_VALUE"""),5)</f>
        <v>5</v>
      </c>
      <c r="O313" s="5"/>
      <c r="P313" s="41" t="str">
        <f ca="1">IFERROR(__xludf.DUMMYFUNCTION("ARRAYFORMULA( IF(  (   NOT( ISNUMBER( VALUE($A313:$A362)) )+(   ( C313:C362="""" )*( E313:E362="""" )   )   ), """", 
 IF( ISNA( K313:K362 ), ""Diver-NF"", 
 IF( (K313:K362 = """") * (Q313:Q362 &lt;&gt; """"), ""Diver-NF"", 
 IF( (   ( ISNA( L313:L362 ))+( D313"&amp;":D362 &lt;&gt; L313:L362 )   ), ""Club-""&amp;L313:L362,
 IF( VLOOKUP( K313:K362&amp;L313:L362, QUERY( { $C:$C&amp;$D:$D; $E:$E&amp;$F:$F }, ""SELECT Col1, COUNT(Col1) GROUP BY Col1 LABEL COUNT(Col1) ''""),2,0 ) &gt; 1, ""Duplicate"",
 IF( UPPER( LEFT( M313:M362,1))&lt;&gt; UPPER( RIGH"&amp;"T( $A308, 1)),""Gender"",
 IF( VALUE( MID( M313:M362,2,2)) &lt; VALUE( TRIM( LEFT( $D311,2))),""Age-"" &amp; MID( M313:M362,2,2),""""))))
))))"),"")</f>
        <v/>
      </c>
      <c r="Q313" s="41" t="str">
        <f ca="1">IFERROR(__xludf.DUMMYFUNCTION("""COMPUTED_VALUE"""),"Griffin Wagner")</f>
        <v>Griffin Wagner</v>
      </c>
      <c r="R313" s="5" t="str">
        <f ca="1">IFERROR(__xludf.DUMMYFUNCTION("""COMPUTED_VALUE"""),"RH")</f>
        <v>RH</v>
      </c>
      <c r="S313" s="5" t="str">
        <f ca="1">IFERROR(__xludf.DUMMYFUNCTION("""COMPUTED_VALUE"""),"B14")</f>
        <v>B14</v>
      </c>
      <c r="T313" s="5">
        <f ca="1">IFERROR(__xludf.DUMMYFUNCTION("""COMPUTED_VALUE"""),4)</f>
        <v>4</v>
      </c>
      <c r="U313" s="5">
        <f t="array" aca="1" ref="U313:U362" ca="1">IF($E313:$E362="","", VLOOKUP(VLOOKUP(VALUE(MID(S313:S362,2,2)),'Lookup-Generic'!$G:$H,2,0)&amp;LEFT(S313:S362,1),'Lookup-Generic'!$M:$N,2,0))</f>
        <v>129</v>
      </c>
      <c r="V313" s="5" t="str">
        <f ca="1">IFERROR(__xludf.DUMMYFUNCTION("ARRAYFORMULA( IF(  (   NOT( ISNUMBER( VALUE($A313:$A362)) )+(   ( $C313:$C362="""" )*( $E313:$E362="""" )   )   ), """",  
 IF( ISNA( Q313:Q362 ), ""Diver-NF"", 
 IF( ($K313:$K362 &lt;&gt; """") * ($Q313:$Q362 = """"), ""Diver-NF"", 
 IF( (   ( ISNA( R313:R362 "&amp;"))+( F313:F362 &lt;&gt; R313:R362 )   ), ""Club-""&amp;R313:R362,
 IF( VLOOKUP( Q313:Q362&amp;R313:R362, QUERY( { $C:$C&amp;$D:$D; $E:$E&amp;$F:$F }, ""SELECT Col1, COUNT(Col1) GROUP BY Col1 LABEL COUNT(Col1) ''""),2,0 ) &gt; 1, ""Duplicate"",
 IF( UPPER( LEFT( S313:S362,1))&lt;&gt; UP"&amp;"PER( RIGHT( $A308, 1)),""Gender"",
 IF( VALUE( MID( S313:S362,2,2)) &lt; VALUE( TRIM( LEFT( $D311,2))),""Age-"" &amp; MID( S313:S362,2,2),""""))))
))))"),"")</f>
        <v/>
      </c>
    </row>
    <row r="314" spans="1:22" ht="13.2">
      <c r="A314" s="1" t="e">
        <f ca="1"/>
        <v>#NAME?</v>
      </c>
      <c r="B314" s="30">
        <v>486</v>
      </c>
      <c r="C314" s="36" t="s">
        <v>208</v>
      </c>
      <c r="D314" s="37" t="s">
        <v>209</v>
      </c>
      <c r="E314" s="36" t="s">
        <v>210</v>
      </c>
      <c r="F314" s="37" t="s">
        <v>209</v>
      </c>
      <c r="G314" s="42">
        <v>85.77</v>
      </c>
      <c r="H314" s="40" t="s">
        <v>38</v>
      </c>
      <c r="I314" s="40" t="s">
        <v>38</v>
      </c>
      <c r="J314" s="4"/>
      <c r="K314" s="41" t="str">
        <f ca="1">IFERROR(__xludf.DUMMYFUNCTION("""COMPUTED_VALUE"""),"Asher Lanthier")</f>
        <v>Asher Lanthier</v>
      </c>
      <c r="L314" s="5" t="str">
        <f ca="1">IFERROR(__xludf.DUMMYFUNCTION("""COMPUTED_VALUE"""),"WG")</f>
        <v>WG</v>
      </c>
      <c r="M314" s="5" t="str">
        <f ca="1">IFERROR(__xludf.DUMMYFUNCTION("""COMPUTED_VALUE"""),"B14")</f>
        <v>B14</v>
      </c>
      <c r="N314" s="5">
        <f ca="1">IFERROR(__xludf.DUMMYFUNCTION("""COMPUTED_VALUE"""),5)</f>
        <v>5</v>
      </c>
      <c r="O314" s="5"/>
      <c r="P314" s="41" t="str">
        <f ca="1">IFERROR(__xludf.DUMMYFUNCTION("""COMPUTED_VALUE"""),"")</f>
        <v/>
      </c>
      <c r="Q314" s="41" t="str">
        <f ca="1">IFERROR(__xludf.DUMMYFUNCTION("""COMPUTED_VALUE"""),"Jonah Lanthier")</f>
        <v>Jonah Lanthier</v>
      </c>
      <c r="R314" s="5" t="str">
        <f ca="1">IFERROR(__xludf.DUMMYFUNCTION("""COMPUTED_VALUE"""),"WG")</f>
        <v>WG</v>
      </c>
      <c r="S314" s="5" t="str">
        <f ca="1">IFERROR(__xludf.DUMMYFUNCTION("""COMPUTED_VALUE"""),"B13")</f>
        <v>B13</v>
      </c>
      <c r="T314" s="5">
        <f ca="1">IFERROR(__xludf.DUMMYFUNCTION("""COMPUTED_VALUE"""),5)</f>
        <v>5</v>
      </c>
      <c r="U314" s="5">
        <f ca="1"/>
        <v>129</v>
      </c>
      <c r="V314" s="5" t="str">
        <f ca="1">IFERROR(__xludf.DUMMYFUNCTION("""COMPUTED_VALUE"""),"")</f>
        <v/>
      </c>
    </row>
    <row r="315" spans="1:22" ht="13.2">
      <c r="A315" s="1" t="e">
        <f ca="1"/>
        <v>#NAME?</v>
      </c>
      <c r="B315" s="30">
        <v>593</v>
      </c>
      <c r="C315" s="36" t="s">
        <v>211</v>
      </c>
      <c r="D315" s="37" t="s">
        <v>154</v>
      </c>
      <c r="E315" s="36" t="s">
        <v>212</v>
      </c>
      <c r="F315" s="37" t="s">
        <v>213</v>
      </c>
      <c r="G315" s="42">
        <v>132.66</v>
      </c>
      <c r="H315" s="40" t="s">
        <v>38</v>
      </c>
      <c r="I315" s="40" t="s">
        <v>38</v>
      </c>
      <c r="J315" s="4"/>
      <c r="K315" s="41" t="str">
        <f ca="1">IFERROR(__xludf.DUMMYFUNCTION("""COMPUTED_VALUE"""),"Ryan Mitchell")</f>
        <v>Ryan Mitchell</v>
      </c>
      <c r="L315" s="5" t="str">
        <f ca="1">IFERROR(__xludf.DUMMYFUNCTION("""COMPUTED_VALUE"""),"LV")</f>
        <v>LV</v>
      </c>
      <c r="M315" s="5" t="str">
        <f ca="1">IFERROR(__xludf.DUMMYFUNCTION("""COMPUTED_VALUE"""),"B18")</f>
        <v>B18</v>
      </c>
      <c r="N315" s="5">
        <f ca="1">IFERROR(__xludf.DUMMYFUNCTION("""COMPUTED_VALUE"""),5)</f>
        <v>5</v>
      </c>
      <c r="O315" s="5"/>
      <c r="P315" s="41" t="str">
        <f ca="1">IFERROR(__xludf.DUMMYFUNCTION("""COMPUTED_VALUE"""),"")</f>
        <v/>
      </c>
      <c r="Q315" s="41" t="str">
        <f ca="1">IFERROR(__xludf.DUMMYFUNCTION("""COMPUTED_VALUE"""),"Ryan Wells")</f>
        <v>Ryan Wells</v>
      </c>
      <c r="R315" s="5" t="str">
        <f ca="1">IFERROR(__xludf.DUMMYFUNCTION("""COMPUTED_VALUE"""),"CCC")</f>
        <v>CCC</v>
      </c>
      <c r="S315" s="5" t="str">
        <f ca="1">IFERROR(__xludf.DUMMYFUNCTION("""COMPUTED_VALUE"""),"B16")</f>
        <v>B16</v>
      </c>
      <c r="T315" s="5">
        <f ca="1">IFERROR(__xludf.DUMMYFUNCTION("""COMPUTED_VALUE"""),3)</f>
        <v>3</v>
      </c>
      <c r="U315" s="5">
        <f ca="1"/>
        <v>155</v>
      </c>
      <c r="V315" s="5" t="str">
        <f ca="1">IFERROR(__xludf.DUMMYFUNCTION("""COMPUTED_VALUE"""),"")</f>
        <v/>
      </c>
    </row>
    <row r="316" spans="1:22" ht="13.2">
      <c r="A316" s="1" t="e">
        <f ca="1"/>
        <v>#NAME?</v>
      </c>
      <c r="B316" s="30">
        <v>594</v>
      </c>
      <c r="C316" s="36" t="s">
        <v>214</v>
      </c>
      <c r="D316" s="37" t="s">
        <v>215</v>
      </c>
      <c r="E316" s="36" t="s">
        <v>216</v>
      </c>
      <c r="F316" s="37" t="s">
        <v>217</v>
      </c>
      <c r="G316" s="42">
        <v>68.64</v>
      </c>
      <c r="H316" s="40" t="s">
        <v>38</v>
      </c>
      <c r="I316" s="40" t="s">
        <v>38</v>
      </c>
      <c r="J316" s="4"/>
      <c r="K316" s="41" t="str">
        <f ca="1">IFERROR(__xludf.DUMMYFUNCTION("""COMPUTED_VALUE"""),"Luke Havasy")</f>
        <v>Luke Havasy</v>
      </c>
      <c r="L316" s="5" t="str">
        <f ca="1">IFERROR(__xludf.DUMMYFUNCTION("""COMPUTED_VALUE"""),"IC")</f>
        <v>IC</v>
      </c>
      <c r="M316" s="5" t="str">
        <f ca="1">IFERROR(__xludf.DUMMYFUNCTION("""COMPUTED_VALUE"""),"B13")</f>
        <v>B13</v>
      </c>
      <c r="N316" s="5">
        <f ca="1">IFERROR(__xludf.DUMMYFUNCTION("""COMPUTED_VALUE"""),4)</f>
        <v>4</v>
      </c>
      <c r="O316" s="5"/>
      <c r="P316" s="41" t="str">
        <f ca="1">IFERROR(__xludf.DUMMYFUNCTION("""COMPUTED_VALUE"""),"")</f>
        <v/>
      </c>
      <c r="Q316" s="41" t="str">
        <f ca="1">IFERROR(__xludf.DUMMYFUNCTION("""COMPUTED_VALUE"""),"Michael Sweeney")</f>
        <v>Michael Sweeney</v>
      </c>
      <c r="R316" s="5" t="str">
        <f ca="1">IFERROR(__xludf.DUMMYFUNCTION("""COMPUTED_VALUE"""),"A")</f>
        <v>A</v>
      </c>
      <c r="S316" s="5" t="str">
        <f ca="1">IFERROR(__xludf.DUMMYFUNCTION("""COMPUTED_VALUE"""),"B15")</f>
        <v>B15</v>
      </c>
      <c r="T316" s="5">
        <f ca="1">IFERROR(__xludf.DUMMYFUNCTION("""COMPUTED_VALUE"""),5)</f>
        <v>5</v>
      </c>
      <c r="U316" s="5">
        <f ca="1"/>
        <v>155</v>
      </c>
      <c r="V316" s="5" t="str">
        <f ca="1">IFERROR(__xludf.DUMMYFUNCTION("""COMPUTED_VALUE"""),"")</f>
        <v/>
      </c>
    </row>
    <row r="317" spans="1:22" ht="13.2">
      <c r="A317" s="1" t="e">
        <f ca="1"/>
        <v>#NAME?</v>
      </c>
      <c r="B317" s="30">
        <v>617</v>
      </c>
      <c r="C317" s="36" t="s">
        <v>218</v>
      </c>
      <c r="D317" s="37" t="s">
        <v>61</v>
      </c>
      <c r="E317" s="43" t="s">
        <v>219</v>
      </c>
      <c r="F317" s="37" t="s">
        <v>61</v>
      </c>
      <c r="G317" s="42">
        <v>70.11</v>
      </c>
      <c r="H317" s="40" t="s">
        <v>38</v>
      </c>
      <c r="I317" s="40" t="s">
        <v>38</v>
      </c>
      <c r="J317" s="4"/>
      <c r="K317" s="41" t="str">
        <f ca="1">IFERROR(__xludf.DUMMYFUNCTION("""COMPUTED_VALUE"""),"Jacob Couchman")</f>
        <v>Jacob Couchman</v>
      </c>
      <c r="L317" s="5" t="str">
        <f ca="1">IFERROR(__xludf.DUMMYFUNCTION("""COMPUTED_VALUE"""),"PAR")</f>
        <v>PAR</v>
      </c>
      <c r="M317" s="5" t="str">
        <f ca="1">IFERROR(__xludf.DUMMYFUNCTION("""COMPUTED_VALUE"""),"B15")</f>
        <v>B15</v>
      </c>
      <c r="N317" s="5">
        <f ca="1">IFERROR(__xludf.DUMMYFUNCTION("""COMPUTED_VALUE"""),5)</f>
        <v>5</v>
      </c>
      <c r="O317" s="5"/>
      <c r="P317" s="41" t="str">
        <f ca="1">IFERROR(__xludf.DUMMYFUNCTION("""COMPUTED_VALUE"""),"")</f>
        <v/>
      </c>
      <c r="Q317" s="41" t="str">
        <f ca="1">IFERROR(__xludf.DUMMYFUNCTION("""COMPUTED_VALUE"""),"Evan Vink")</f>
        <v>Evan Vink</v>
      </c>
      <c r="R317" s="5" t="str">
        <f ca="1">IFERROR(__xludf.DUMMYFUNCTION("""COMPUTED_VALUE"""),"PAR")</f>
        <v>PAR</v>
      </c>
      <c r="S317" s="5" t="str">
        <f ca="1">IFERROR(__xludf.DUMMYFUNCTION("""COMPUTED_VALUE"""),"B16")</f>
        <v>B16</v>
      </c>
      <c r="T317" s="5">
        <f ca="1">IFERROR(__xludf.DUMMYFUNCTION("""COMPUTED_VALUE"""),5)</f>
        <v>5</v>
      </c>
      <c r="U317" s="5">
        <f ca="1"/>
        <v>155</v>
      </c>
      <c r="V317" s="5" t="str">
        <f ca="1">IFERROR(__xludf.DUMMYFUNCTION("""COMPUTED_VALUE"""),"")</f>
        <v/>
      </c>
    </row>
    <row r="318" spans="1:22" ht="13.2">
      <c r="A318" s="1" t="e">
        <f ca="1"/>
        <v>#NAME?</v>
      </c>
      <c r="B318" s="30">
        <v>1022</v>
      </c>
      <c r="C318" s="36"/>
      <c r="D318" s="37"/>
      <c r="E318" s="36"/>
      <c r="F318" s="37"/>
      <c r="G318" s="42"/>
      <c r="H318" s="40" t="s">
        <v>38</v>
      </c>
      <c r="I318" s="40" t="s">
        <v>38</v>
      </c>
      <c r="J318" s="4"/>
      <c r="K318" s="41" t="str">
        <f ca="1">IFERROR(__xludf.DUMMYFUNCTION("""COMPUTED_VALUE"""),"")</f>
        <v/>
      </c>
      <c r="L318" s="5" t="str">
        <f ca="1">IFERROR(__xludf.DUMMYFUNCTION("""COMPUTED_VALUE"""),"")</f>
        <v/>
      </c>
      <c r="M318" s="5" t="str">
        <f ca="1">IFERROR(__xludf.DUMMYFUNCTION("""COMPUTED_VALUE"""),"")</f>
        <v/>
      </c>
      <c r="N318" s="5" t="str">
        <f ca="1">IFERROR(__xludf.DUMMYFUNCTION("""COMPUTED_VALUE"""),"")</f>
        <v/>
      </c>
      <c r="O318" s="5"/>
      <c r="P318" s="41" t="str">
        <f ca="1">IFERROR(__xludf.DUMMYFUNCTION("""COMPUTED_VALUE"""),"")</f>
        <v/>
      </c>
      <c r="Q318" s="41" t="str">
        <f ca="1">IFERROR(__xludf.DUMMYFUNCTION("""COMPUTED_VALUE"""),"")</f>
        <v/>
      </c>
      <c r="R318" s="5" t="str">
        <f ca="1">IFERROR(__xludf.DUMMYFUNCTION("""COMPUTED_VALUE"""),"")</f>
        <v/>
      </c>
      <c r="S318" s="5" t="str">
        <f ca="1">IFERROR(__xludf.DUMMYFUNCTION("""COMPUTED_VALUE"""),"")</f>
        <v/>
      </c>
      <c r="T318" s="5" t="str">
        <f ca="1">IFERROR(__xludf.DUMMYFUNCTION("""COMPUTED_VALUE"""),"")</f>
        <v/>
      </c>
      <c r="U318" s="5" t="str">
        <f ca="1"/>
        <v/>
      </c>
      <c r="V318" s="5" t="str">
        <f ca="1">IFERROR(__xludf.DUMMYFUNCTION("""COMPUTED_VALUE"""),"")</f>
        <v/>
      </c>
    </row>
    <row r="319" spans="1:22" ht="13.2">
      <c r="A319" s="1" t="e">
        <f ca="1"/>
        <v>#NAME?</v>
      </c>
      <c r="B319" s="30">
        <v>1107</v>
      </c>
      <c r="C319" s="36" t="s">
        <v>220</v>
      </c>
      <c r="D319" s="37" t="s">
        <v>74</v>
      </c>
      <c r="E319" s="36" t="s">
        <v>221</v>
      </c>
      <c r="F319" s="37" t="s">
        <v>74</v>
      </c>
      <c r="G319" s="42">
        <v>110.64</v>
      </c>
      <c r="H319" s="40" t="s">
        <v>38</v>
      </c>
      <c r="I319" s="40" t="s">
        <v>38</v>
      </c>
      <c r="J319" s="4"/>
      <c r="K319" s="41" t="str">
        <f ca="1">IFERROR(__xludf.DUMMYFUNCTION("""COMPUTED_VALUE"""),"Thibault Lede")</f>
        <v>Thibault Lede</v>
      </c>
      <c r="L319" s="5" t="str">
        <f ca="1">IFERROR(__xludf.DUMMYFUNCTION("""COMPUTED_VALUE"""),"OAK")</f>
        <v>OAK</v>
      </c>
      <c r="M319" s="5" t="str">
        <f ca="1">IFERROR(__xludf.DUMMYFUNCTION("""COMPUTED_VALUE"""),"B15")</f>
        <v>B15</v>
      </c>
      <c r="N319" s="5">
        <f ca="1">IFERROR(__xludf.DUMMYFUNCTION("""COMPUTED_VALUE"""),5)</f>
        <v>5</v>
      </c>
      <c r="O319" s="5"/>
      <c r="P319" s="41" t="str">
        <f ca="1">IFERROR(__xludf.DUMMYFUNCTION("""COMPUTED_VALUE"""),"")</f>
        <v/>
      </c>
      <c r="Q319" s="41" t="str">
        <f ca="1">IFERROR(__xludf.DUMMYFUNCTION("""COMPUTED_VALUE"""),"Bennett Wozny")</f>
        <v>Bennett Wozny</v>
      </c>
      <c r="R319" s="5" t="str">
        <f ca="1">IFERROR(__xludf.DUMMYFUNCTION("""COMPUTED_VALUE"""),"OAK")</f>
        <v>OAK</v>
      </c>
      <c r="S319" s="5" t="str">
        <f ca="1">IFERROR(__xludf.DUMMYFUNCTION("""COMPUTED_VALUE"""),"B18")</f>
        <v>B18</v>
      </c>
      <c r="T319" s="5">
        <f ca="1">IFERROR(__xludf.DUMMYFUNCTION("""COMPUTED_VALUE"""),2)</f>
        <v>2</v>
      </c>
      <c r="U319" s="5">
        <f ca="1"/>
        <v>155</v>
      </c>
      <c r="V319" s="5" t="str">
        <f ca="1">IFERROR(__xludf.DUMMYFUNCTION("""COMPUTED_VALUE"""),"")</f>
        <v/>
      </c>
    </row>
    <row r="320" spans="1:22" ht="13.2">
      <c r="A320" s="1" t="e">
        <f ca="1"/>
        <v>#NAME?</v>
      </c>
      <c r="B320" s="30">
        <v>1167</v>
      </c>
      <c r="C320" s="36" t="s">
        <v>222</v>
      </c>
      <c r="D320" s="37" t="s">
        <v>74</v>
      </c>
      <c r="E320" s="36" t="s">
        <v>223</v>
      </c>
      <c r="F320" s="37" t="s">
        <v>74</v>
      </c>
      <c r="G320" s="42">
        <v>133.77000000000001</v>
      </c>
      <c r="H320" s="40" t="s">
        <v>38</v>
      </c>
      <c r="I320" s="40" t="s">
        <v>38</v>
      </c>
      <c r="J320" s="4"/>
      <c r="K320" s="41" t="str">
        <f ca="1">IFERROR(__xludf.DUMMYFUNCTION("""COMPUTED_VALUE"""),"Brendan Doe")</f>
        <v>Brendan Doe</v>
      </c>
      <c r="L320" s="5" t="str">
        <f ca="1">IFERROR(__xludf.DUMMYFUNCTION("""COMPUTED_VALUE"""),"OAK")</f>
        <v>OAK</v>
      </c>
      <c r="M320" s="5" t="str">
        <f ca="1">IFERROR(__xludf.DUMMYFUNCTION("""COMPUTED_VALUE"""),"B17")</f>
        <v>B17</v>
      </c>
      <c r="N320" s="5">
        <f ca="1">IFERROR(__xludf.DUMMYFUNCTION("""COMPUTED_VALUE"""),5)</f>
        <v>5</v>
      </c>
      <c r="O320" s="5"/>
      <c r="P320" s="41" t="str">
        <f ca="1">IFERROR(__xludf.DUMMYFUNCTION("""COMPUTED_VALUE"""),"")</f>
        <v/>
      </c>
      <c r="Q320" s="41" t="str">
        <f ca="1">IFERROR(__xludf.DUMMYFUNCTION("""COMPUTED_VALUE"""),"Jon Anthony Montel")</f>
        <v>Jon Anthony Montel</v>
      </c>
      <c r="R320" s="5" t="str">
        <f ca="1">IFERROR(__xludf.DUMMYFUNCTION("""COMPUTED_VALUE"""),"OAK")</f>
        <v>OAK</v>
      </c>
      <c r="S320" s="5" t="str">
        <f ca="1">IFERROR(__xludf.DUMMYFUNCTION("""COMPUTED_VALUE"""),"B16")</f>
        <v>B16</v>
      </c>
      <c r="T320" s="5">
        <f ca="1">IFERROR(__xludf.DUMMYFUNCTION("""COMPUTED_VALUE"""),4)</f>
        <v>4</v>
      </c>
      <c r="U320" s="5">
        <f ca="1"/>
        <v>155</v>
      </c>
      <c r="V320" s="5" t="str">
        <f ca="1">IFERROR(__xludf.DUMMYFUNCTION("""COMPUTED_VALUE"""),"")</f>
        <v/>
      </c>
    </row>
    <row r="321" spans="1:22" ht="13.2">
      <c r="A321" s="1" t="e">
        <f ca="1"/>
        <v>#NAME?</v>
      </c>
      <c r="B321" s="30">
        <v>1216</v>
      </c>
      <c r="C321" s="44" t="s">
        <v>224</v>
      </c>
      <c r="D321" s="45" t="s">
        <v>209</v>
      </c>
      <c r="E321" s="72" t="s">
        <v>225</v>
      </c>
      <c r="F321" s="45" t="s">
        <v>209</v>
      </c>
      <c r="G321" s="46">
        <v>84.45</v>
      </c>
      <c r="H321" s="40" t="s">
        <v>38</v>
      </c>
      <c r="I321" s="40" t="s">
        <v>38</v>
      </c>
      <c r="J321" s="4"/>
      <c r="K321" s="41" t="str">
        <f ca="1">IFERROR(__xludf.DUMMYFUNCTION("""COMPUTED_VALUE"""),"Jaden Buecher")</f>
        <v>Jaden Buecher</v>
      </c>
      <c r="L321" s="5" t="str">
        <f ca="1">IFERROR(__xludf.DUMMYFUNCTION("""COMPUTED_VALUE"""),"WG")</f>
        <v>WG</v>
      </c>
      <c r="M321" s="5" t="str">
        <f ca="1">IFERROR(__xludf.DUMMYFUNCTION("""COMPUTED_VALUE"""),"B17")</f>
        <v>B17</v>
      </c>
      <c r="N321" s="5">
        <f ca="1">IFERROR(__xludf.DUMMYFUNCTION("""COMPUTED_VALUE"""),5)</f>
        <v>5</v>
      </c>
      <c r="O321" s="5"/>
      <c r="P321" s="41" t="str">
        <f ca="1">IFERROR(__xludf.DUMMYFUNCTION("""COMPUTED_VALUE"""),"")</f>
        <v/>
      </c>
      <c r="Q321" s="41" t="str">
        <f ca="1">IFERROR(__xludf.DUMMYFUNCTION("""COMPUTED_VALUE"""),"Aidan Smith")</f>
        <v>Aidan Smith</v>
      </c>
      <c r="R321" s="5" t="str">
        <f ca="1">IFERROR(__xludf.DUMMYFUNCTION("""COMPUTED_VALUE"""),"WG")</f>
        <v>WG</v>
      </c>
      <c r="S321" s="5" t="str">
        <f ca="1">IFERROR(__xludf.DUMMYFUNCTION("""COMPUTED_VALUE"""),"B18")</f>
        <v>B18</v>
      </c>
      <c r="T321" s="5">
        <f ca="1">IFERROR(__xludf.DUMMYFUNCTION("""COMPUTED_VALUE"""),5)</f>
        <v>5</v>
      </c>
      <c r="U321" s="5">
        <f ca="1"/>
        <v>155</v>
      </c>
      <c r="V321" s="5" t="str">
        <f ca="1">IFERROR(__xludf.DUMMYFUNCTION("""COMPUTED_VALUE"""),"")</f>
        <v/>
      </c>
    </row>
    <row r="322" spans="1:22" ht="13.2">
      <c r="A322" s="1" t="e">
        <f ca="1"/>
        <v>#NAME?</v>
      </c>
      <c r="B322" s="30">
        <v>1426</v>
      </c>
      <c r="C322" s="44" t="s">
        <v>226</v>
      </c>
      <c r="D322" s="45" t="s">
        <v>71</v>
      </c>
      <c r="E322" s="72" t="s">
        <v>227</v>
      </c>
      <c r="F322" s="45" t="s">
        <v>71</v>
      </c>
      <c r="G322" s="46">
        <v>89.37</v>
      </c>
      <c r="H322" s="40" t="s">
        <v>162</v>
      </c>
      <c r="I322" s="40" t="s">
        <v>38</v>
      </c>
      <c r="J322" s="4"/>
      <c r="K322" s="41" t="str">
        <f ca="1">IFERROR(__xludf.DUMMYFUNCTION("""COMPUTED_VALUE"""),"Alexander Stewart")</f>
        <v>Alexander Stewart</v>
      </c>
      <c r="L322" s="5" t="str">
        <f ca="1">IFERROR(__xludf.DUMMYFUNCTION("""COMPUTED_VALUE"""),"AF")</f>
        <v>AF</v>
      </c>
      <c r="M322" s="5" t="str">
        <f ca="1">IFERROR(__xludf.DUMMYFUNCTION("""COMPUTED_VALUE"""),"B12")</f>
        <v>B12</v>
      </c>
      <c r="N322" s="5">
        <f ca="1">IFERROR(__xludf.DUMMYFUNCTION("""COMPUTED_VALUE"""),3)</f>
        <v>3</v>
      </c>
      <c r="O322" s="5"/>
      <c r="P322" s="41" t="str">
        <f ca="1">IFERROR(__xludf.DUMMYFUNCTION("""COMPUTED_VALUE"""),"Age-12")</f>
        <v>Age-12</v>
      </c>
      <c r="Q322" s="41" t="str">
        <f ca="1">IFERROR(__xludf.DUMMYFUNCTION("""COMPUTED_VALUE"""),"Quinn Coogen")</f>
        <v>Quinn Coogen</v>
      </c>
      <c r="R322" s="5" t="str">
        <f ca="1">IFERROR(__xludf.DUMMYFUNCTION("""COMPUTED_VALUE"""),"AF")</f>
        <v>AF</v>
      </c>
      <c r="S322" s="5" t="str">
        <f ca="1">IFERROR(__xludf.DUMMYFUNCTION("""COMPUTED_VALUE"""),"B14")</f>
        <v>B14</v>
      </c>
      <c r="T322" s="5">
        <f ca="1">IFERROR(__xludf.DUMMYFUNCTION("""COMPUTED_VALUE"""),5)</f>
        <v>5</v>
      </c>
      <c r="U322" s="5">
        <f ca="1"/>
        <v>129</v>
      </c>
      <c r="V322" s="5" t="str">
        <f ca="1">IFERROR(__xludf.DUMMYFUNCTION("""COMPUTED_VALUE"""),"")</f>
        <v/>
      </c>
    </row>
    <row r="323" spans="1:22" ht="13.2">
      <c r="A323" s="1" t="e">
        <f ca="1"/>
        <v>#NAME?</v>
      </c>
      <c r="B323" s="30">
        <v>2001</v>
      </c>
      <c r="C323" s="44" t="s">
        <v>228</v>
      </c>
      <c r="D323" s="45" t="s">
        <v>176</v>
      </c>
      <c r="E323" s="72" t="s">
        <v>229</v>
      </c>
      <c r="F323" s="45" t="s">
        <v>176</v>
      </c>
      <c r="G323" s="46">
        <v>108.3</v>
      </c>
      <c r="H323" s="40" t="s">
        <v>38</v>
      </c>
      <c r="I323" s="40" t="s">
        <v>38</v>
      </c>
      <c r="J323" s="4"/>
      <c r="K323" s="41" t="str">
        <f ca="1">IFERROR(__xludf.DUMMYFUNCTION("""COMPUTED_VALUE"""),"Cody Schneider")</f>
        <v>Cody Schneider</v>
      </c>
      <c r="L323" s="5" t="str">
        <f ca="1">IFERROR(__xludf.DUMMYFUNCTION("""COMPUTED_VALUE"""),"F")</f>
        <v>F</v>
      </c>
      <c r="M323" s="5" t="str">
        <f ca="1">IFERROR(__xludf.DUMMYFUNCTION("""COMPUTED_VALUE"""),"B16")</f>
        <v>B16</v>
      </c>
      <c r="N323" s="5">
        <f ca="1">IFERROR(__xludf.DUMMYFUNCTION("""COMPUTED_VALUE"""),5)</f>
        <v>5</v>
      </c>
      <c r="O323" s="5"/>
      <c r="P323" s="41" t="str">
        <f ca="1">IFERROR(__xludf.DUMMYFUNCTION("""COMPUTED_VALUE"""),"")</f>
        <v/>
      </c>
      <c r="Q323" s="41" t="str">
        <f ca="1">IFERROR(__xludf.DUMMYFUNCTION("""COMPUTED_VALUE"""),"Sawyer Andrews")</f>
        <v>Sawyer Andrews</v>
      </c>
      <c r="R323" s="5" t="str">
        <f ca="1">IFERROR(__xludf.DUMMYFUNCTION("""COMPUTED_VALUE"""),"F")</f>
        <v>F</v>
      </c>
      <c r="S323" s="5" t="str">
        <f ca="1">IFERROR(__xludf.DUMMYFUNCTION("""COMPUTED_VALUE"""),"B16")</f>
        <v>B16</v>
      </c>
      <c r="T323" s="5">
        <f ca="1">IFERROR(__xludf.DUMMYFUNCTION("""COMPUTED_VALUE"""),5)</f>
        <v>5</v>
      </c>
      <c r="U323" s="5">
        <f ca="1"/>
        <v>155</v>
      </c>
      <c r="V323" s="5" t="str">
        <f ca="1">IFERROR(__xludf.DUMMYFUNCTION("""COMPUTED_VALUE"""),"")</f>
        <v/>
      </c>
    </row>
    <row r="324" spans="1:22" ht="13.2">
      <c r="A324" s="1" t="e">
        <f ca="1"/>
        <v>#NAME?</v>
      </c>
      <c r="B324" s="30">
        <v>2019</v>
      </c>
      <c r="C324" s="44" t="s">
        <v>230</v>
      </c>
      <c r="D324" s="45" t="s">
        <v>81</v>
      </c>
      <c r="E324" s="72" t="s">
        <v>231</v>
      </c>
      <c r="F324" s="45" t="s">
        <v>81</v>
      </c>
      <c r="G324" s="46">
        <v>60.93</v>
      </c>
      <c r="H324" s="40" t="s">
        <v>38</v>
      </c>
      <c r="I324" s="40" t="s">
        <v>162</v>
      </c>
      <c r="J324" s="4"/>
      <c r="K324" s="41" t="str">
        <f ca="1">IFERROR(__xludf.DUMMYFUNCTION("""COMPUTED_VALUE"""),"Sean Memon")</f>
        <v>Sean Memon</v>
      </c>
      <c r="L324" s="5" t="str">
        <f ca="1">IFERROR(__xludf.DUMMYFUNCTION("""COMPUTED_VALUE"""),"KG")</f>
        <v>KG</v>
      </c>
      <c r="M324" s="5" t="str">
        <f ca="1">IFERROR(__xludf.DUMMYFUNCTION("""COMPUTED_VALUE"""),"B17")</f>
        <v>B17</v>
      </c>
      <c r="N324" s="5">
        <f ca="1">IFERROR(__xludf.DUMMYFUNCTION("""COMPUTED_VALUE"""),5)</f>
        <v>5</v>
      </c>
      <c r="O324" s="5"/>
      <c r="P324" s="41" t="str">
        <f ca="1">IFERROR(__xludf.DUMMYFUNCTION("""COMPUTED_VALUE"""),"")</f>
        <v/>
      </c>
      <c r="Q324" s="41" t="str">
        <f ca="1">IFERROR(__xludf.DUMMYFUNCTION("""COMPUTED_VALUE"""),"Lucas Moreno")</f>
        <v>Lucas Moreno</v>
      </c>
      <c r="R324" s="5" t="str">
        <f ca="1">IFERROR(__xludf.DUMMYFUNCTION("""COMPUTED_VALUE"""),"KG")</f>
        <v>KG</v>
      </c>
      <c r="S324" s="5" t="str">
        <f ca="1">IFERROR(__xludf.DUMMYFUNCTION("""COMPUTED_VALUE"""),"B12")</f>
        <v>B12</v>
      </c>
      <c r="T324" s="5">
        <f ca="1">IFERROR(__xludf.DUMMYFUNCTION("""COMPUTED_VALUE"""),5)</f>
        <v>5</v>
      </c>
      <c r="U324" s="5">
        <f ca="1"/>
        <v>95</v>
      </c>
      <c r="V324" s="5" t="str">
        <f ca="1">IFERROR(__xludf.DUMMYFUNCTION("""COMPUTED_VALUE"""),"Age-12")</f>
        <v>Age-12</v>
      </c>
    </row>
    <row r="325" spans="1:22" ht="13.2">
      <c r="A325" s="1" t="e">
        <f ca="1"/>
        <v>#NAME?</v>
      </c>
      <c r="B325" s="30">
        <v>2343</v>
      </c>
      <c r="C325" s="44" t="s">
        <v>232</v>
      </c>
      <c r="D325" s="45" t="s">
        <v>81</v>
      </c>
      <c r="E325" s="72" t="s">
        <v>233</v>
      </c>
      <c r="F325" s="45" t="s">
        <v>81</v>
      </c>
      <c r="G325" s="46">
        <v>79.349999999999994</v>
      </c>
      <c r="H325" s="40" t="s">
        <v>38</v>
      </c>
      <c r="I325" s="40" t="s">
        <v>38</v>
      </c>
      <c r="J325" s="4"/>
      <c r="K325" s="41" t="str">
        <f ca="1">IFERROR(__xludf.DUMMYFUNCTION("""COMPUTED_VALUE"""),"Gavan Nasr")</f>
        <v>Gavan Nasr</v>
      </c>
      <c r="L325" s="5" t="str">
        <f ca="1">IFERROR(__xludf.DUMMYFUNCTION("""COMPUTED_VALUE"""),"KG")</f>
        <v>KG</v>
      </c>
      <c r="M325" s="5" t="str">
        <f ca="1">IFERROR(__xludf.DUMMYFUNCTION("""COMPUTED_VALUE"""),"B13")</f>
        <v>B13</v>
      </c>
      <c r="N325" s="5">
        <f ca="1">IFERROR(__xludf.DUMMYFUNCTION("""COMPUTED_VALUE"""),4)</f>
        <v>4</v>
      </c>
      <c r="O325" s="5"/>
      <c r="P325" s="41" t="str">
        <f ca="1">IFERROR(__xludf.DUMMYFUNCTION("""COMPUTED_VALUE"""),"")</f>
        <v/>
      </c>
      <c r="Q325" s="41" t="str">
        <f ca="1">IFERROR(__xludf.DUMMYFUNCTION("""COMPUTED_VALUE"""),"Landon Manwaring")</f>
        <v>Landon Manwaring</v>
      </c>
      <c r="R325" s="5" t="str">
        <f ca="1">IFERROR(__xludf.DUMMYFUNCTION("""COMPUTED_VALUE"""),"KG")</f>
        <v>KG</v>
      </c>
      <c r="S325" s="5" t="str">
        <f ca="1">IFERROR(__xludf.DUMMYFUNCTION("""COMPUTED_VALUE"""),"B15")</f>
        <v>B15</v>
      </c>
      <c r="T325" s="5">
        <f ca="1">IFERROR(__xludf.DUMMYFUNCTION("""COMPUTED_VALUE"""),3)</f>
        <v>3</v>
      </c>
      <c r="U325" s="5">
        <f ca="1"/>
        <v>155</v>
      </c>
      <c r="V325" s="5" t="str">
        <f ca="1">IFERROR(__xludf.DUMMYFUNCTION("""COMPUTED_VALUE"""),"")</f>
        <v/>
      </c>
    </row>
    <row r="326" spans="1:22" ht="13.2">
      <c r="A326" s="1" t="e">
        <f ca="1"/>
        <v>#NAME?</v>
      </c>
      <c r="B326" s="30">
        <v>2581</v>
      </c>
      <c r="C326" s="44" t="s">
        <v>234</v>
      </c>
      <c r="D326" s="45" t="s">
        <v>235</v>
      </c>
      <c r="E326" s="72" t="s">
        <v>236</v>
      </c>
      <c r="F326" s="45" t="s">
        <v>235</v>
      </c>
      <c r="G326" s="46">
        <v>77.400000000000006</v>
      </c>
      <c r="H326" s="40" t="s">
        <v>38</v>
      </c>
      <c r="I326" s="40" t="s">
        <v>38</v>
      </c>
      <c r="J326" s="4"/>
      <c r="K326" s="41" t="str">
        <f ca="1">IFERROR(__xludf.DUMMYFUNCTION("""COMPUTED_VALUE"""),"Eli Edwards")</f>
        <v>Eli Edwards</v>
      </c>
      <c r="L326" s="5" t="str">
        <f ca="1">IFERROR(__xludf.DUMMYFUNCTION("""COMPUTED_VALUE"""),"OH")</f>
        <v>OH</v>
      </c>
      <c r="M326" s="5" t="str">
        <f ca="1">IFERROR(__xludf.DUMMYFUNCTION("""COMPUTED_VALUE"""),"B13")</f>
        <v>B13</v>
      </c>
      <c r="N326" s="5">
        <f ca="1">IFERROR(__xludf.DUMMYFUNCTION("""COMPUTED_VALUE"""),4)</f>
        <v>4</v>
      </c>
      <c r="O326" s="5"/>
      <c r="P326" s="41" t="str">
        <f ca="1">IFERROR(__xludf.DUMMYFUNCTION("""COMPUTED_VALUE"""),"")</f>
        <v/>
      </c>
      <c r="Q326" s="41" t="str">
        <f ca="1">IFERROR(__xludf.DUMMYFUNCTION("""COMPUTED_VALUE"""),"Grant McClure")</f>
        <v>Grant McClure</v>
      </c>
      <c r="R326" s="5" t="str">
        <f ca="1">IFERROR(__xludf.DUMMYFUNCTION("""COMPUTED_VALUE"""),"OH")</f>
        <v>OH</v>
      </c>
      <c r="S326" s="5" t="str">
        <f ca="1">IFERROR(__xludf.DUMMYFUNCTION("""COMPUTED_VALUE"""),"B16")</f>
        <v>B16</v>
      </c>
      <c r="T326" s="5">
        <f ca="1">IFERROR(__xludf.DUMMYFUNCTION("""COMPUTED_VALUE"""),5)</f>
        <v>5</v>
      </c>
      <c r="U326" s="5">
        <f ca="1"/>
        <v>155</v>
      </c>
      <c r="V326" s="5" t="str">
        <f ca="1">IFERROR(__xludf.DUMMYFUNCTION("""COMPUTED_VALUE"""),"")</f>
        <v/>
      </c>
    </row>
    <row r="327" spans="1:22" ht="13.2">
      <c r="A327" s="1" t="e">
        <f ca="1"/>
        <v>#NAME?</v>
      </c>
      <c r="B327" s="30">
        <v>2680</v>
      </c>
      <c r="C327" s="44" t="s">
        <v>237</v>
      </c>
      <c r="D327" s="45" t="s">
        <v>40</v>
      </c>
      <c r="E327" s="72" t="s">
        <v>238</v>
      </c>
      <c r="F327" s="45" t="s">
        <v>86</v>
      </c>
      <c r="G327" s="46">
        <v>120</v>
      </c>
      <c r="H327" s="40" t="s">
        <v>38</v>
      </c>
      <c r="I327" s="40" t="s">
        <v>38</v>
      </c>
      <c r="J327" s="4"/>
      <c r="K327" s="41" t="str">
        <f ca="1">IFERROR(__xludf.DUMMYFUNCTION("""COMPUTED_VALUE"""),"Paxton Martinez")</f>
        <v>Paxton Martinez</v>
      </c>
      <c r="L327" s="5" t="str">
        <f ca="1">IFERROR(__xludf.DUMMYFUNCTION("""COMPUTED_VALUE"""),"G")</f>
        <v>G</v>
      </c>
      <c r="M327" s="5" t="str">
        <f ca="1">IFERROR(__xludf.DUMMYFUNCTION("""COMPUTED_VALUE"""),"B17")</f>
        <v>B17</v>
      </c>
      <c r="N327" s="5">
        <f ca="1">IFERROR(__xludf.DUMMYFUNCTION("""COMPUTED_VALUE"""),5)</f>
        <v>5</v>
      </c>
      <c r="O327" s="5"/>
      <c r="P327" s="41" t="str">
        <f ca="1">IFERROR(__xludf.DUMMYFUNCTION("""COMPUTED_VALUE"""),"")</f>
        <v/>
      </c>
      <c r="Q327" s="41" t="str">
        <f ca="1">IFERROR(__xludf.DUMMYFUNCTION("""COMPUTED_VALUE"""),"Caden Guy")</f>
        <v>Caden Guy</v>
      </c>
      <c r="R327" s="5" t="str">
        <f ca="1">IFERROR(__xludf.DUMMYFUNCTION("""COMPUTED_VALUE"""),"HP")</f>
        <v>HP</v>
      </c>
      <c r="S327" s="5" t="str">
        <f ca="1">IFERROR(__xludf.DUMMYFUNCTION("""COMPUTED_VALUE"""),"B18")</f>
        <v>B18</v>
      </c>
      <c r="T327" s="5">
        <f ca="1">IFERROR(__xludf.DUMMYFUNCTION("""COMPUTED_VALUE"""),5)</f>
        <v>5</v>
      </c>
      <c r="U327" s="5">
        <f ca="1"/>
        <v>155</v>
      </c>
      <c r="V327" s="5" t="str">
        <f ca="1">IFERROR(__xludf.DUMMYFUNCTION("""COMPUTED_VALUE"""),"")</f>
        <v/>
      </c>
    </row>
    <row r="328" spans="1:22" ht="13.2">
      <c r="A328" s="1" t="e">
        <f ca="1"/>
        <v>#NAME?</v>
      </c>
      <c r="B328" s="30">
        <v>2901</v>
      </c>
      <c r="C328" s="44" t="s">
        <v>239</v>
      </c>
      <c r="D328" s="45" t="s">
        <v>40</v>
      </c>
      <c r="E328" s="72" t="s">
        <v>240</v>
      </c>
      <c r="F328" s="45" t="s">
        <v>40</v>
      </c>
      <c r="G328" s="46">
        <v>69.06</v>
      </c>
      <c r="H328" s="40" t="s">
        <v>162</v>
      </c>
      <c r="I328" s="40" t="s">
        <v>38</v>
      </c>
      <c r="J328" s="4"/>
      <c r="K328" s="41" t="str">
        <f ca="1">IFERROR(__xludf.DUMMYFUNCTION("""COMPUTED_VALUE"""),"Ben Blaeuer")</f>
        <v>Ben Blaeuer</v>
      </c>
      <c r="L328" s="5" t="str">
        <f ca="1">IFERROR(__xludf.DUMMYFUNCTION("""COMPUTED_VALUE"""),"G")</f>
        <v>G</v>
      </c>
      <c r="M328" s="5" t="str">
        <f ca="1">IFERROR(__xludf.DUMMYFUNCTION("""COMPUTED_VALUE"""),"B12")</f>
        <v>B12</v>
      </c>
      <c r="N328" s="5">
        <f ca="1">IFERROR(__xludf.DUMMYFUNCTION("""COMPUTED_VALUE"""),5)</f>
        <v>5</v>
      </c>
      <c r="O328" s="5"/>
      <c r="P328" s="41" t="str">
        <f ca="1">IFERROR(__xludf.DUMMYFUNCTION("""COMPUTED_VALUE"""),"Age-12")</f>
        <v>Age-12</v>
      </c>
      <c r="Q328" s="41" t="str">
        <f ca="1">IFERROR(__xludf.DUMMYFUNCTION("""COMPUTED_VALUE"""),"Mason Waterfield")</f>
        <v>Mason Waterfield</v>
      </c>
      <c r="R328" s="5" t="str">
        <f ca="1">IFERROR(__xludf.DUMMYFUNCTION("""COMPUTED_VALUE"""),"G")</f>
        <v>G</v>
      </c>
      <c r="S328" s="5" t="str">
        <f ca="1">IFERROR(__xludf.DUMMYFUNCTION("""COMPUTED_VALUE"""),"B16")</f>
        <v>B16</v>
      </c>
      <c r="T328" s="5">
        <f ca="1">IFERROR(__xludf.DUMMYFUNCTION("""COMPUTED_VALUE"""),4)</f>
        <v>4</v>
      </c>
      <c r="U328" s="5">
        <f ca="1"/>
        <v>155</v>
      </c>
      <c r="V328" s="5" t="str">
        <f ca="1">IFERROR(__xludf.DUMMYFUNCTION("""COMPUTED_VALUE"""),"")</f>
        <v/>
      </c>
    </row>
    <row r="329" spans="1:22" ht="13.2">
      <c r="A329" s="1" t="e">
        <f ca="1"/>
        <v>#NAME?</v>
      </c>
      <c r="B329" s="30">
        <v>2997</v>
      </c>
      <c r="C329" s="44" t="s">
        <v>241</v>
      </c>
      <c r="D329" s="45" t="s">
        <v>242</v>
      </c>
      <c r="E329" s="72" t="s">
        <v>243</v>
      </c>
      <c r="F329" s="45" t="s">
        <v>242</v>
      </c>
      <c r="G329" s="46">
        <v>88.14</v>
      </c>
      <c r="H329" s="40" t="s">
        <v>38</v>
      </c>
      <c r="I329" s="40" t="s">
        <v>38</v>
      </c>
      <c r="J329" s="4"/>
      <c r="K329" s="41" t="str">
        <f ca="1">IFERROR(__xludf.DUMMYFUNCTION("""COMPUTED_VALUE"""),"Peyton Reed")</f>
        <v>Peyton Reed</v>
      </c>
      <c r="L329" s="5" t="str">
        <f ca="1">IFERROR(__xludf.DUMMYFUNCTION("""COMPUTED_VALUE"""),"VW")</f>
        <v>VW</v>
      </c>
      <c r="M329" s="5" t="str">
        <f ca="1">IFERROR(__xludf.DUMMYFUNCTION("""COMPUTED_VALUE"""),"B14")</f>
        <v>B14</v>
      </c>
      <c r="N329" s="5">
        <f ca="1">IFERROR(__xludf.DUMMYFUNCTION("""COMPUTED_VALUE"""),5)</f>
        <v>5</v>
      </c>
      <c r="O329" s="5"/>
      <c r="P329" s="41" t="str">
        <f ca="1">IFERROR(__xludf.DUMMYFUNCTION("""COMPUTED_VALUE"""),"")</f>
        <v/>
      </c>
      <c r="Q329" s="41" t="str">
        <f ca="1">IFERROR(__xludf.DUMMYFUNCTION("""COMPUTED_VALUE"""),"Mount Richmond")</f>
        <v>Mount Richmond</v>
      </c>
      <c r="R329" s="5" t="str">
        <f ca="1">IFERROR(__xludf.DUMMYFUNCTION("""COMPUTED_VALUE"""),"VW")</f>
        <v>VW</v>
      </c>
      <c r="S329" s="5" t="str">
        <f ca="1">IFERROR(__xludf.DUMMYFUNCTION("""COMPUTED_VALUE"""),"B13")</f>
        <v>B13</v>
      </c>
      <c r="T329" s="5">
        <f ca="1">IFERROR(__xludf.DUMMYFUNCTION("""COMPUTED_VALUE"""),5)</f>
        <v>5</v>
      </c>
      <c r="U329" s="5">
        <f ca="1"/>
        <v>129</v>
      </c>
      <c r="V329" s="5" t="str">
        <f ca="1">IFERROR(__xludf.DUMMYFUNCTION("""COMPUTED_VALUE"""),"")</f>
        <v/>
      </c>
    </row>
    <row r="330" spans="1:22" ht="13.2">
      <c r="A330" s="1" t="e">
        <f ca="1"/>
        <v>#NAME?</v>
      </c>
      <c r="B330" s="30">
        <v>3075</v>
      </c>
      <c r="C330" s="36" t="s">
        <v>244</v>
      </c>
      <c r="D330" s="37" t="s">
        <v>139</v>
      </c>
      <c r="E330" s="36" t="s">
        <v>245</v>
      </c>
      <c r="F330" s="37" t="s">
        <v>217</v>
      </c>
      <c r="G330" s="42">
        <v>97.32</v>
      </c>
      <c r="H330" s="40" t="s">
        <v>190</v>
      </c>
      <c r="I330" s="40" t="s">
        <v>38</v>
      </c>
      <c r="J330" s="4"/>
      <c r="K330" s="41" t="str">
        <f ca="1">IFERROR(__xludf.DUMMYFUNCTION("""COMPUTED_VALUE"""),"Henry Martin")</f>
        <v>Henry Martin</v>
      </c>
      <c r="L330" s="5" t="str">
        <f ca="1">IFERROR(__xludf.DUMMYFUNCTION("""COMPUTED_VALUE"""),"S")</f>
        <v>S</v>
      </c>
      <c r="M330" s="5" t="str">
        <f ca="1">IFERROR(__xludf.DUMMYFUNCTION("""COMPUTED_VALUE"""),"B11")</f>
        <v>B11</v>
      </c>
      <c r="N330" s="5">
        <f ca="1">IFERROR(__xludf.DUMMYFUNCTION("""COMPUTED_VALUE"""),5)</f>
        <v>5</v>
      </c>
      <c r="O330" s="5"/>
      <c r="P330" s="41" t="str">
        <f ca="1">IFERROR(__xludf.DUMMYFUNCTION("""COMPUTED_VALUE"""),"Age-11")</f>
        <v>Age-11</v>
      </c>
      <c r="Q330" s="41" t="str">
        <f ca="1">IFERROR(__xludf.DUMMYFUNCTION("""COMPUTED_VALUE"""),"Raito Detten")</f>
        <v>Raito Detten</v>
      </c>
      <c r="R330" s="5" t="str">
        <f ca="1">IFERROR(__xludf.DUMMYFUNCTION("""COMPUTED_VALUE"""),"A")</f>
        <v>A</v>
      </c>
      <c r="S330" s="5" t="str">
        <f ca="1">IFERROR(__xludf.DUMMYFUNCTION("""COMPUTED_VALUE"""),"B14")</f>
        <v>B14</v>
      </c>
      <c r="T330" s="5">
        <f ca="1">IFERROR(__xludf.DUMMYFUNCTION("""COMPUTED_VALUE"""),4)</f>
        <v>4</v>
      </c>
      <c r="U330" s="5">
        <f ca="1"/>
        <v>129</v>
      </c>
      <c r="V330" s="5" t="str">
        <f ca="1">IFERROR(__xludf.DUMMYFUNCTION("""COMPUTED_VALUE"""),"")</f>
        <v/>
      </c>
    </row>
    <row r="331" spans="1:22" ht="13.2">
      <c r="A331" s="1" t="e">
        <f ca="1"/>
        <v>#NAME?</v>
      </c>
      <c r="B331" s="30">
        <v>3656</v>
      </c>
      <c r="C331" s="36" t="s">
        <v>246</v>
      </c>
      <c r="D331" s="37" t="s">
        <v>125</v>
      </c>
      <c r="E331" s="36" t="s">
        <v>247</v>
      </c>
      <c r="F331" s="37" t="s">
        <v>242</v>
      </c>
      <c r="G331" s="42">
        <v>174.39</v>
      </c>
      <c r="H331" s="40" t="s">
        <v>38</v>
      </c>
      <c r="I331" s="40" t="s">
        <v>38</v>
      </c>
      <c r="J331" s="4"/>
      <c r="K331" s="41" t="str">
        <f ca="1">IFERROR(__xludf.DUMMYFUNCTION("""COMPUTED_VALUE"""),"Nathaniel Grannis")</f>
        <v>Nathaniel Grannis</v>
      </c>
      <c r="L331" s="5" t="str">
        <f ca="1">IFERROR(__xludf.DUMMYFUNCTION("""COMPUTED_VALUE"""),"WC")</f>
        <v>WC</v>
      </c>
      <c r="M331" s="5" t="str">
        <f ca="1">IFERROR(__xludf.DUMMYFUNCTION("""COMPUTED_VALUE"""),"B16")</f>
        <v>B16</v>
      </c>
      <c r="N331" s="5">
        <f ca="1">IFERROR(__xludf.DUMMYFUNCTION("""COMPUTED_VALUE"""),4)</f>
        <v>4</v>
      </c>
      <c r="O331" s="5"/>
      <c r="P331" s="41" t="str">
        <f ca="1">IFERROR(__xludf.DUMMYFUNCTION("""COMPUTED_VALUE"""),"")</f>
        <v/>
      </c>
      <c r="Q331" s="41" t="str">
        <f ca="1">IFERROR(__xludf.DUMMYFUNCTION("""COMPUTED_VALUE"""),"Ivor Brown")</f>
        <v>Ivor Brown</v>
      </c>
      <c r="R331" s="5" t="str">
        <f ca="1">IFERROR(__xludf.DUMMYFUNCTION("""COMPUTED_VALUE"""),"VW")</f>
        <v>VW</v>
      </c>
      <c r="S331" s="5" t="str">
        <f ca="1">IFERROR(__xludf.DUMMYFUNCTION("""COMPUTED_VALUE"""),"B16")</f>
        <v>B16</v>
      </c>
      <c r="T331" s="5">
        <f ca="1">IFERROR(__xludf.DUMMYFUNCTION("""COMPUTED_VALUE"""),3)</f>
        <v>3</v>
      </c>
      <c r="U331" s="5">
        <f ca="1"/>
        <v>155</v>
      </c>
      <c r="V331" s="5" t="str">
        <f ca="1">IFERROR(__xludf.DUMMYFUNCTION("""COMPUTED_VALUE"""),"")</f>
        <v/>
      </c>
    </row>
    <row r="332" spans="1:22" ht="13.2">
      <c r="A332" s="1" t="e">
        <f ca="1"/>
        <v>#NAME?</v>
      </c>
      <c r="B332" s="30">
        <v>3968</v>
      </c>
      <c r="C332" s="36" t="s">
        <v>248</v>
      </c>
      <c r="D332" s="37" t="s">
        <v>154</v>
      </c>
      <c r="E332" s="36" t="s">
        <v>249</v>
      </c>
      <c r="F332" s="37" t="s">
        <v>154</v>
      </c>
      <c r="G332" s="42">
        <v>93.51</v>
      </c>
      <c r="H332" s="40" t="s">
        <v>38</v>
      </c>
      <c r="I332" s="40" t="s">
        <v>38</v>
      </c>
      <c r="J332" s="4"/>
      <c r="K332" s="41" t="str">
        <f ca="1">IFERROR(__xludf.DUMMYFUNCTION("""COMPUTED_VALUE"""),"Shawn Hubbard")</f>
        <v>Shawn Hubbard</v>
      </c>
      <c r="L332" s="5" t="str">
        <f ca="1">IFERROR(__xludf.DUMMYFUNCTION("""COMPUTED_VALUE"""),"LV")</f>
        <v>LV</v>
      </c>
      <c r="M332" s="5" t="str">
        <f ca="1">IFERROR(__xludf.DUMMYFUNCTION("""COMPUTED_VALUE"""),"B17")</f>
        <v>B17</v>
      </c>
      <c r="N332" s="5">
        <f ca="1">IFERROR(__xludf.DUMMYFUNCTION("""COMPUTED_VALUE"""),3)</f>
        <v>3</v>
      </c>
      <c r="O332" s="5"/>
      <c r="P332" s="41" t="str">
        <f ca="1">IFERROR(__xludf.DUMMYFUNCTION("""COMPUTED_VALUE"""),"")</f>
        <v/>
      </c>
      <c r="Q332" s="41" t="str">
        <f ca="1">IFERROR(__xludf.DUMMYFUNCTION("""COMPUTED_VALUE"""),"Ethan Hubbard")</f>
        <v>Ethan Hubbard</v>
      </c>
      <c r="R332" s="5" t="str">
        <f ca="1">IFERROR(__xludf.DUMMYFUNCTION("""COMPUTED_VALUE"""),"LV")</f>
        <v>LV</v>
      </c>
      <c r="S332" s="5" t="str">
        <f ca="1">IFERROR(__xludf.DUMMYFUNCTION("""COMPUTED_VALUE"""),"B14")</f>
        <v>B14</v>
      </c>
      <c r="T332" s="5">
        <f ca="1">IFERROR(__xludf.DUMMYFUNCTION("""COMPUTED_VALUE"""),4)</f>
        <v>4</v>
      </c>
      <c r="U332" s="5">
        <f ca="1"/>
        <v>129</v>
      </c>
      <c r="V332" s="5" t="str">
        <f ca="1">IFERROR(__xludf.DUMMYFUNCTION("""COMPUTED_VALUE"""),"")</f>
        <v/>
      </c>
    </row>
    <row r="333" spans="1:22" ht="13.2">
      <c r="A333" s="1" t="e">
        <f ca="1"/>
        <v>#NAME?</v>
      </c>
      <c r="B333" s="30">
        <v>4291</v>
      </c>
      <c r="C333" s="36"/>
      <c r="D333" s="37"/>
      <c r="E333" s="36"/>
      <c r="F333" s="37"/>
      <c r="G333" s="42"/>
      <c r="H333" s="40" t="s">
        <v>38</v>
      </c>
      <c r="I333" s="40" t="s">
        <v>38</v>
      </c>
      <c r="J333" s="4"/>
      <c r="K333" s="41" t="str">
        <f ca="1">IFERROR(__xludf.DUMMYFUNCTION("""COMPUTED_VALUE"""),"")</f>
        <v/>
      </c>
      <c r="L333" s="5" t="str">
        <f ca="1">IFERROR(__xludf.DUMMYFUNCTION("""COMPUTED_VALUE"""),"")</f>
        <v/>
      </c>
      <c r="M333" s="5" t="str">
        <f ca="1">IFERROR(__xludf.DUMMYFUNCTION("""COMPUTED_VALUE"""),"")</f>
        <v/>
      </c>
      <c r="N333" s="5" t="str">
        <f ca="1">IFERROR(__xludf.DUMMYFUNCTION("""COMPUTED_VALUE"""),"")</f>
        <v/>
      </c>
      <c r="O333" s="5"/>
      <c r="P333" s="41" t="str">
        <f ca="1">IFERROR(__xludf.DUMMYFUNCTION("""COMPUTED_VALUE"""),"")</f>
        <v/>
      </c>
      <c r="Q333" s="41" t="str">
        <f ca="1">IFERROR(__xludf.DUMMYFUNCTION("""COMPUTED_VALUE"""),"")</f>
        <v/>
      </c>
      <c r="R333" s="5" t="str">
        <f ca="1">IFERROR(__xludf.DUMMYFUNCTION("""COMPUTED_VALUE"""),"")</f>
        <v/>
      </c>
      <c r="S333" s="5" t="str">
        <f ca="1">IFERROR(__xludf.DUMMYFUNCTION("""COMPUTED_VALUE"""),"")</f>
        <v/>
      </c>
      <c r="T333" s="5" t="str">
        <f ca="1">IFERROR(__xludf.DUMMYFUNCTION("""COMPUTED_VALUE"""),"")</f>
        <v/>
      </c>
      <c r="U333" s="5" t="str">
        <f ca="1"/>
        <v/>
      </c>
      <c r="V333" s="5" t="str">
        <f ca="1">IFERROR(__xludf.DUMMYFUNCTION("""COMPUTED_VALUE"""),"")</f>
        <v/>
      </c>
    </row>
    <row r="334" spans="1:22" ht="13.2">
      <c r="A334" s="1" t="e">
        <f ca="1"/>
        <v>#NAME?</v>
      </c>
      <c r="B334" s="30">
        <v>4379</v>
      </c>
      <c r="C334" s="36"/>
      <c r="D334" s="37"/>
      <c r="E334" s="36"/>
      <c r="F334" s="37"/>
      <c r="G334" s="42"/>
      <c r="H334" s="40" t="s">
        <v>38</v>
      </c>
      <c r="I334" s="40" t="s">
        <v>38</v>
      </c>
      <c r="J334" s="4"/>
      <c r="K334" s="41" t="str">
        <f ca="1">IFERROR(__xludf.DUMMYFUNCTION("""COMPUTED_VALUE"""),"")</f>
        <v/>
      </c>
      <c r="L334" s="5" t="str">
        <f ca="1">IFERROR(__xludf.DUMMYFUNCTION("""COMPUTED_VALUE"""),"")</f>
        <v/>
      </c>
      <c r="M334" s="5" t="str">
        <f ca="1">IFERROR(__xludf.DUMMYFUNCTION("""COMPUTED_VALUE"""),"")</f>
        <v/>
      </c>
      <c r="N334" s="5" t="str">
        <f ca="1">IFERROR(__xludf.DUMMYFUNCTION("""COMPUTED_VALUE"""),"")</f>
        <v/>
      </c>
      <c r="O334" s="5"/>
      <c r="P334" s="41" t="str">
        <f ca="1">IFERROR(__xludf.DUMMYFUNCTION("""COMPUTED_VALUE"""),"")</f>
        <v/>
      </c>
      <c r="Q334" s="41" t="str">
        <f ca="1">IFERROR(__xludf.DUMMYFUNCTION("""COMPUTED_VALUE"""),"")</f>
        <v/>
      </c>
      <c r="R334" s="5" t="str">
        <f ca="1">IFERROR(__xludf.DUMMYFUNCTION("""COMPUTED_VALUE"""),"")</f>
        <v/>
      </c>
      <c r="S334" s="5" t="str">
        <f ca="1">IFERROR(__xludf.DUMMYFUNCTION("""COMPUTED_VALUE"""),"")</f>
        <v/>
      </c>
      <c r="T334" s="5" t="str">
        <f ca="1">IFERROR(__xludf.DUMMYFUNCTION("""COMPUTED_VALUE"""),"")</f>
        <v/>
      </c>
      <c r="U334" s="5" t="str">
        <f ca="1"/>
        <v/>
      </c>
      <c r="V334" s="5" t="str">
        <f ca="1">IFERROR(__xludf.DUMMYFUNCTION("""COMPUTED_VALUE"""),"")</f>
        <v/>
      </c>
    </row>
    <row r="335" spans="1:22" ht="13.2">
      <c r="A335" s="1" t="e">
        <f ca="1"/>
        <v>#NAME?</v>
      </c>
      <c r="B335" s="30">
        <v>4405</v>
      </c>
      <c r="C335" s="36"/>
      <c r="D335" s="37"/>
      <c r="E335" s="36"/>
      <c r="F335" s="37"/>
      <c r="G335" s="42"/>
      <c r="H335" s="40" t="s">
        <v>38</v>
      </c>
      <c r="I335" s="40" t="s">
        <v>38</v>
      </c>
      <c r="J335" s="4"/>
      <c r="K335" s="41" t="str">
        <f ca="1">IFERROR(__xludf.DUMMYFUNCTION("""COMPUTED_VALUE"""),"")</f>
        <v/>
      </c>
      <c r="L335" s="5" t="str">
        <f ca="1">IFERROR(__xludf.DUMMYFUNCTION("""COMPUTED_VALUE"""),"")</f>
        <v/>
      </c>
      <c r="M335" s="5" t="str">
        <f ca="1">IFERROR(__xludf.DUMMYFUNCTION("""COMPUTED_VALUE"""),"")</f>
        <v/>
      </c>
      <c r="N335" s="5" t="str">
        <f ca="1">IFERROR(__xludf.DUMMYFUNCTION("""COMPUTED_VALUE"""),"")</f>
        <v/>
      </c>
      <c r="O335" s="5"/>
      <c r="P335" s="41" t="str">
        <f ca="1">IFERROR(__xludf.DUMMYFUNCTION("""COMPUTED_VALUE"""),"")</f>
        <v/>
      </c>
      <c r="Q335" s="41" t="str">
        <f ca="1">IFERROR(__xludf.DUMMYFUNCTION("""COMPUTED_VALUE"""),"")</f>
        <v/>
      </c>
      <c r="R335" s="5" t="str">
        <f ca="1">IFERROR(__xludf.DUMMYFUNCTION("""COMPUTED_VALUE"""),"")</f>
        <v/>
      </c>
      <c r="S335" s="5" t="str">
        <f ca="1">IFERROR(__xludf.DUMMYFUNCTION("""COMPUTED_VALUE"""),"")</f>
        <v/>
      </c>
      <c r="T335" s="5" t="str">
        <f ca="1">IFERROR(__xludf.DUMMYFUNCTION("""COMPUTED_VALUE"""),"")</f>
        <v/>
      </c>
      <c r="U335" s="5" t="str">
        <f ca="1"/>
        <v/>
      </c>
      <c r="V335" s="5" t="str">
        <f ca="1">IFERROR(__xludf.DUMMYFUNCTION("""COMPUTED_VALUE"""),"")</f>
        <v/>
      </c>
    </row>
    <row r="336" spans="1:22" ht="13.2">
      <c r="A336" s="1" t="e">
        <f ca="1"/>
        <v>#NAME?</v>
      </c>
      <c r="B336" s="30">
        <v>4475</v>
      </c>
      <c r="C336" s="36"/>
      <c r="D336" s="37"/>
      <c r="E336" s="36"/>
      <c r="F336" s="37"/>
      <c r="G336" s="42"/>
      <c r="H336" s="40" t="s">
        <v>38</v>
      </c>
      <c r="I336" s="40" t="s">
        <v>38</v>
      </c>
      <c r="J336" s="4"/>
      <c r="K336" s="41" t="str">
        <f ca="1">IFERROR(__xludf.DUMMYFUNCTION("""COMPUTED_VALUE"""),"")</f>
        <v/>
      </c>
      <c r="L336" s="5" t="str">
        <f ca="1">IFERROR(__xludf.DUMMYFUNCTION("""COMPUTED_VALUE"""),"")</f>
        <v/>
      </c>
      <c r="M336" s="5" t="str">
        <f ca="1">IFERROR(__xludf.DUMMYFUNCTION("""COMPUTED_VALUE"""),"")</f>
        <v/>
      </c>
      <c r="N336" s="5" t="str">
        <f ca="1">IFERROR(__xludf.DUMMYFUNCTION("""COMPUTED_VALUE"""),"")</f>
        <v/>
      </c>
      <c r="O336" s="5"/>
      <c r="P336" s="41" t="str">
        <f ca="1">IFERROR(__xludf.DUMMYFUNCTION("""COMPUTED_VALUE"""),"")</f>
        <v/>
      </c>
      <c r="Q336" s="41" t="str">
        <f ca="1">IFERROR(__xludf.DUMMYFUNCTION("""COMPUTED_VALUE"""),"")</f>
        <v/>
      </c>
      <c r="R336" s="5" t="str">
        <f ca="1">IFERROR(__xludf.DUMMYFUNCTION("""COMPUTED_VALUE"""),"")</f>
        <v/>
      </c>
      <c r="S336" s="5" t="str">
        <f ca="1">IFERROR(__xludf.DUMMYFUNCTION("""COMPUTED_VALUE"""),"")</f>
        <v/>
      </c>
      <c r="T336" s="5" t="str">
        <f ca="1">IFERROR(__xludf.DUMMYFUNCTION("""COMPUTED_VALUE"""),"")</f>
        <v/>
      </c>
      <c r="U336" s="5" t="str">
        <f ca="1"/>
        <v/>
      </c>
      <c r="V336" s="5" t="str">
        <f ca="1">IFERROR(__xludf.DUMMYFUNCTION("""COMPUTED_VALUE"""),"")</f>
        <v/>
      </c>
    </row>
    <row r="337" spans="1:22" ht="13.2">
      <c r="A337" s="1" t="e">
        <f ca="1"/>
        <v>#NAME?</v>
      </c>
      <c r="B337" s="30">
        <v>4517</v>
      </c>
      <c r="C337" s="36"/>
      <c r="D337" s="37"/>
      <c r="E337" s="36"/>
      <c r="F337" s="37"/>
      <c r="G337" s="42"/>
      <c r="H337" s="40" t="s">
        <v>38</v>
      </c>
      <c r="I337" s="40" t="s">
        <v>38</v>
      </c>
      <c r="J337" s="4"/>
      <c r="K337" s="41" t="str">
        <f ca="1">IFERROR(__xludf.DUMMYFUNCTION("""COMPUTED_VALUE"""),"")</f>
        <v/>
      </c>
      <c r="L337" s="5" t="str">
        <f ca="1">IFERROR(__xludf.DUMMYFUNCTION("""COMPUTED_VALUE"""),"")</f>
        <v/>
      </c>
      <c r="M337" s="5" t="str">
        <f ca="1">IFERROR(__xludf.DUMMYFUNCTION("""COMPUTED_VALUE"""),"")</f>
        <v/>
      </c>
      <c r="N337" s="5" t="str">
        <f ca="1">IFERROR(__xludf.DUMMYFUNCTION("""COMPUTED_VALUE"""),"")</f>
        <v/>
      </c>
      <c r="O337" s="5"/>
      <c r="P337" s="41" t="str">
        <f ca="1">IFERROR(__xludf.DUMMYFUNCTION("""COMPUTED_VALUE"""),"")</f>
        <v/>
      </c>
      <c r="Q337" s="41" t="str">
        <f ca="1">IFERROR(__xludf.DUMMYFUNCTION("""COMPUTED_VALUE"""),"")</f>
        <v/>
      </c>
      <c r="R337" s="5" t="str">
        <f ca="1">IFERROR(__xludf.DUMMYFUNCTION("""COMPUTED_VALUE"""),"")</f>
        <v/>
      </c>
      <c r="S337" s="5" t="str">
        <f ca="1">IFERROR(__xludf.DUMMYFUNCTION("""COMPUTED_VALUE"""),"")</f>
        <v/>
      </c>
      <c r="T337" s="5" t="str">
        <f ca="1">IFERROR(__xludf.DUMMYFUNCTION("""COMPUTED_VALUE"""),"")</f>
        <v/>
      </c>
      <c r="U337" s="5" t="str">
        <f ca="1"/>
        <v/>
      </c>
      <c r="V337" s="5" t="str">
        <f ca="1">IFERROR(__xludf.DUMMYFUNCTION("""COMPUTED_VALUE"""),"")</f>
        <v/>
      </c>
    </row>
    <row r="338" spans="1:22" ht="13.2">
      <c r="A338" s="1" t="e">
        <f ca="1"/>
        <v>#NAME?</v>
      </c>
      <c r="B338" s="30">
        <v>4564</v>
      </c>
      <c r="C338" s="36"/>
      <c r="D338" s="37"/>
      <c r="E338" s="36"/>
      <c r="F338" s="37"/>
      <c r="G338" s="42"/>
      <c r="H338" s="40" t="s">
        <v>38</v>
      </c>
      <c r="I338" s="40" t="s">
        <v>38</v>
      </c>
      <c r="J338" s="4"/>
      <c r="K338" s="41" t="str">
        <f ca="1">IFERROR(__xludf.DUMMYFUNCTION("""COMPUTED_VALUE"""),"")</f>
        <v/>
      </c>
      <c r="L338" s="5" t="str">
        <f ca="1">IFERROR(__xludf.DUMMYFUNCTION("""COMPUTED_VALUE"""),"")</f>
        <v/>
      </c>
      <c r="M338" s="5" t="str">
        <f ca="1">IFERROR(__xludf.DUMMYFUNCTION("""COMPUTED_VALUE"""),"")</f>
        <v/>
      </c>
      <c r="N338" s="5" t="str">
        <f ca="1">IFERROR(__xludf.DUMMYFUNCTION("""COMPUTED_VALUE"""),"")</f>
        <v/>
      </c>
      <c r="O338" s="5"/>
      <c r="P338" s="41" t="str">
        <f ca="1">IFERROR(__xludf.DUMMYFUNCTION("""COMPUTED_VALUE"""),"")</f>
        <v/>
      </c>
      <c r="Q338" s="41" t="str">
        <f ca="1">IFERROR(__xludf.DUMMYFUNCTION("""COMPUTED_VALUE"""),"")</f>
        <v/>
      </c>
      <c r="R338" s="5" t="str">
        <f ca="1">IFERROR(__xludf.DUMMYFUNCTION("""COMPUTED_VALUE"""),"")</f>
        <v/>
      </c>
      <c r="S338" s="5" t="str">
        <f ca="1">IFERROR(__xludf.DUMMYFUNCTION("""COMPUTED_VALUE"""),"")</f>
        <v/>
      </c>
      <c r="T338" s="5" t="str">
        <f ca="1">IFERROR(__xludf.DUMMYFUNCTION("""COMPUTED_VALUE"""),"")</f>
        <v/>
      </c>
      <c r="U338" s="5" t="str">
        <f ca="1"/>
        <v/>
      </c>
      <c r="V338" s="5" t="str">
        <f ca="1">IFERROR(__xludf.DUMMYFUNCTION("""COMPUTED_VALUE"""),"")</f>
        <v/>
      </c>
    </row>
    <row r="339" spans="1:22" ht="13.2">
      <c r="A339" s="1" t="e">
        <f ca="1"/>
        <v>#NAME?</v>
      </c>
      <c r="B339" s="30">
        <v>4731</v>
      </c>
      <c r="C339" s="36"/>
      <c r="D339" s="37"/>
      <c r="E339" s="36"/>
      <c r="F339" s="37"/>
      <c r="G339" s="42"/>
      <c r="H339" s="40" t="s">
        <v>38</v>
      </c>
      <c r="I339" s="40" t="s">
        <v>38</v>
      </c>
      <c r="J339" s="4"/>
      <c r="K339" s="41" t="str">
        <f ca="1">IFERROR(__xludf.DUMMYFUNCTION("""COMPUTED_VALUE"""),"")</f>
        <v/>
      </c>
      <c r="L339" s="5" t="str">
        <f ca="1">IFERROR(__xludf.DUMMYFUNCTION("""COMPUTED_VALUE"""),"")</f>
        <v/>
      </c>
      <c r="M339" s="5" t="str">
        <f ca="1">IFERROR(__xludf.DUMMYFUNCTION("""COMPUTED_VALUE"""),"")</f>
        <v/>
      </c>
      <c r="N339" s="5" t="str">
        <f ca="1">IFERROR(__xludf.DUMMYFUNCTION("""COMPUTED_VALUE"""),"")</f>
        <v/>
      </c>
      <c r="O339" s="5"/>
      <c r="P339" s="41" t="str">
        <f ca="1">IFERROR(__xludf.DUMMYFUNCTION("""COMPUTED_VALUE"""),"")</f>
        <v/>
      </c>
      <c r="Q339" s="41" t="str">
        <f ca="1">IFERROR(__xludf.DUMMYFUNCTION("""COMPUTED_VALUE"""),"")</f>
        <v/>
      </c>
      <c r="R339" s="5" t="str">
        <f ca="1">IFERROR(__xludf.DUMMYFUNCTION("""COMPUTED_VALUE"""),"")</f>
        <v/>
      </c>
      <c r="S339" s="5" t="str">
        <f ca="1">IFERROR(__xludf.DUMMYFUNCTION("""COMPUTED_VALUE"""),"")</f>
        <v/>
      </c>
      <c r="T339" s="5" t="str">
        <f ca="1">IFERROR(__xludf.DUMMYFUNCTION("""COMPUTED_VALUE"""),"")</f>
        <v/>
      </c>
      <c r="U339" s="5" t="str">
        <f ca="1"/>
        <v/>
      </c>
      <c r="V339" s="5" t="str">
        <f ca="1">IFERROR(__xludf.DUMMYFUNCTION("""COMPUTED_VALUE"""),"")</f>
        <v/>
      </c>
    </row>
    <row r="340" spans="1:22" ht="13.2">
      <c r="A340" s="1" t="e">
        <f ca="1"/>
        <v>#NAME?</v>
      </c>
      <c r="B340" s="30">
        <v>4761</v>
      </c>
      <c r="C340" s="36"/>
      <c r="D340" s="37"/>
      <c r="E340" s="36"/>
      <c r="F340" s="37"/>
      <c r="G340" s="42"/>
      <c r="H340" s="40" t="s">
        <v>38</v>
      </c>
      <c r="I340" s="40" t="s">
        <v>38</v>
      </c>
      <c r="J340" s="4"/>
      <c r="K340" s="41" t="str">
        <f ca="1">IFERROR(__xludf.DUMMYFUNCTION("""COMPUTED_VALUE"""),"")</f>
        <v/>
      </c>
      <c r="L340" s="5" t="str">
        <f ca="1">IFERROR(__xludf.DUMMYFUNCTION("""COMPUTED_VALUE"""),"")</f>
        <v/>
      </c>
      <c r="M340" s="5" t="str">
        <f ca="1">IFERROR(__xludf.DUMMYFUNCTION("""COMPUTED_VALUE"""),"")</f>
        <v/>
      </c>
      <c r="N340" s="5" t="str">
        <f ca="1">IFERROR(__xludf.DUMMYFUNCTION("""COMPUTED_VALUE"""),"")</f>
        <v/>
      </c>
      <c r="O340" s="5"/>
      <c r="P340" s="41" t="str">
        <f ca="1">IFERROR(__xludf.DUMMYFUNCTION("""COMPUTED_VALUE"""),"")</f>
        <v/>
      </c>
      <c r="Q340" s="41" t="str">
        <f ca="1">IFERROR(__xludf.DUMMYFUNCTION("""COMPUTED_VALUE"""),"")</f>
        <v/>
      </c>
      <c r="R340" s="5" t="str">
        <f ca="1">IFERROR(__xludf.DUMMYFUNCTION("""COMPUTED_VALUE"""),"")</f>
        <v/>
      </c>
      <c r="S340" s="5" t="str">
        <f ca="1">IFERROR(__xludf.DUMMYFUNCTION("""COMPUTED_VALUE"""),"")</f>
        <v/>
      </c>
      <c r="T340" s="5" t="str">
        <f ca="1">IFERROR(__xludf.DUMMYFUNCTION("""COMPUTED_VALUE"""),"")</f>
        <v/>
      </c>
      <c r="U340" s="5" t="str">
        <f ca="1"/>
        <v/>
      </c>
      <c r="V340" s="5" t="str">
        <f ca="1">IFERROR(__xludf.DUMMYFUNCTION("""COMPUTED_VALUE"""),"")</f>
        <v/>
      </c>
    </row>
    <row r="341" spans="1:22" ht="13.2">
      <c r="A341" s="1" t="e">
        <f ca="1"/>
        <v>#NAME?</v>
      </c>
      <c r="B341" s="30">
        <v>5126</v>
      </c>
      <c r="C341" s="36"/>
      <c r="D341" s="37"/>
      <c r="E341" s="36"/>
      <c r="F341" s="37"/>
      <c r="G341" s="42"/>
      <c r="H341" s="40" t="s">
        <v>38</v>
      </c>
      <c r="I341" s="40" t="s">
        <v>38</v>
      </c>
      <c r="J341" s="4"/>
      <c r="K341" s="41" t="str">
        <f ca="1">IFERROR(__xludf.DUMMYFUNCTION("""COMPUTED_VALUE"""),"")</f>
        <v/>
      </c>
      <c r="L341" s="5" t="str">
        <f ca="1">IFERROR(__xludf.DUMMYFUNCTION("""COMPUTED_VALUE"""),"")</f>
        <v/>
      </c>
      <c r="M341" s="5" t="str">
        <f ca="1">IFERROR(__xludf.DUMMYFUNCTION("""COMPUTED_VALUE"""),"")</f>
        <v/>
      </c>
      <c r="N341" s="5" t="str">
        <f ca="1">IFERROR(__xludf.DUMMYFUNCTION("""COMPUTED_VALUE"""),"")</f>
        <v/>
      </c>
      <c r="O341" s="5"/>
      <c r="P341" s="41" t="str">
        <f ca="1">IFERROR(__xludf.DUMMYFUNCTION("""COMPUTED_VALUE"""),"")</f>
        <v/>
      </c>
      <c r="Q341" s="41" t="str">
        <f ca="1">IFERROR(__xludf.DUMMYFUNCTION("""COMPUTED_VALUE"""),"")</f>
        <v/>
      </c>
      <c r="R341" s="5" t="str">
        <f ca="1">IFERROR(__xludf.DUMMYFUNCTION("""COMPUTED_VALUE"""),"")</f>
        <v/>
      </c>
      <c r="S341" s="5" t="str">
        <f ca="1">IFERROR(__xludf.DUMMYFUNCTION("""COMPUTED_VALUE"""),"")</f>
        <v/>
      </c>
      <c r="T341" s="5" t="str">
        <f ca="1">IFERROR(__xludf.DUMMYFUNCTION("""COMPUTED_VALUE"""),"")</f>
        <v/>
      </c>
      <c r="U341" s="5" t="str">
        <f ca="1"/>
        <v/>
      </c>
      <c r="V341" s="5" t="str">
        <f ca="1">IFERROR(__xludf.DUMMYFUNCTION("""COMPUTED_VALUE"""),"")</f>
        <v/>
      </c>
    </row>
    <row r="342" spans="1:22" ht="13.2">
      <c r="A342" s="1" t="e">
        <f ca="1"/>
        <v>#NAME?</v>
      </c>
      <c r="B342" s="30">
        <v>5489</v>
      </c>
      <c r="C342" s="36"/>
      <c r="D342" s="37"/>
      <c r="E342" s="36"/>
      <c r="F342" s="37"/>
      <c r="G342" s="42"/>
      <c r="H342" s="40" t="s">
        <v>38</v>
      </c>
      <c r="I342" s="40" t="s">
        <v>38</v>
      </c>
      <c r="J342" s="4"/>
      <c r="K342" s="41" t="str">
        <f ca="1">IFERROR(__xludf.DUMMYFUNCTION("""COMPUTED_VALUE"""),"")</f>
        <v/>
      </c>
      <c r="L342" s="5" t="str">
        <f ca="1">IFERROR(__xludf.DUMMYFUNCTION("""COMPUTED_VALUE"""),"")</f>
        <v/>
      </c>
      <c r="M342" s="5" t="str">
        <f ca="1">IFERROR(__xludf.DUMMYFUNCTION("""COMPUTED_VALUE"""),"")</f>
        <v/>
      </c>
      <c r="N342" s="5" t="str">
        <f ca="1">IFERROR(__xludf.DUMMYFUNCTION("""COMPUTED_VALUE"""),"")</f>
        <v/>
      </c>
      <c r="O342" s="5"/>
      <c r="P342" s="41" t="str">
        <f ca="1">IFERROR(__xludf.DUMMYFUNCTION("""COMPUTED_VALUE"""),"")</f>
        <v/>
      </c>
      <c r="Q342" s="41" t="str">
        <f ca="1">IFERROR(__xludf.DUMMYFUNCTION("""COMPUTED_VALUE"""),"")</f>
        <v/>
      </c>
      <c r="R342" s="5" t="str">
        <f ca="1">IFERROR(__xludf.DUMMYFUNCTION("""COMPUTED_VALUE"""),"")</f>
        <v/>
      </c>
      <c r="S342" s="5" t="str">
        <f ca="1">IFERROR(__xludf.DUMMYFUNCTION("""COMPUTED_VALUE"""),"")</f>
        <v/>
      </c>
      <c r="T342" s="5" t="str">
        <f ca="1">IFERROR(__xludf.DUMMYFUNCTION("""COMPUTED_VALUE"""),"")</f>
        <v/>
      </c>
      <c r="U342" s="5" t="str">
        <f ca="1"/>
        <v/>
      </c>
      <c r="V342" s="5" t="str">
        <f ca="1">IFERROR(__xludf.DUMMYFUNCTION("""COMPUTED_VALUE"""),"")</f>
        <v/>
      </c>
    </row>
    <row r="343" spans="1:22" ht="13.2">
      <c r="A343" s="1" t="e">
        <f ca="1"/>
        <v>#NAME?</v>
      </c>
      <c r="B343" s="30">
        <v>5615</v>
      </c>
      <c r="C343" s="36"/>
      <c r="D343" s="37"/>
      <c r="E343" s="36"/>
      <c r="F343" s="37"/>
      <c r="G343" s="42"/>
      <c r="H343" s="40" t="s">
        <v>38</v>
      </c>
      <c r="I343" s="40" t="s">
        <v>38</v>
      </c>
      <c r="J343" s="4"/>
      <c r="K343" s="41" t="str">
        <f ca="1">IFERROR(__xludf.DUMMYFUNCTION("""COMPUTED_VALUE"""),"")</f>
        <v/>
      </c>
      <c r="L343" s="5" t="str">
        <f ca="1">IFERROR(__xludf.DUMMYFUNCTION("""COMPUTED_VALUE"""),"")</f>
        <v/>
      </c>
      <c r="M343" s="5" t="str">
        <f ca="1">IFERROR(__xludf.DUMMYFUNCTION("""COMPUTED_VALUE"""),"")</f>
        <v/>
      </c>
      <c r="N343" s="5" t="str">
        <f ca="1">IFERROR(__xludf.DUMMYFUNCTION("""COMPUTED_VALUE"""),"")</f>
        <v/>
      </c>
      <c r="O343" s="5"/>
      <c r="P343" s="41" t="str">
        <f ca="1">IFERROR(__xludf.DUMMYFUNCTION("""COMPUTED_VALUE"""),"")</f>
        <v/>
      </c>
      <c r="Q343" s="41" t="str">
        <f ca="1">IFERROR(__xludf.DUMMYFUNCTION("""COMPUTED_VALUE"""),"")</f>
        <v/>
      </c>
      <c r="R343" s="5" t="str">
        <f ca="1">IFERROR(__xludf.DUMMYFUNCTION("""COMPUTED_VALUE"""),"")</f>
        <v/>
      </c>
      <c r="S343" s="5" t="str">
        <f ca="1">IFERROR(__xludf.DUMMYFUNCTION("""COMPUTED_VALUE"""),"")</f>
        <v/>
      </c>
      <c r="T343" s="5" t="str">
        <f ca="1">IFERROR(__xludf.DUMMYFUNCTION("""COMPUTED_VALUE"""),"")</f>
        <v/>
      </c>
      <c r="U343" s="5" t="str">
        <f ca="1"/>
        <v/>
      </c>
      <c r="V343" s="5" t="str">
        <f ca="1">IFERROR(__xludf.DUMMYFUNCTION("""COMPUTED_VALUE"""),"")</f>
        <v/>
      </c>
    </row>
    <row r="344" spans="1:22" ht="13.2">
      <c r="A344" s="1" t="e">
        <f ca="1"/>
        <v>#NAME?</v>
      </c>
      <c r="B344" s="30">
        <v>6446</v>
      </c>
      <c r="C344" s="36"/>
      <c r="D344" s="37"/>
      <c r="E344" s="36"/>
      <c r="F344" s="37"/>
      <c r="G344" s="42"/>
      <c r="H344" s="40" t="s">
        <v>38</v>
      </c>
      <c r="I344" s="40" t="s">
        <v>38</v>
      </c>
      <c r="J344" s="4"/>
      <c r="K344" s="41" t="str">
        <f ca="1">IFERROR(__xludf.DUMMYFUNCTION("""COMPUTED_VALUE"""),"")</f>
        <v/>
      </c>
      <c r="L344" s="5" t="str">
        <f ca="1">IFERROR(__xludf.DUMMYFUNCTION("""COMPUTED_VALUE"""),"")</f>
        <v/>
      </c>
      <c r="M344" s="5" t="str">
        <f ca="1">IFERROR(__xludf.DUMMYFUNCTION("""COMPUTED_VALUE"""),"")</f>
        <v/>
      </c>
      <c r="N344" s="5" t="str">
        <f ca="1">IFERROR(__xludf.DUMMYFUNCTION("""COMPUTED_VALUE"""),"")</f>
        <v/>
      </c>
      <c r="O344" s="5"/>
      <c r="P344" s="41" t="str">
        <f ca="1">IFERROR(__xludf.DUMMYFUNCTION("""COMPUTED_VALUE"""),"")</f>
        <v/>
      </c>
      <c r="Q344" s="41" t="str">
        <f ca="1">IFERROR(__xludf.DUMMYFUNCTION("""COMPUTED_VALUE"""),"")</f>
        <v/>
      </c>
      <c r="R344" s="5" t="str">
        <f ca="1">IFERROR(__xludf.DUMMYFUNCTION("""COMPUTED_VALUE"""),"")</f>
        <v/>
      </c>
      <c r="S344" s="5" t="str">
        <f ca="1">IFERROR(__xludf.DUMMYFUNCTION("""COMPUTED_VALUE"""),"")</f>
        <v/>
      </c>
      <c r="T344" s="5" t="str">
        <f ca="1">IFERROR(__xludf.DUMMYFUNCTION("""COMPUTED_VALUE"""),"")</f>
        <v/>
      </c>
      <c r="U344" s="5" t="str">
        <f ca="1"/>
        <v/>
      </c>
      <c r="V344" s="5" t="str">
        <f ca="1">IFERROR(__xludf.DUMMYFUNCTION("""COMPUTED_VALUE"""),"")</f>
        <v/>
      </c>
    </row>
    <row r="345" spans="1:22" ht="13.2">
      <c r="A345" s="1" t="e">
        <f ca="1"/>
        <v>#NAME?</v>
      </c>
      <c r="B345" s="30">
        <v>6546</v>
      </c>
      <c r="C345" s="36"/>
      <c r="D345" s="37"/>
      <c r="E345" s="36"/>
      <c r="F345" s="37"/>
      <c r="G345" s="42"/>
      <c r="H345" s="40" t="s">
        <v>38</v>
      </c>
      <c r="I345" s="40" t="s">
        <v>38</v>
      </c>
      <c r="J345" s="4"/>
      <c r="K345" s="41" t="str">
        <f ca="1">IFERROR(__xludf.DUMMYFUNCTION("""COMPUTED_VALUE"""),"")</f>
        <v/>
      </c>
      <c r="L345" s="5" t="str">
        <f ca="1">IFERROR(__xludf.DUMMYFUNCTION("""COMPUTED_VALUE"""),"")</f>
        <v/>
      </c>
      <c r="M345" s="5" t="str">
        <f ca="1">IFERROR(__xludf.DUMMYFUNCTION("""COMPUTED_VALUE"""),"")</f>
        <v/>
      </c>
      <c r="N345" s="5" t="str">
        <f ca="1">IFERROR(__xludf.DUMMYFUNCTION("""COMPUTED_VALUE"""),"")</f>
        <v/>
      </c>
      <c r="O345" s="5"/>
      <c r="P345" s="41" t="str">
        <f ca="1">IFERROR(__xludf.DUMMYFUNCTION("""COMPUTED_VALUE"""),"")</f>
        <v/>
      </c>
      <c r="Q345" s="41" t="str">
        <f ca="1">IFERROR(__xludf.DUMMYFUNCTION("""COMPUTED_VALUE"""),"")</f>
        <v/>
      </c>
      <c r="R345" s="5" t="str">
        <f ca="1">IFERROR(__xludf.DUMMYFUNCTION("""COMPUTED_VALUE"""),"")</f>
        <v/>
      </c>
      <c r="S345" s="5" t="str">
        <f ca="1">IFERROR(__xludf.DUMMYFUNCTION("""COMPUTED_VALUE"""),"")</f>
        <v/>
      </c>
      <c r="T345" s="5" t="str">
        <f ca="1">IFERROR(__xludf.DUMMYFUNCTION("""COMPUTED_VALUE"""),"")</f>
        <v/>
      </c>
      <c r="U345" s="5" t="str">
        <f ca="1"/>
        <v/>
      </c>
      <c r="V345" s="5" t="str">
        <f ca="1">IFERROR(__xludf.DUMMYFUNCTION("""COMPUTED_VALUE"""),"")</f>
        <v/>
      </c>
    </row>
    <row r="346" spans="1:22" ht="13.2">
      <c r="A346" s="1" t="e">
        <f ca="1"/>
        <v>#NAME?</v>
      </c>
      <c r="B346" s="30">
        <v>6555</v>
      </c>
      <c r="C346" s="36"/>
      <c r="D346" s="37"/>
      <c r="E346" s="36"/>
      <c r="F346" s="37"/>
      <c r="G346" s="42"/>
      <c r="H346" s="40" t="s">
        <v>38</v>
      </c>
      <c r="I346" s="40" t="s">
        <v>38</v>
      </c>
      <c r="J346" s="4"/>
      <c r="K346" s="41" t="str">
        <f ca="1">IFERROR(__xludf.DUMMYFUNCTION("""COMPUTED_VALUE"""),"")</f>
        <v/>
      </c>
      <c r="L346" s="5" t="str">
        <f ca="1">IFERROR(__xludf.DUMMYFUNCTION("""COMPUTED_VALUE"""),"")</f>
        <v/>
      </c>
      <c r="M346" s="5" t="str">
        <f ca="1">IFERROR(__xludf.DUMMYFUNCTION("""COMPUTED_VALUE"""),"")</f>
        <v/>
      </c>
      <c r="N346" s="5" t="str">
        <f ca="1">IFERROR(__xludf.DUMMYFUNCTION("""COMPUTED_VALUE"""),"")</f>
        <v/>
      </c>
      <c r="O346" s="5"/>
      <c r="P346" s="41" t="str">
        <f ca="1">IFERROR(__xludf.DUMMYFUNCTION("""COMPUTED_VALUE"""),"")</f>
        <v/>
      </c>
      <c r="Q346" s="41" t="str">
        <f ca="1">IFERROR(__xludf.DUMMYFUNCTION("""COMPUTED_VALUE"""),"")</f>
        <v/>
      </c>
      <c r="R346" s="5" t="str">
        <f ca="1">IFERROR(__xludf.DUMMYFUNCTION("""COMPUTED_VALUE"""),"")</f>
        <v/>
      </c>
      <c r="S346" s="5" t="str">
        <f ca="1">IFERROR(__xludf.DUMMYFUNCTION("""COMPUTED_VALUE"""),"")</f>
        <v/>
      </c>
      <c r="T346" s="5" t="str">
        <f ca="1">IFERROR(__xludf.DUMMYFUNCTION("""COMPUTED_VALUE"""),"")</f>
        <v/>
      </c>
      <c r="U346" s="5" t="str">
        <f ca="1"/>
        <v/>
      </c>
      <c r="V346" s="5" t="str">
        <f ca="1">IFERROR(__xludf.DUMMYFUNCTION("""COMPUTED_VALUE"""),"")</f>
        <v/>
      </c>
    </row>
    <row r="347" spans="1:22" ht="13.2">
      <c r="A347" s="1" t="e">
        <f ca="1"/>
        <v>#NAME?</v>
      </c>
      <c r="B347" s="30">
        <v>6575</v>
      </c>
      <c r="C347" s="36"/>
      <c r="D347" s="37"/>
      <c r="E347" s="36"/>
      <c r="F347" s="37"/>
      <c r="G347" s="42"/>
      <c r="H347" s="40" t="s">
        <v>38</v>
      </c>
      <c r="I347" s="40" t="s">
        <v>38</v>
      </c>
      <c r="J347" s="4"/>
      <c r="K347" s="41" t="str">
        <f ca="1">IFERROR(__xludf.DUMMYFUNCTION("""COMPUTED_VALUE"""),"")</f>
        <v/>
      </c>
      <c r="L347" s="5" t="str">
        <f ca="1">IFERROR(__xludf.DUMMYFUNCTION("""COMPUTED_VALUE"""),"")</f>
        <v/>
      </c>
      <c r="M347" s="5" t="str">
        <f ca="1">IFERROR(__xludf.DUMMYFUNCTION("""COMPUTED_VALUE"""),"")</f>
        <v/>
      </c>
      <c r="N347" s="5" t="str">
        <f ca="1">IFERROR(__xludf.DUMMYFUNCTION("""COMPUTED_VALUE"""),"")</f>
        <v/>
      </c>
      <c r="O347" s="5"/>
      <c r="P347" s="41" t="str">
        <f ca="1">IFERROR(__xludf.DUMMYFUNCTION("""COMPUTED_VALUE"""),"")</f>
        <v/>
      </c>
      <c r="Q347" s="41" t="str">
        <f ca="1">IFERROR(__xludf.DUMMYFUNCTION("""COMPUTED_VALUE"""),"")</f>
        <v/>
      </c>
      <c r="R347" s="5" t="str">
        <f ca="1">IFERROR(__xludf.DUMMYFUNCTION("""COMPUTED_VALUE"""),"")</f>
        <v/>
      </c>
      <c r="S347" s="5" t="str">
        <f ca="1">IFERROR(__xludf.DUMMYFUNCTION("""COMPUTED_VALUE"""),"")</f>
        <v/>
      </c>
      <c r="T347" s="5" t="str">
        <f ca="1">IFERROR(__xludf.DUMMYFUNCTION("""COMPUTED_VALUE"""),"")</f>
        <v/>
      </c>
      <c r="U347" s="5" t="str">
        <f ca="1"/>
        <v/>
      </c>
      <c r="V347" s="5" t="str">
        <f ca="1">IFERROR(__xludf.DUMMYFUNCTION("""COMPUTED_VALUE"""),"")</f>
        <v/>
      </c>
    </row>
    <row r="348" spans="1:22" ht="13.2">
      <c r="A348" s="1" t="e">
        <f ca="1"/>
        <v>#NAME?</v>
      </c>
      <c r="B348" s="30">
        <v>6653</v>
      </c>
      <c r="C348" s="36"/>
      <c r="D348" s="37"/>
      <c r="E348" s="36"/>
      <c r="F348" s="37"/>
      <c r="G348" s="42"/>
      <c r="H348" s="40" t="s">
        <v>38</v>
      </c>
      <c r="I348" s="40" t="s">
        <v>38</v>
      </c>
      <c r="J348" s="4"/>
      <c r="K348" s="41" t="str">
        <f ca="1">IFERROR(__xludf.DUMMYFUNCTION("""COMPUTED_VALUE"""),"")</f>
        <v/>
      </c>
      <c r="L348" s="5" t="str">
        <f ca="1">IFERROR(__xludf.DUMMYFUNCTION("""COMPUTED_VALUE"""),"")</f>
        <v/>
      </c>
      <c r="M348" s="5" t="str">
        <f ca="1">IFERROR(__xludf.DUMMYFUNCTION("""COMPUTED_VALUE"""),"")</f>
        <v/>
      </c>
      <c r="N348" s="5" t="str">
        <f ca="1">IFERROR(__xludf.DUMMYFUNCTION("""COMPUTED_VALUE"""),"")</f>
        <v/>
      </c>
      <c r="O348" s="5"/>
      <c r="P348" s="41" t="str">
        <f ca="1">IFERROR(__xludf.DUMMYFUNCTION("""COMPUTED_VALUE"""),"")</f>
        <v/>
      </c>
      <c r="Q348" s="41" t="str">
        <f ca="1">IFERROR(__xludf.DUMMYFUNCTION("""COMPUTED_VALUE"""),"")</f>
        <v/>
      </c>
      <c r="R348" s="5" t="str">
        <f ca="1">IFERROR(__xludf.DUMMYFUNCTION("""COMPUTED_VALUE"""),"")</f>
        <v/>
      </c>
      <c r="S348" s="5" t="str">
        <f ca="1">IFERROR(__xludf.DUMMYFUNCTION("""COMPUTED_VALUE"""),"")</f>
        <v/>
      </c>
      <c r="T348" s="5" t="str">
        <f ca="1">IFERROR(__xludf.DUMMYFUNCTION("""COMPUTED_VALUE"""),"")</f>
        <v/>
      </c>
      <c r="U348" s="5" t="str">
        <f ca="1"/>
        <v/>
      </c>
      <c r="V348" s="5" t="str">
        <f ca="1">IFERROR(__xludf.DUMMYFUNCTION("""COMPUTED_VALUE"""),"")</f>
        <v/>
      </c>
    </row>
    <row r="349" spans="1:22" ht="13.2">
      <c r="A349" s="1" t="e">
        <f ca="1"/>
        <v>#NAME?</v>
      </c>
      <c r="B349" s="30">
        <v>6752</v>
      </c>
      <c r="C349" s="36"/>
      <c r="D349" s="37"/>
      <c r="E349" s="36"/>
      <c r="F349" s="37"/>
      <c r="G349" s="42"/>
      <c r="H349" s="40" t="s">
        <v>38</v>
      </c>
      <c r="I349" s="40" t="s">
        <v>38</v>
      </c>
      <c r="J349" s="4"/>
      <c r="K349" s="41" t="str">
        <f ca="1">IFERROR(__xludf.DUMMYFUNCTION("""COMPUTED_VALUE"""),"")</f>
        <v/>
      </c>
      <c r="L349" s="5" t="str">
        <f ca="1">IFERROR(__xludf.DUMMYFUNCTION("""COMPUTED_VALUE"""),"")</f>
        <v/>
      </c>
      <c r="M349" s="5" t="str">
        <f ca="1">IFERROR(__xludf.DUMMYFUNCTION("""COMPUTED_VALUE"""),"")</f>
        <v/>
      </c>
      <c r="N349" s="5" t="str">
        <f ca="1">IFERROR(__xludf.DUMMYFUNCTION("""COMPUTED_VALUE"""),"")</f>
        <v/>
      </c>
      <c r="O349" s="5"/>
      <c r="P349" s="41" t="str">
        <f ca="1">IFERROR(__xludf.DUMMYFUNCTION("""COMPUTED_VALUE"""),"")</f>
        <v/>
      </c>
      <c r="Q349" s="41" t="str">
        <f ca="1">IFERROR(__xludf.DUMMYFUNCTION("""COMPUTED_VALUE"""),"")</f>
        <v/>
      </c>
      <c r="R349" s="5" t="str">
        <f ca="1">IFERROR(__xludf.DUMMYFUNCTION("""COMPUTED_VALUE"""),"")</f>
        <v/>
      </c>
      <c r="S349" s="5" t="str">
        <f ca="1">IFERROR(__xludf.DUMMYFUNCTION("""COMPUTED_VALUE"""),"")</f>
        <v/>
      </c>
      <c r="T349" s="5" t="str">
        <f ca="1">IFERROR(__xludf.DUMMYFUNCTION("""COMPUTED_VALUE"""),"")</f>
        <v/>
      </c>
      <c r="U349" s="5" t="str">
        <f ca="1"/>
        <v/>
      </c>
      <c r="V349" s="5" t="str">
        <f ca="1">IFERROR(__xludf.DUMMYFUNCTION("""COMPUTED_VALUE"""),"")</f>
        <v/>
      </c>
    </row>
    <row r="350" spans="1:22" ht="13.2">
      <c r="A350" s="1" t="e">
        <f ca="1"/>
        <v>#NAME?</v>
      </c>
      <c r="B350" s="30">
        <v>6800</v>
      </c>
      <c r="C350" s="36"/>
      <c r="D350" s="37"/>
      <c r="E350" s="36"/>
      <c r="F350" s="37"/>
      <c r="G350" s="42"/>
      <c r="H350" s="40" t="s">
        <v>38</v>
      </c>
      <c r="I350" s="40" t="s">
        <v>38</v>
      </c>
      <c r="J350" s="4"/>
      <c r="K350" s="41" t="str">
        <f ca="1">IFERROR(__xludf.DUMMYFUNCTION("""COMPUTED_VALUE"""),"")</f>
        <v/>
      </c>
      <c r="L350" s="5" t="str">
        <f ca="1">IFERROR(__xludf.DUMMYFUNCTION("""COMPUTED_VALUE"""),"")</f>
        <v/>
      </c>
      <c r="M350" s="5" t="str">
        <f ca="1">IFERROR(__xludf.DUMMYFUNCTION("""COMPUTED_VALUE"""),"")</f>
        <v/>
      </c>
      <c r="N350" s="5" t="str">
        <f ca="1">IFERROR(__xludf.DUMMYFUNCTION("""COMPUTED_VALUE"""),"")</f>
        <v/>
      </c>
      <c r="O350" s="5"/>
      <c r="P350" s="41" t="str">
        <f ca="1">IFERROR(__xludf.DUMMYFUNCTION("""COMPUTED_VALUE"""),"")</f>
        <v/>
      </c>
      <c r="Q350" s="41" t="str">
        <f ca="1">IFERROR(__xludf.DUMMYFUNCTION("""COMPUTED_VALUE"""),"")</f>
        <v/>
      </c>
      <c r="R350" s="5" t="str">
        <f ca="1">IFERROR(__xludf.DUMMYFUNCTION("""COMPUTED_VALUE"""),"")</f>
        <v/>
      </c>
      <c r="S350" s="5" t="str">
        <f ca="1">IFERROR(__xludf.DUMMYFUNCTION("""COMPUTED_VALUE"""),"")</f>
        <v/>
      </c>
      <c r="T350" s="5" t="str">
        <f ca="1">IFERROR(__xludf.DUMMYFUNCTION("""COMPUTED_VALUE"""),"")</f>
        <v/>
      </c>
      <c r="U350" s="5" t="str">
        <f ca="1"/>
        <v/>
      </c>
      <c r="V350" s="5" t="str">
        <f ca="1">IFERROR(__xludf.DUMMYFUNCTION("""COMPUTED_VALUE"""),"")</f>
        <v/>
      </c>
    </row>
    <row r="351" spans="1:22" ht="13.2">
      <c r="A351" s="1" t="e">
        <f ca="1"/>
        <v>#NAME?</v>
      </c>
      <c r="B351" s="30">
        <v>7308</v>
      </c>
      <c r="C351" s="48"/>
      <c r="D351" s="49"/>
      <c r="E351" s="48"/>
      <c r="F351" s="49"/>
      <c r="G351" s="51"/>
      <c r="H351" s="40" t="s">
        <v>38</v>
      </c>
      <c r="I351" s="40" t="s">
        <v>38</v>
      </c>
      <c r="J351" s="4"/>
      <c r="K351" s="41" t="str">
        <f ca="1">IFERROR(__xludf.DUMMYFUNCTION("""COMPUTED_VALUE"""),"")</f>
        <v/>
      </c>
      <c r="L351" s="5" t="str">
        <f ca="1">IFERROR(__xludf.DUMMYFUNCTION("""COMPUTED_VALUE"""),"")</f>
        <v/>
      </c>
      <c r="M351" s="5" t="str">
        <f ca="1">IFERROR(__xludf.DUMMYFUNCTION("""COMPUTED_VALUE"""),"")</f>
        <v/>
      </c>
      <c r="N351" s="5" t="str">
        <f ca="1">IFERROR(__xludf.DUMMYFUNCTION("""COMPUTED_VALUE"""),"")</f>
        <v/>
      </c>
      <c r="O351" s="5"/>
      <c r="P351" s="41" t="str">
        <f ca="1">IFERROR(__xludf.DUMMYFUNCTION("""COMPUTED_VALUE"""),"")</f>
        <v/>
      </c>
      <c r="Q351" s="41" t="str">
        <f ca="1">IFERROR(__xludf.DUMMYFUNCTION("""COMPUTED_VALUE"""),"")</f>
        <v/>
      </c>
      <c r="R351" s="5" t="str">
        <f ca="1">IFERROR(__xludf.DUMMYFUNCTION("""COMPUTED_VALUE"""),"")</f>
        <v/>
      </c>
      <c r="S351" s="5" t="str">
        <f ca="1">IFERROR(__xludf.DUMMYFUNCTION("""COMPUTED_VALUE"""),"")</f>
        <v/>
      </c>
      <c r="T351" s="5" t="str">
        <f ca="1">IFERROR(__xludf.DUMMYFUNCTION("""COMPUTED_VALUE"""),"")</f>
        <v/>
      </c>
      <c r="U351" s="5" t="str">
        <f ca="1"/>
        <v/>
      </c>
      <c r="V351" s="5" t="str">
        <f ca="1">IFERROR(__xludf.DUMMYFUNCTION("""COMPUTED_VALUE"""),"")</f>
        <v/>
      </c>
    </row>
    <row r="352" spans="1:22" ht="13.2">
      <c r="A352" s="1" t="e">
        <f ca="1"/>
        <v>#NAME?</v>
      </c>
      <c r="B352" s="30">
        <v>7344</v>
      </c>
      <c r="C352" s="48"/>
      <c r="D352" s="49"/>
      <c r="E352" s="48"/>
      <c r="F352" s="49"/>
      <c r="G352" s="51"/>
      <c r="H352" s="40" t="s">
        <v>38</v>
      </c>
      <c r="I352" s="40" t="s">
        <v>38</v>
      </c>
      <c r="J352" s="4"/>
      <c r="K352" s="41" t="str">
        <f ca="1">IFERROR(__xludf.DUMMYFUNCTION("""COMPUTED_VALUE"""),"")</f>
        <v/>
      </c>
      <c r="L352" s="5" t="str">
        <f ca="1">IFERROR(__xludf.DUMMYFUNCTION("""COMPUTED_VALUE"""),"")</f>
        <v/>
      </c>
      <c r="M352" s="5" t="str">
        <f ca="1">IFERROR(__xludf.DUMMYFUNCTION("""COMPUTED_VALUE"""),"")</f>
        <v/>
      </c>
      <c r="N352" s="5" t="str">
        <f ca="1">IFERROR(__xludf.DUMMYFUNCTION("""COMPUTED_VALUE"""),"")</f>
        <v/>
      </c>
      <c r="O352" s="5"/>
      <c r="P352" s="41" t="str">
        <f ca="1">IFERROR(__xludf.DUMMYFUNCTION("""COMPUTED_VALUE"""),"")</f>
        <v/>
      </c>
      <c r="Q352" s="41" t="str">
        <f ca="1">IFERROR(__xludf.DUMMYFUNCTION("""COMPUTED_VALUE"""),"")</f>
        <v/>
      </c>
      <c r="R352" s="5" t="str">
        <f ca="1">IFERROR(__xludf.DUMMYFUNCTION("""COMPUTED_VALUE"""),"")</f>
        <v/>
      </c>
      <c r="S352" s="5" t="str">
        <f ca="1">IFERROR(__xludf.DUMMYFUNCTION("""COMPUTED_VALUE"""),"")</f>
        <v/>
      </c>
      <c r="T352" s="5" t="str">
        <f ca="1">IFERROR(__xludf.DUMMYFUNCTION("""COMPUTED_VALUE"""),"")</f>
        <v/>
      </c>
      <c r="U352" s="5" t="str">
        <f ca="1"/>
        <v/>
      </c>
      <c r="V352" s="5" t="str">
        <f ca="1">IFERROR(__xludf.DUMMYFUNCTION("""COMPUTED_VALUE"""),"")</f>
        <v/>
      </c>
    </row>
    <row r="353" spans="1:22" ht="13.2">
      <c r="A353" s="1" t="e">
        <f ca="1"/>
        <v>#NAME?</v>
      </c>
      <c r="B353" s="30">
        <v>7369</v>
      </c>
      <c r="C353" s="48"/>
      <c r="D353" s="49"/>
      <c r="E353" s="48"/>
      <c r="F353" s="49"/>
      <c r="G353" s="51"/>
      <c r="H353" s="40" t="s">
        <v>38</v>
      </c>
      <c r="I353" s="40" t="s">
        <v>38</v>
      </c>
      <c r="J353" s="4"/>
      <c r="K353" s="41" t="str">
        <f ca="1">IFERROR(__xludf.DUMMYFUNCTION("""COMPUTED_VALUE"""),"")</f>
        <v/>
      </c>
      <c r="L353" s="5" t="str">
        <f ca="1">IFERROR(__xludf.DUMMYFUNCTION("""COMPUTED_VALUE"""),"")</f>
        <v/>
      </c>
      <c r="M353" s="5" t="str">
        <f ca="1">IFERROR(__xludf.DUMMYFUNCTION("""COMPUTED_VALUE"""),"")</f>
        <v/>
      </c>
      <c r="N353" s="5" t="str">
        <f ca="1">IFERROR(__xludf.DUMMYFUNCTION("""COMPUTED_VALUE"""),"")</f>
        <v/>
      </c>
      <c r="O353" s="5"/>
      <c r="P353" s="41" t="str">
        <f ca="1">IFERROR(__xludf.DUMMYFUNCTION("""COMPUTED_VALUE"""),"")</f>
        <v/>
      </c>
      <c r="Q353" s="41" t="str">
        <f ca="1">IFERROR(__xludf.DUMMYFUNCTION("""COMPUTED_VALUE"""),"")</f>
        <v/>
      </c>
      <c r="R353" s="5" t="str">
        <f ca="1">IFERROR(__xludf.DUMMYFUNCTION("""COMPUTED_VALUE"""),"")</f>
        <v/>
      </c>
      <c r="S353" s="5" t="str">
        <f ca="1">IFERROR(__xludf.DUMMYFUNCTION("""COMPUTED_VALUE"""),"")</f>
        <v/>
      </c>
      <c r="T353" s="5" t="str">
        <f ca="1">IFERROR(__xludf.DUMMYFUNCTION("""COMPUTED_VALUE"""),"")</f>
        <v/>
      </c>
      <c r="U353" s="5" t="str">
        <f ca="1"/>
        <v/>
      </c>
      <c r="V353" s="5" t="str">
        <f ca="1">IFERROR(__xludf.DUMMYFUNCTION("""COMPUTED_VALUE"""),"")</f>
        <v/>
      </c>
    </row>
    <row r="354" spans="1:22" ht="13.2">
      <c r="A354" s="1" t="e">
        <f ca="1"/>
        <v>#NAME?</v>
      </c>
      <c r="B354" s="30">
        <v>7438</v>
      </c>
      <c r="C354" s="48"/>
      <c r="D354" s="49"/>
      <c r="E354" s="48"/>
      <c r="F354" s="49"/>
      <c r="G354" s="51"/>
      <c r="H354" s="40" t="s">
        <v>38</v>
      </c>
      <c r="I354" s="40" t="s">
        <v>38</v>
      </c>
      <c r="J354" s="4"/>
      <c r="K354" s="41" t="str">
        <f ca="1">IFERROR(__xludf.DUMMYFUNCTION("""COMPUTED_VALUE"""),"")</f>
        <v/>
      </c>
      <c r="L354" s="5" t="str">
        <f ca="1">IFERROR(__xludf.DUMMYFUNCTION("""COMPUTED_VALUE"""),"")</f>
        <v/>
      </c>
      <c r="M354" s="5" t="str">
        <f ca="1">IFERROR(__xludf.DUMMYFUNCTION("""COMPUTED_VALUE"""),"")</f>
        <v/>
      </c>
      <c r="N354" s="5" t="str">
        <f ca="1">IFERROR(__xludf.DUMMYFUNCTION("""COMPUTED_VALUE"""),"")</f>
        <v/>
      </c>
      <c r="O354" s="5"/>
      <c r="P354" s="41" t="str">
        <f ca="1">IFERROR(__xludf.DUMMYFUNCTION("""COMPUTED_VALUE"""),"")</f>
        <v/>
      </c>
      <c r="Q354" s="41" t="str">
        <f ca="1">IFERROR(__xludf.DUMMYFUNCTION("""COMPUTED_VALUE"""),"")</f>
        <v/>
      </c>
      <c r="R354" s="5" t="str">
        <f ca="1">IFERROR(__xludf.DUMMYFUNCTION("""COMPUTED_VALUE"""),"")</f>
        <v/>
      </c>
      <c r="S354" s="5" t="str">
        <f ca="1">IFERROR(__xludf.DUMMYFUNCTION("""COMPUTED_VALUE"""),"")</f>
        <v/>
      </c>
      <c r="T354" s="5" t="str">
        <f ca="1">IFERROR(__xludf.DUMMYFUNCTION("""COMPUTED_VALUE"""),"")</f>
        <v/>
      </c>
      <c r="U354" s="5" t="str">
        <f ca="1"/>
        <v/>
      </c>
      <c r="V354" s="5" t="str">
        <f ca="1">IFERROR(__xludf.DUMMYFUNCTION("""COMPUTED_VALUE"""),"")</f>
        <v/>
      </c>
    </row>
    <row r="355" spans="1:22" ht="13.2">
      <c r="A355" s="1" t="e">
        <f ca="1"/>
        <v>#NAME?</v>
      </c>
      <c r="B355" s="30">
        <v>8227</v>
      </c>
      <c r="C355" s="48"/>
      <c r="D355" s="49"/>
      <c r="E355" s="48"/>
      <c r="F355" s="49"/>
      <c r="G355" s="51"/>
      <c r="H355" s="40" t="s">
        <v>38</v>
      </c>
      <c r="I355" s="40" t="s">
        <v>38</v>
      </c>
      <c r="J355" s="4"/>
      <c r="K355" s="41" t="str">
        <f ca="1">IFERROR(__xludf.DUMMYFUNCTION("""COMPUTED_VALUE"""),"")</f>
        <v/>
      </c>
      <c r="L355" s="5" t="str">
        <f ca="1">IFERROR(__xludf.DUMMYFUNCTION("""COMPUTED_VALUE"""),"")</f>
        <v/>
      </c>
      <c r="M355" s="5" t="str">
        <f ca="1">IFERROR(__xludf.DUMMYFUNCTION("""COMPUTED_VALUE"""),"")</f>
        <v/>
      </c>
      <c r="N355" s="5" t="str">
        <f ca="1">IFERROR(__xludf.DUMMYFUNCTION("""COMPUTED_VALUE"""),"")</f>
        <v/>
      </c>
      <c r="O355" s="5"/>
      <c r="P355" s="41" t="str">
        <f ca="1">IFERROR(__xludf.DUMMYFUNCTION("""COMPUTED_VALUE"""),"")</f>
        <v/>
      </c>
      <c r="Q355" s="41" t="str">
        <f ca="1">IFERROR(__xludf.DUMMYFUNCTION("""COMPUTED_VALUE"""),"")</f>
        <v/>
      </c>
      <c r="R355" s="5" t="str">
        <f ca="1">IFERROR(__xludf.DUMMYFUNCTION("""COMPUTED_VALUE"""),"")</f>
        <v/>
      </c>
      <c r="S355" s="5" t="str">
        <f ca="1">IFERROR(__xludf.DUMMYFUNCTION("""COMPUTED_VALUE"""),"")</f>
        <v/>
      </c>
      <c r="T355" s="5" t="str">
        <f ca="1">IFERROR(__xludf.DUMMYFUNCTION("""COMPUTED_VALUE"""),"")</f>
        <v/>
      </c>
      <c r="U355" s="5" t="str">
        <f ca="1"/>
        <v/>
      </c>
      <c r="V355" s="5" t="str">
        <f ca="1">IFERROR(__xludf.DUMMYFUNCTION("""COMPUTED_VALUE"""),"")</f>
        <v/>
      </c>
    </row>
    <row r="356" spans="1:22" ht="13.2">
      <c r="A356" s="1" t="e">
        <f ca="1"/>
        <v>#NAME?</v>
      </c>
      <c r="B356" s="30">
        <v>8288</v>
      </c>
      <c r="C356" s="48"/>
      <c r="D356" s="49"/>
      <c r="E356" s="48"/>
      <c r="F356" s="49"/>
      <c r="G356" s="51"/>
      <c r="H356" s="40" t="s">
        <v>38</v>
      </c>
      <c r="I356" s="40" t="s">
        <v>38</v>
      </c>
      <c r="J356" s="4"/>
      <c r="K356" s="41" t="str">
        <f ca="1">IFERROR(__xludf.DUMMYFUNCTION("""COMPUTED_VALUE"""),"")</f>
        <v/>
      </c>
      <c r="L356" s="5" t="str">
        <f ca="1">IFERROR(__xludf.DUMMYFUNCTION("""COMPUTED_VALUE"""),"")</f>
        <v/>
      </c>
      <c r="M356" s="5" t="str">
        <f ca="1">IFERROR(__xludf.DUMMYFUNCTION("""COMPUTED_VALUE"""),"")</f>
        <v/>
      </c>
      <c r="N356" s="5" t="str">
        <f ca="1">IFERROR(__xludf.DUMMYFUNCTION("""COMPUTED_VALUE"""),"")</f>
        <v/>
      </c>
      <c r="O356" s="5"/>
      <c r="P356" s="41" t="str">
        <f ca="1">IFERROR(__xludf.DUMMYFUNCTION("""COMPUTED_VALUE"""),"")</f>
        <v/>
      </c>
      <c r="Q356" s="41" t="str">
        <f ca="1">IFERROR(__xludf.DUMMYFUNCTION("""COMPUTED_VALUE"""),"")</f>
        <v/>
      </c>
      <c r="R356" s="5" t="str">
        <f ca="1">IFERROR(__xludf.DUMMYFUNCTION("""COMPUTED_VALUE"""),"")</f>
        <v/>
      </c>
      <c r="S356" s="5" t="str">
        <f ca="1">IFERROR(__xludf.DUMMYFUNCTION("""COMPUTED_VALUE"""),"")</f>
        <v/>
      </c>
      <c r="T356" s="5" t="str">
        <f ca="1">IFERROR(__xludf.DUMMYFUNCTION("""COMPUTED_VALUE"""),"")</f>
        <v/>
      </c>
      <c r="U356" s="5" t="str">
        <f ca="1"/>
        <v/>
      </c>
      <c r="V356" s="5" t="str">
        <f ca="1">IFERROR(__xludf.DUMMYFUNCTION("""COMPUTED_VALUE"""),"")</f>
        <v/>
      </c>
    </row>
    <row r="357" spans="1:22" ht="13.2">
      <c r="A357" s="1" t="e">
        <f ca="1"/>
        <v>#NAME?</v>
      </c>
      <c r="B357" s="30">
        <v>8452</v>
      </c>
      <c r="C357" s="48"/>
      <c r="D357" s="49"/>
      <c r="E357" s="48"/>
      <c r="F357" s="49"/>
      <c r="G357" s="51"/>
      <c r="H357" s="40" t="s">
        <v>38</v>
      </c>
      <c r="I357" s="40" t="s">
        <v>38</v>
      </c>
      <c r="J357" s="4"/>
      <c r="K357" s="41" t="str">
        <f ca="1">IFERROR(__xludf.DUMMYFUNCTION("""COMPUTED_VALUE"""),"")</f>
        <v/>
      </c>
      <c r="L357" s="5" t="str">
        <f ca="1">IFERROR(__xludf.DUMMYFUNCTION("""COMPUTED_VALUE"""),"")</f>
        <v/>
      </c>
      <c r="M357" s="5" t="str">
        <f ca="1">IFERROR(__xludf.DUMMYFUNCTION("""COMPUTED_VALUE"""),"")</f>
        <v/>
      </c>
      <c r="N357" s="5" t="str">
        <f ca="1">IFERROR(__xludf.DUMMYFUNCTION("""COMPUTED_VALUE"""),"")</f>
        <v/>
      </c>
      <c r="O357" s="5"/>
      <c r="P357" s="41" t="str">
        <f ca="1">IFERROR(__xludf.DUMMYFUNCTION("""COMPUTED_VALUE"""),"")</f>
        <v/>
      </c>
      <c r="Q357" s="41" t="str">
        <f ca="1">IFERROR(__xludf.DUMMYFUNCTION("""COMPUTED_VALUE"""),"")</f>
        <v/>
      </c>
      <c r="R357" s="5" t="str">
        <f ca="1">IFERROR(__xludf.DUMMYFUNCTION("""COMPUTED_VALUE"""),"")</f>
        <v/>
      </c>
      <c r="S357" s="5" t="str">
        <f ca="1">IFERROR(__xludf.DUMMYFUNCTION("""COMPUTED_VALUE"""),"")</f>
        <v/>
      </c>
      <c r="T357" s="5" t="str">
        <f ca="1">IFERROR(__xludf.DUMMYFUNCTION("""COMPUTED_VALUE"""),"")</f>
        <v/>
      </c>
      <c r="U357" s="5" t="str">
        <f ca="1"/>
        <v/>
      </c>
      <c r="V357" s="5" t="str">
        <f ca="1">IFERROR(__xludf.DUMMYFUNCTION("""COMPUTED_VALUE"""),"")</f>
        <v/>
      </c>
    </row>
    <row r="358" spans="1:22" ht="13.2">
      <c r="A358" s="1" t="e">
        <f ca="1"/>
        <v>#NAME?</v>
      </c>
      <c r="B358" s="30">
        <v>9113</v>
      </c>
      <c r="C358" s="48"/>
      <c r="D358" s="49"/>
      <c r="E358" s="48"/>
      <c r="F358" s="49"/>
      <c r="G358" s="51"/>
      <c r="H358" s="40" t="s">
        <v>38</v>
      </c>
      <c r="I358" s="40" t="s">
        <v>38</v>
      </c>
      <c r="J358" s="4"/>
      <c r="K358" s="41" t="str">
        <f ca="1">IFERROR(__xludf.DUMMYFUNCTION("""COMPUTED_VALUE"""),"")</f>
        <v/>
      </c>
      <c r="L358" s="5" t="str">
        <f ca="1">IFERROR(__xludf.DUMMYFUNCTION("""COMPUTED_VALUE"""),"")</f>
        <v/>
      </c>
      <c r="M358" s="5" t="str">
        <f ca="1">IFERROR(__xludf.DUMMYFUNCTION("""COMPUTED_VALUE"""),"")</f>
        <v/>
      </c>
      <c r="N358" s="5" t="str">
        <f ca="1">IFERROR(__xludf.DUMMYFUNCTION("""COMPUTED_VALUE"""),"")</f>
        <v/>
      </c>
      <c r="O358" s="5"/>
      <c r="P358" s="41" t="str">
        <f ca="1">IFERROR(__xludf.DUMMYFUNCTION("""COMPUTED_VALUE"""),"")</f>
        <v/>
      </c>
      <c r="Q358" s="41" t="str">
        <f ca="1">IFERROR(__xludf.DUMMYFUNCTION("""COMPUTED_VALUE"""),"")</f>
        <v/>
      </c>
      <c r="R358" s="5" t="str">
        <f ca="1">IFERROR(__xludf.DUMMYFUNCTION("""COMPUTED_VALUE"""),"")</f>
        <v/>
      </c>
      <c r="S358" s="5" t="str">
        <f ca="1">IFERROR(__xludf.DUMMYFUNCTION("""COMPUTED_VALUE"""),"")</f>
        <v/>
      </c>
      <c r="T358" s="5" t="str">
        <f ca="1">IFERROR(__xludf.DUMMYFUNCTION("""COMPUTED_VALUE"""),"")</f>
        <v/>
      </c>
      <c r="U358" s="5" t="str">
        <f ca="1"/>
        <v/>
      </c>
      <c r="V358" s="5" t="str">
        <f ca="1">IFERROR(__xludf.DUMMYFUNCTION("""COMPUTED_VALUE"""),"")</f>
        <v/>
      </c>
    </row>
    <row r="359" spans="1:22" ht="13.2">
      <c r="A359" s="1" t="e">
        <f ca="1"/>
        <v>#NAME?</v>
      </c>
      <c r="B359" s="30">
        <v>9457</v>
      </c>
      <c r="C359" s="48"/>
      <c r="D359" s="49"/>
      <c r="E359" s="48"/>
      <c r="F359" s="49"/>
      <c r="G359" s="51"/>
      <c r="H359" s="40" t="s">
        <v>38</v>
      </c>
      <c r="I359" s="40" t="s">
        <v>38</v>
      </c>
      <c r="J359" s="4"/>
      <c r="K359" s="41" t="str">
        <f ca="1">IFERROR(__xludf.DUMMYFUNCTION("""COMPUTED_VALUE"""),"")</f>
        <v/>
      </c>
      <c r="L359" s="5" t="str">
        <f ca="1">IFERROR(__xludf.DUMMYFUNCTION("""COMPUTED_VALUE"""),"")</f>
        <v/>
      </c>
      <c r="M359" s="5" t="str">
        <f ca="1">IFERROR(__xludf.DUMMYFUNCTION("""COMPUTED_VALUE"""),"")</f>
        <v/>
      </c>
      <c r="N359" s="5" t="str">
        <f ca="1">IFERROR(__xludf.DUMMYFUNCTION("""COMPUTED_VALUE"""),"")</f>
        <v/>
      </c>
      <c r="O359" s="5"/>
      <c r="P359" s="41" t="str">
        <f ca="1">IFERROR(__xludf.DUMMYFUNCTION("""COMPUTED_VALUE"""),"")</f>
        <v/>
      </c>
      <c r="Q359" s="41" t="str">
        <f ca="1">IFERROR(__xludf.DUMMYFUNCTION("""COMPUTED_VALUE"""),"")</f>
        <v/>
      </c>
      <c r="R359" s="5" t="str">
        <f ca="1">IFERROR(__xludf.DUMMYFUNCTION("""COMPUTED_VALUE"""),"")</f>
        <v/>
      </c>
      <c r="S359" s="5" t="str">
        <f ca="1">IFERROR(__xludf.DUMMYFUNCTION("""COMPUTED_VALUE"""),"")</f>
        <v/>
      </c>
      <c r="T359" s="5" t="str">
        <f ca="1">IFERROR(__xludf.DUMMYFUNCTION("""COMPUTED_VALUE"""),"")</f>
        <v/>
      </c>
      <c r="U359" s="5" t="str">
        <f ca="1"/>
        <v/>
      </c>
      <c r="V359" s="5" t="str">
        <f ca="1">IFERROR(__xludf.DUMMYFUNCTION("""COMPUTED_VALUE"""),"")</f>
        <v/>
      </c>
    </row>
    <row r="360" spans="1:22" ht="13.2">
      <c r="A360" s="1" t="e">
        <f ca="1"/>
        <v>#NAME?</v>
      </c>
      <c r="B360" s="30">
        <v>9560</v>
      </c>
      <c r="C360" s="48"/>
      <c r="D360" s="49"/>
      <c r="E360" s="48"/>
      <c r="F360" s="49"/>
      <c r="G360" s="51"/>
      <c r="H360" s="40" t="s">
        <v>38</v>
      </c>
      <c r="I360" s="40" t="s">
        <v>38</v>
      </c>
      <c r="J360" s="4"/>
      <c r="K360" s="41" t="str">
        <f ca="1">IFERROR(__xludf.DUMMYFUNCTION("""COMPUTED_VALUE"""),"")</f>
        <v/>
      </c>
      <c r="L360" s="5" t="str">
        <f ca="1">IFERROR(__xludf.DUMMYFUNCTION("""COMPUTED_VALUE"""),"")</f>
        <v/>
      </c>
      <c r="M360" s="5" t="str">
        <f ca="1">IFERROR(__xludf.DUMMYFUNCTION("""COMPUTED_VALUE"""),"")</f>
        <v/>
      </c>
      <c r="N360" s="5" t="str">
        <f ca="1">IFERROR(__xludf.DUMMYFUNCTION("""COMPUTED_VALUE"""),"")</f>
        <v/>
      </c>
      <c r="O360" s="5"/>
      <c r="P360" s="41" t="str">
        <f ca="1">IFERROR(__xludf.DUMMYFUNCTION("""COMPUTED_VALUE"""),"")</f>
        <v/>
      </c>
      <c r="Q360" s="41" t="str">
        <f ca="1">IFERROR(__xludf.DUMMYFUNCTION("""COMPUTED_VALUE"""),"")</f>
        <v/>
      </c>
      <c r="R360" s="5" t="str">
        <f ca="1">IFERROR(__xludf.DUMMYFUNCTION("""COMPUTED_VALUE"""),"")</f>
        <v/>
      </c>
      <c r="S360" s="5" t="str">
        <f ca="1">IFERROR(__xludf.DUMMYFUNCTION("""COMPUTED_VALUE"""),"")</f>
        <v/>
      </c>
      <c r="T360" s="5" t="str">
        <f ca="1">IFERROR(__xludf.DUMMYFUNCTION("""COMPUTED_VALUE"""),"")</f>
        <v/>
      </c>
      <c r="U360" s="5" t="str">
        <f ca="1"/>
        <v/>
      </c>
      <c r="V360" s="5" t="str">
        <f ca="1">IFERROR(__xludf.DUMMYFUNCTION("""COMPUTED_VALUE"""),"")</f>
        <v/>
      </c>
    </row>
    <row r="361" spans="1:22" ht="13.2">
      <c r="A361" s="1" t="e">
        <f ca="1"/>
        <v>#NAME?</v>
      </c>
      <c r="B361" s="30">
        <v>9561</v>
      </c>
      <c r="C361" s="48"/>
      <c r="D361" s="49"/>
      <c r="E361" s="48"/>
      <c r="F361" s="49"/>
      <c r="G361" s="51"/>
      <c r="H361" s="40" t="s">
        <v>38</v>
      </c>
      <c r="I361" s="40" t="s">
        <v>38</v>
      </c>
      <c r="J361" s="4"/>
      <c r="K361" s="41" t="str">
        <f ca="1">IFERROR(__xludf.DUMMYFUNCTION("""COMPUTED_VALUE"""),"")</f>
        <v/>
      </c>
      <c r="L361" s="5" t="str">
        <f ca="1">IFERROR(__xludf.DUMMYFUNCTION("""COMPUTED_VALUE"""),"")</f>
        <v/>
      </c>
      <c r="M361" s="5" t="str">
        <f ca="1">IFERROR(__xludf.DUMMYFUNCTION("""COMPUTED_VALUE"""),"")</f>
        <v/>
      </c>
      <c r="N361" s="5" t="str">
        <f ca="1">IFERROR(__xludf.DUMMYFUNCTION("""COMPUTED_VALUE"""),"")</f>
        <v/>
      </c>
      <c r="O361" s="5"/>
      <c r="P361" s="41" t="str">
        <f ca="1">IFERROR(__xludf.DUMMYFUNCTION("""COMPUTED_VALUE"""),"")</f>
        <v/>
      </c>
      <c r="Q361" s="41" t="str">
        <f ca="1">IFERROR(__xludf.DUMMYFUNCTION("""COMPUTED_VALUE"""),"")</f>
        <v/>
      </c>
      <c r="R361" s="5" t="str">
        <f ca="1">IFERROR(__xludf.DUMMYFUNCTION("""COMPUTED_VALUE"""),"")</f>
        <v/>
      </c>
      <c r="S361" s="5" t="str">
        <f ca="1">IFERROR(__xludf.DUMMYFUNCTION("""COMPUTED_VALUE"""),"")</f>
        <v/>
      </c>
      <c r="T361" s="5" t="str">
        <f ca="1">IFERROR(__xludf.DUMMYFUNCTION("""COMPUTED_VALUE"""),"")</f>
        <v/>
      </c>
      <c r="U361" s="5" t="str">
        <f ca="1"/>
        <v/>
      </c>
      <c r="V361" s="5" t="str">
        <f ca="1">IFERROR(__xludf.DUMMYFUNCTION("""COMPUTED_VALUE"""),"")</f>
        <v/>
      </c>
    </row>
    <row r="362" spans="1:22" ht="13.2">
      <c r="A362" s="1" t="e">
        <f ca="1"/>
        <v>#NAME?</v>
      </c>
      <c r="B362" s="30">
        <v>9872</v>
      </c>
      <c r="C362" s="48"/>
      <c r="D362" s="49"/>
      <c r="E362" s="48"/>
      <c r="F362" s="49"/>
      <c r="G362" s="51"/>
      <c r="H362" s="40" t="s">
        <v>38</v>
      </c>
      <c r="I362" s="40" t="s">
        <v>38</v>
      </c>
      <c r="J362" s="4"/>
      <c r="K362" s="41" t="str">
        <f ca="1">IFERROR(__xludf.DUMMYFUNCTION("""COMPUTED_VALUE"""),"")</f>
        <v/>
      </c>
      <c r="L362" s="5" t="str">
        <f ca="1">IFERROR(__xludf.DUMMYFUNCTION("""COMPUTED_VALUE"""),"")</f>
        <v/>
      </c>
      <c r="M362" s="5" t="str">
        <f ca="1">IFERROR(__xludf.DUMMYFUNCTION("""COMPUTED_VALUE"""),"")</f>
        <v/>
      </c>
      <c r="N362" s="5" t="str">
        <f ca="1">IFERROR(__xludf.DUMMYFUNCTION("""COMPUTED_VALUE"""),"")</f>
        <v/>
      </c>
      <c r="O362" s="5"/>
      <c r="P362" s="41" t="str">
        <f ca="1">IFERROR(__xludf.DUMMYFUNCTION("""COMPUTED_VALUE"""),"")</f>
        <v/>
      </c>
      <c r="Q362" s="41" t="str">
        <f ca="1">IFERROR(__xludf.DUMMYFUNCTION("""COMPUTED_VALUE"""),"")</f>
        <v/>
      </c>
      <c r="R362" s="5" t="str">
        <f ca="1">IFERROR(__xludf.DUMMYFUNCTION("""COMPUTED_VALUE"""),"")</f>
        <v/>
      </c>
      <c r="S362" s="5" t="str">
        <f ca="1">IFERROR(__xludf.DUMMYFUNCTION("""COMPUTED_VALUE"""),"")</f>
        <v/>
      </c>
      <c r="T362" s="5" t="str">
        <f ca="1">IFERROR(__xludf.DUMMYFUNCTION("""COMPUTED_VALUE"""),"")</f>
        <v/>
      </c>
      <c r="U362" s="5" t="str">
        <f ca="1"/>
        <v/>
      </c>
      <c r="V362" s="5" t="str">
        <f ca="1">IFERROR(__xludf.DUMMYFUNCTION("""COMPUTED_VALUE"""),"")</f>
        <v/>
      </c>
    </row>
    <row r="363" spans="1:22" ht="13.2">
      <c r="A363" s="1"/>
      <c r="B363" s="52"/>
      <c r="C363" s="53"/>
      <c r="D363" s="54"/>
      <c r="E363" s="55"/>
      <c r="F363" s="55"/>
      <c r="G363" s="56"/>
      <c r="H363" s="55"/>
      <c r="I363" s="57"/>
      <c r="J363" s="4"/>
      <c r="K363" s="5" t="str">
        <f ca="1">IFERROR(__xludf.DUMMYFUNCTION("""COMPUTED_VALUE"""),"")</f>
        <v/>
      </c>
      <c r="L363" s="5" t="str">
        <f ca="1">IFERROR(__xludf.DUMMYFUNCTION("""COMPUTED_VALUE"""),"")</f>
        <v/>
      </c>
      <c r="M363" s="5" t="str">
        <f ca="1">IFERROR(__xludf.DUMMYFUNCTION("""COMPUTED_VALUE"""),"")</f>
        <v/>
      </c>
      <c r="N363" s="5" t="str">
        <f ca="1">IFERROR(__xludf.DUMMYFUNCTION("""COMPUTED_VALUE"""),"")</f>
        <v/>
      </c>
      <c r="O363" s="5"/>
      <c r="P363" s="5"/>
      <c r="Q363" s="5" t="str">
        <f ca="1">IFERROR(__xludf.DUMMYFUNCTION("""COMPUTED_VALUE"""),"")</f>
        <v/>
      </c>
      <c r="R363" s="5" t="str">
        <f ca="1">IFERROR(__xludf.DUMMYFUNCTION("""COMPUTED_VALUE"""),"")</f>
        <v/>
      </c>
      <c r="S363" s="5" t="str">
        <f ca="1">IFERROR(__xludf.DUMMYFUNCTION("""COMPUTED_VALUE"""),"")</f>
        <v/>
      </c>
      <c r="T363" s="5" t="str">
        <f ca="1">IFERROR(__xludf.DUMMYFUNCTION("""COMPUTED_VALUE"""),"")</f>
        <v/>
      </c>
      <c r="U363" s="5"/>
      <c r="V363" s="5"/>
    </row>
    <row r="364" spans="1:22" ht="13.2">
      <c r="A364" s="1"/>
      <c r="B364" s="1"/>
      <c r="C364" s="1"/>
      <c r="D364" s="58"/>
      <c r="E364" s="1"/>
      <c r="F364" s="1"/>
      <c r="G364" s="59"/>
      <c r="H364" s="1"/>
      <c r="I364" s="1"/>
      <c r="J364" s="4"/>
      <c r="K364" s="5" t="str">
        <f ca="1">IFERROR(__xludf.DUMMYFUNCTION("""COMPUTED_VALUE"""),"")</f>
        <v/>
      </c>
      <c r="L364" s="5" t="str">
        <f ca="1">IFERROR(__xludf.DUMMYFUNCTION("""COMPUTED_VALUE"""),"")</f>
        <v/>
      </c>
      <c r="M364" s="5" t="str">
        <f ca="1">IFERROR(__xludf.DUMMYFUNCTION("""COMPUTED_VALUE"""),"")</f>
        <v/>
      </c>
      <c r="N364" s="5" t="str">
        <f ca="1">IFERROR(__xludf.DUMMYFUNCTION("""COMPUTED_VALUE"""),"")</f>
        <v/>
      </c>
      <c r="O364" s="5"/>
      <c r="P364" s="5"/>
      <c r="Q364" s="5" t="str">
        <f ca="1">IFERROR(__xludf.DUMMYFUNCTION("""COMPUTED_VALUE"""),"")</f>
        <v/>
      </c>
      <c r="R364" s="5" t="str">
        <f ca="1">IFERROR(__xludf.DUMMYFUNCTION("""COMPUTED_VALUE"""),"")</f>
        <v/>
      </c>
      <c r="S364" s="5" t="str">
        <f ca="1">IFERROR(__xludf.DUMMYFUNCTION("""COMPUTED_VALUE"""),"")</f>
        <v/>
      </c>
      <c r="T364" s="5" t="str">
        <f ca="1">IFERROR(__xludf.DUMMYFUNCTION("""COMPUTED_VALUE"""),"")</f>
        <v/>
      </c>
      <c r="U364" s="5"/>
      <c r="V364" s="5"/>
    </row>
    <row r="365" spans="1:22" ht="13.2">
      <c r="A365" s="1"/>
      <c r="B365" s="1"/>
      <c r="C365" s="60" t="s">
        <v>108</v>
      </c>
      <c r="D365" s="61" t="s">
        <v>109</v>
      </c>
      <c r="E365" s="62" t="s">
        <v>110</v>
      </c>
      <c r="F365" s="187"/>
      <c r="G365" s="188"/>
      <c r="H365" s="1"/>
      <c r="I365" s="1"/>
      <c r="J365" s="4"/>
      <c r="K365" s="5" t="str">
        <f ca="1">IFERROR(__xludf.DUMMYFUNCTION("""COMPUTED_VALUE"""),"")</f>
        <v/>
      </c>
      <c r="L365" s="5" t="str">
        <f ca="1">IFERROR(__xludf.DUMMYFUNCTION("""COMPUTED_VALUE"""),"")</f>
        <v/>
      </c>
      <c r="M365" s="5" t="str">
        <f ca="1">IFERROR(__xludf.DUMMYFUNCTION("""COMPUTED_VALUE"""),"")</f>
        <v/>
      </c>
      <c r="N365" s="5" t="str">
        <f ca="1">IFERROR(__xludf.DUMMYFUNCTION("""COMPUTED_VALUE"""),"")</f>
        <v/>
      </c>
      <c r="O365" s="5"/>
      <c r="P365" s="5"/>
      <c r="Q365" s="5" t="str">
        <f ca="1">IFERROR(__xludf.DUMMYFUNCTION("""COMPUTED_VALUE"""),"")</f>
        <v/>
      </c>
      <c r="R365" s="5" t="str">
        <f ca="1">IFERROR(__xludf.DUMMYFUNCTION("""COMPUTED_VALUE"""),"")</f>
        <v/>
      </c>
      <c r="S365" s="5" t="str">
        <f ca="1">IFERROR(__xludf.DUMMYFUNCTION("""COMPUTED_VALUE"""),"")</f>
        <v/>
      </c>
      <c r="T365" s="5" t="str">
        <f ca="1">IFERROR(__xludf.DUMMYFUNCTION("""COMPUTED_VALUE"""),"")</f>
        <v/>
      </c>
      <c r="U365" s="5"/>
      <c r="V365" s="5"/>
    </row>
    <row r="366" spans="1:22" ht="13.2">
      <c r="A366" s="1"/>
      <c r="B366" s="1"/>
      <c r="C366" s="62"/>
      <c r="D366" s="63" t="s">
        <v>111</v>
      </c>
      <c r="E366" s="62"/>
      <c r="F366" s="187"/>
      <c r="G366" s="188"/>
      <c r="H366" s="1"/>
      <c r="I366" s="1"/>
      <c r="J366" s="4"/>
      <c r="K366" s="5" t="str">
        <f ca="1">IFERROR(__xludf.DUMMYFUNCTION("""COMPUTED_VALUE"""),"")</f>
        <v/>
      </c>
      <c r="L366" s="5" t="str">
        <f ca="1">IFERROR(__xludf.DUMMYFUNCTION("""COMPUTED_VALUE"""),"")</f>
        <v/>
      </c>
      <c r="M366" s="5" t="str">
        <f ca="1">IFERROR(__xludf.DUMMYFUNCTION("""COMPUTED_VALUE"""),"")</f>
        <v/>
      </c>
      <c r="N366" s="5" t="str">
        <f ca="1">IFERROR(__xludf.DUMMYFUNCTION("""COMPUTED_VALUE"""),"")</f>
        <v/>
      </c>
      <c r="O366" s="5"/>
      <c r="P366" s="5"/>
      <c r="Q366" s="5" t="str">
        <f ca="1">IFERROR(__xludf.DUMMYFUNCTION("""COMPUTED_VALUE"""),"")</f>
        <v/>
      </c>
      <c r="R366" s="5" t="str">
        <f ca="1">IFERROR(__xludf.DUMMYFUNCTION("""COMPUTED_VALUE"""),"")</f>
        <v/>
      </c>
      <c r="S366" s="5" t="str">
        <f ca="1">IFERROR(__xludf.DUMMYFUNCTION("""COMPUTED_VALUE"""),"")</f>
        <v/>
      </c>
      <c r="T366" s="5" t="str">
        <f ca="1">IFERROR(__xludf.DUMMYFUNCTION("""COMPUTED_VALUE"""),"")</f>
        <v/>
      </c>
      <c r="U366" s="5"/>
      <c r="V366" s="5"/>
    </row>
    <row r="367" spans="1:22" ht="13.2">
      <c r="A367" s="1"/>
      <c r="B367" s="1"/>
      <c r="C367" s="62"/>
      <c r="D367" s="64"/>
      <c r="E367" s="62"/>
      <c r="F367" s="187"/>
      <c r="G367" s="188"/>
      <c r="H367" s="1"/>
      <c r="I367" s="1"/>
      <c r="J367" s="4"/>
      <c r="K367" s="5" t="str">
        <f ca="1">IFERROR(__xludf.DUMMYFUNCTION("""COMPUTED_VALUE"""),"")</f>
        <v/>
      </c>
      <c r="L367" s="5" t="str">
        <f ca="1">IFERROR(__xludf.DUMMYFUNCTION("""COMPUTED_VALUE"""),"")</f>
        <v/>
      </c>
      <c r="M367" s="5" t="str">
        <f ca="1">IFERROR(__xludf.DUMMYFUNCTION("""COMPUTED_VALUE"""),"")</f>
        <v/>
      </c>
      <c r="N367" s="5" t="str">
        <f ca="1">IFERROR(__xludf.DUMMYFUNCTION("""COMPUTED_VALUE"""),"")</f>
        <v/>
      </c>
      <c r="O367" s="5"/>
      <c r="P367" s="5"/>
      <c r="Q367" s="5" t="str">
        <f ca="1">IFERROR(__xludf.DUMMYFUNCTION("""COMPUTED_VALUE"""),"")</f>
        <v/>
      </c>
      <c r="R367" s="5" t="str">
        <f ca="1">IFERROR(__xludf.DUMMYFUNCTION("""COMPUTED_VALUE"""),"")</f>
        <v/>
      </c>
      <c r="S367" s="5" t="str">
        <f ca="1">IFERROR(__xludf.DUMMYFUNCTION("""COMPUTED_VALUE"""),"")</f>
        <v/>
      </c>
      <c r="T367" s="5" t="str">
        <f ca="1">IFERROR(__xludf.DUMMYFUNCTION("""COMPUTED_VALUE"""),"")</f>
        <v/>
      </c>
      <c r="U367" s="5"/>
      <c r="V367" s="5"/>
    </row>
    <row r="368" spans="1:22" ht="13.2">
      <c r="A368" s="1"/>
      <c r="B368" s="1"/>
      <c r="C368" s="62"/>
      <c r="D368" s="64"/>
      <c r="E368" s="62"/>
      <c r="F368" s="187"/>
      <c r="G368" s="188"/>
      <c r="H368" s="1"/>
      <c r="I368" s="1"/>
      <c r="J368" s="4"/>
      <c r="K368" s="5" t="str">
        <f ca="1">IFERROR(__xludf.DUMMYFUNCTION("""COMPUTED_VALUE"""),"")</f>
        <v/>
      </c>
      <c r="L368" s="5" t="str">
        <f ca="1">IFERROR(__xludf.DUMMYFUNCTION("""COMPUTED_VALUE"""),"")</f>
        <v/>
      </c>
      <c r="M368" s="5" t="str">
        <f ca="1">IFERROR(__xludf.DUMMYFUNCTION("""COMPUTED_VALUE"""),"")</f>
        <v/>
      </c>
      <c r="N368" s="5" t="str">
        <f ca="1">IFERROR(__xludf.DUMMYFUNCTION("""COMPUTED_VALUE"""),"")</f>
        <v/>
      </c>
      <c r="O368" s="5"/>
      <c r="P368" s="5"/>
      <c r="Q368" s="5" t="str">
        <f ca="1">IFERROR(__xludf.DUMMYFUNCTION("""COMPUTED_VALUE"""),"")</f>
        <v/>
      </c>
      <c r="R368" s="5" t="str">
        <f ca="1">IFERROR(__xludf.DUMMYFUNCTION("""COMPUTED_VALUE"""),"")</f>
        <v/>
      </c>
      <c r="S368" s="5" t="str">
        <f ca="1">IFERROR(__xludf.DUMMYFUNCTION("""COMPUTED_VALUE"""),"")</f>
        <v/>
      </c>
      <c r="T368" s="5" t="str">
        <f ca="1">IFERROR(__xludf.DUMMYFUNCTION("""COMPUTED_VALUE"""),"")</f>
        <v/>
      </c>
      <c r="U368" s="5"/>
      <c r="V368" s="5"/>
    </row>
    <row r="369" spans="1:22" ht="13.2">
      <c r="A369" s="1"/>
      <c r="B369" s="1"/>
      <c r="C369" s="62"/>
      <c r="D369" s="64"/>
      <c r="E369" s="62"/>
      <c r="F369" s="187"/>
      <c r="G369" s="188"/>
      <c r="H369" s="1"/>
      <c r="I369" s="1"/>
      <c r="J369" s="4"/>
      <c r="K369" s="5" t="str">
        <f ca="1">IFERROR(__xludf.DUMMYFUNCTION("""COMPUTED_VALUE"""),"")</f>
        <v/>
      </c>
      <c r="L369" s="5" t="str">
        <f ca="1">IFERROR(__xludf.DUMMYFUNCTION("""COMPUTED_VALUE"""),"")</f>
        <v/>
      </c>
      <c r="M369" s="5" t="str">
        <f ca="1">IFERROR(__xludf.DUMMYFUNCTION("""COMPUTED_VALUE"""),"")</f>
        <v/>
      </c>
      <c r="N369" s="5" t="str">
        <f ca="1">IFERROR(__xludf.DUMMYFUNCTION("""COMPUTED_VALUE"""),"")</f>
        <v/>
      </c>
      <c r="O369" s="5"/>
      <c r="P369" s="5"/>
      <c r="Q369" s="5" t="str">
        <f ca="1">IFERROR(__xludf.DUMMYFUNCTION("""COMPUTED_VALUE"""),"")</f>
        <v/>
      </c>
      <c r="R369" s="5" t="str">
        <f ca="1">IFERROR(__xludf.DUMMYFUNCTION("""COMPUTED_VALUE"""),"")</f>
        <v/>
      </c>
      <c r="S369" s="5" t="str">
        <f ca="1">IFERROR(__xludf.DUMMYFUNCTION("""COMPUTED_VALUE"""),"")</f>
        <v/>
      </c>
      <c r="T369" s="5" t="str">
        <f ca="1">IFERROR(__xludf.DUMMYFUNCTION("""COMPUTED_VALUE"""),"")</f>
        <v/>
      </c>
      <c r="U369" s="5"/>
      <c r="V369" s="5"/>
    </row>
    <row r="370" spans="1:22" ht="13.2">
      <c r="A370" s="1"/>
      <c r="B370" s="1"/>
      <c r="C370" s="1"/>
      <c r="D370" s="58"/>
      <c r="E370" s="1"/>
      <c r="F370" s="187"/>
      <c r="G370" s="188"/>
      <c r="H370" s="1"/>
      <c r="I370" s="1"/>
      <c r="J370" s="4"/>
      <c r="K370" s="5" t="str">
        <f ca="1">IFERROR(__xludf.DUMMYFUNCTION("""COMPUTED_VALUE"""),"")</f>
        <v/>
      </c>
      <c r="L370" s="5" t="str">
        <f ca="1">IFERROR(__xludf.DUMMYFUNCTION("""COMPUTED_VALUE"""),"")</f>
        <v/>
      </c>
      <c r="M370" s="5" t="str">
        <f ca="1">IFERROR(__xludf.DUMMYFUNCTION("""COMPUTED_VALUE"""),"")</f>
        <v/>
      </c>
      <c r="N370" s="5" t="str">
        <f ca="1">IFERROR(__xludf.DUMMYFUNCTION("""COMPUTED_VALUE"""),"")</f>
        <v/>
      </c>
      <c r="O370" s="5"/>
      <c r="P370" s="5"/>
      <c r="Q370" s="5" t="str">
        <f ca="1">IFERROR(__xludf.DUMMYFUNCTION("""COMPUTED_VALUE"""),"")</f>
        <v/>
      </c>
      <c r="R370" s="5" t="str">
        <f ca="1">IFERROR(__xludf.DUMMYFUNCTION("""COMPUTED_VALUE"""),"")</f>
        <v/>
      </c>
      <c r="S370" s="5" t="str">
        <f ca="1">IFERROR(__xludf.DUMMYFUNCTION("""COMPUTED_VALUE"""),"")</f>
        <v/>
      </c>
      <c r="T370" s="5" t="str">
        <f ca="1">IFERROR(__xludf.DUMMYFUNCTION("""COMPUTED_VALUE"""),"")</f>
        <v/>
      </c>
      <c r="U370" s="5"/>
      <c r="V370" s="5"/>
    </row>
    <row r="371" spans="1:22" ht="13.2">
      <c r="A371" s="1"/>
      <c r="B371" s="1"/>
      <c r="C371" s="1"/>
      <c r="D371" s="58"/>
      <c r="E371" s="1"/>
      <c r="F371" s="187"/>
      <c r="G371" s="188"/>
      <c r="H371" s="1"/>
      <c r="I371" s="1"/>
      <c r="J371" s="4"/>
      <c r="K371" s="5" t="str">
        <f ca="1">IFERROR(__xludf.DUMMYFUNCTION("""COMPUTED_VALUE"""),"")</f>
        <v/>
      </c>
      <c r="L371" s="5" t="str">
        <f ca="1">IFERROR(__xludf.DUMMYFUNCTION("""COMPUTED_VALUE"""),"")</f>
        <v/>
      </c>
      <c r="M371" s="5" t="str">
        <f ca="1">IFERROR(__xludf.DUMMYFUNCTION("""COMPUTED_VALUE"""),"")</f>
        <v/>
      </c>
      <c r="N371" s="5" t="str">
        <f ca="1">IFERROR(__xludf.DUMMYFUNCTION("""COMPUTED_VALUE"""),"")</f>
        <v/>
      </c>
      <c r="O371" s="5"/>
      <c r="P371" s="5"/>
      <c r="Q371" s="5" t="str">
        <f ca="1">IFERROR(__xludf.DUMMYFUNCTION("""COMPUTED_VALUE"""),"")</f>
        <v/>
      </c>
      <c r="R371" s="5" t="str">
        <f ca="1">IFERROR(__xludf.DUMMYFUNCTION("""COMPUTED_VALUE"""),"")</f>
        <v/>
      </c>
      <c r="S371" s="5" t="str">
        <f ca="1">IFERROR(__xludf.DUMMYFUNCTION("""COMPUTED_VALUE"""),"")</f>
        <v/>
      </c>
      <c r="T371" s="5" t="str">
        <f ca="1">IFERROR(__xludf.DUMMYFUNCTION("""COMPUTED_VALUE"""),"")</f>
        <v/>
      </c>
      <c r="U371" s="5"/>
      <c r="V371" s="5"/>
    </row>
    <row r="372" spans="1:22" ht="13.2">
      <c r="A372" s="1"/>
      <c r="B372" s="1"/>
      <c r="C372" s="1"/>
      <c r="D372" s="58"/>
      <c r="E372" s="1"/>
      <c r="F372" s="187"/>
      <c r="G372" s="188"/>
      <c r="H372" s="1"/>
      <c r="I372" s="1"/>
      <c r="J372" s="4"/>
      <c r="K372" s="5" t="str">
        <f ca="1">IFERROR(__xludf.DUMMYFUNCTION("""COMPUTED_VALUE"""),"")</f>
        <v/>
      </c>
      <c r="L372" s="5" t="str">
        <f ca="1">IFERROR(__xludf.DUMMYFUNCTION("""COMPUTED_VALUE"""),"")</f>
        <v/>
      </c>
      <c r="M372" s="5" t="str">
        <f ca="1">IFERROR(__xludf.DUMMYFUNCTION("""COMPUTED_VALUE"""),"")</f>
        <v/>
      </c>
      <c r="N372" s="5" t="str">
        <f ca="1">IFERROR(__xludf.DUMMYFUNCTION("""COMPUTED_VALUE"""),"")</f>
        <v/>
      </c>
      <c r="O372" s="5"/>
      <c r="P372" s="5"/>
      <c r="Q372" s="5" t="str">
        <f ca="1">IFERROR(__xludf.DUMMYFUNCTION("""COMPUTED_VALUE"""),"")</f>
        <v/>
      </c>
      <c r="R372" s="5" t="str">
        <f ca="1">IFERROR(__xludf.DUMMYFUNCTION("""COMPUTED_VALUE"""),"")</f>
        <v/>
      </c>
      <c r="S372" s="5" t="str">
        <f ca="1">IFERROR(__xludf.DUMMYFUNCTION("""COMPUTED_VALUE"""),"")</f>
        <v/>
      </c>
      <c r="T372" s="5" t="str">
        <f ca="1">IFERROR(__xludf.DUMMYFUNCTION("""COMPUTED_VALUE"""),"")</f>
        <v/>
      </c>
      <c r="U372" s="5"/>
      <c r="V372" s="5"/>
    </row>
    <row r="373" spans="1:22" ht="13.2">
      <c r="A373" s="1"/>
      <c r="B373" s="1"/>
      <c r="C373" s="1"/>
      <c r="D373" s="58"/>
      <c r="E373" s="1"/>
      <c r="F373" s="187"/>
      <c r="G373" s="188"/>
      <c r="H373" s="1"/>
      <c r="I373" s="1"/>
      <c r="J373" s="4"/>
      <c r="K373" s="5" t="str">
        <f ca="1">IFERROR(__xludf.DUMMYFUNCTION("""COMPUTED_VALUE"""),"")</f>
        <v/>
      </c>
      <c r="L373" s="5" t="str">
        <f ca="1">IFERROR(__xludf.DUMMYFUNCTION("""COMPUTED_VALUE"""),"")</f>
        <v/>
      </c>
      <c r="M373" s="5" t="str">
        <f ca="1">IFERROR(__xludf.DUMMYFUNCTION("""COMPUTED_VALUE"""),"")</f>
        <v/>
      </c>
      <c r="N373" s="5" t="str">
        <f ca="1">IFERROR(__xludf.DUMMYFUNCTION("""COMPUTED_VALUE"""),"")</f>
        <v/>
      </c>
      <c r="O373" s="5"/>
      <c r="P373" s="5"/>
      <c r="Q373" s="5" t="str">
        <f ca="1">IFERROR(__xludf.DUMMYFUNCTION("""COMPUTED_VALUE"""),"")</f>
        <v/>
      </c>
      <c r="R373" s="5" t="str">
        <f ca="1">IFERROR(__xludf.DUMMYFUNCTION("""COMPUTED_VALUE"""),"")</f>
        <v/>
      </c>
      <c r="S373" s="5" t="str">
        <f ca="1">IFERROR(__xludf.DUMMYFUNCTION("""COMPUTED_VALUE"""),"")</f>
        <v/>
      </c>
      <c r="T373" s="5" t="str">
        <f ca="1">IFERROR(__xludf.DUMMYFUNCTION("""COMPUTED_VALUE"""),"")</f>
        <v/>
      </c>
      <c r="U373" s="5"/>
      <c r="V373" s="5"/>
    </row>
    <row r="374" spans="1:22" ht="13.2">
      <c r="A374" s="1"/>
      <c r="B374" s="1"/>
      <c r="C374" s="62"/>
      <c r="D374" s="64"/>
      <c r="E374" s="62" t="s">
        <v>112</v>
      </c>
      <c r="F374" s="187"/>
      <c r="G374" s="188"/>
      <c r="H374" s="1"/>
      <c r="I374" s="1"/>
      <c r="J374" s="4"/>
      <c r="K374" s="5" t="str">
        <f ca="1">IFERROR(__xludf.DUMMYFUNCTION("""COMPUTED_VALUE"""),"")</f>
        <v/>
      </c>
      <c r="L374" s="5" t="str">
        <f ca="1">IFERROR(__xludf.DUMMYFUNCTION("""COMPUTED_VALUE"""),"")</f>
        <v/>
      </c>
      <c r="M374" s="5" t="str">
        <f ca="1">IFERROR(__xludf.DUMMYFUNCTION("""COMPUTED_VALUE"""),"")</f>
        <v/>
      </c>
      <c r="N374" s="5" t="str">
        <f ca="1">IFERROR(__xludf.DUMMYFUNCTION("""COMPUTED_VALUE"""),"")</f>
        <v/>
      </c>
      <c r="O374" s="5"/>
      <c r="P374" s="5"/>
      <c r="Q374" s="5" t="str">
        <f ca="1">IFERROR(__xludf.DUMMYFUNCTION("""COMPUTED_VALUE"""),"")</f>
        <v/>
      </c>
      <c r="R374" s="5" t="str">
        <f ca="1">IFERROR(__xludf.DUMMYFUNCTION("""COMPUTED_VALUE"""),"")</f>
        <v/>
      </c>
      <c r="S374" s="5" t="str">
        <f ca="1">IFERROR(__xludf.DUMMYFUNCTION("""COMPUTED_VALUE"""),"")</f>
        <v/>
      </c>
      <c r="T374" s="5" t="str">
        <f ca="1">IFERROR(__xludf.DUMMYFUNCTION("""COMPUTED_VALUE"""),"")</f>
        <v/>
      </c>
      <c r="U374" s="5"/>
      <c r="V374" s="5"/>
    </row>
    <row r="375" spans="1:22" ht="13.2">
      <c r="A375" s="1"/>
      <c r="B375" s="1"/>
      <c r="C375" s="62"/>
      <c r="D375" s="64"/>
      <c r="E375" s="62" t="s">
        <v>113</v>
      </c>
      <c r="F375" s="187"/>
      <c r="G375" s="188"/>
      <c r="H375" s="1"/>
      <c r="I375" s="1"/>
      <c r="J375" s="4"/>
      <c r="K375" s="5" t="str">
        <f ca="1">IFERROR(__xludf.DUMMYFUNCTION("""COMPUTED_VALUE"""),"")</f>
        <v/>
      </c>
      <c r="L375" s="5" t="str">
        <f ca="1">IFERROR(__xludf.DUMMYFUNCTION("""COMPUTED_VALUE"""),"")</f>
        <v/>
      </c>
      <c r="M375" s="5" t="str">
        <f ca="1">IFERROR(__xludf.DUMMYFUNCTION("""COMPUTED_VALUE"""),"")</f>
        <v/>
      </c>
      <c r="N375" s="5" t="str">
        <f ca="1">IFERROR(__xludf.DUMMYFUNCTION("""COMPUTED_VALUE"""),"")</f>
        <v/>
      </c>
      <c r="O375" s="5"/>
      <c r="P375" s="5"/>
      <c r="Q375" s="5" t="str">
        <f ca="1">IFERROR(__xludf.DUMMYFUNCTION("""COMPUTED_VALUE"""),"")</f>
        <v/>
      </c>
      <c r="R375" s="5" t="str">
        <f ca="1">IFERROR(__xludf.DUMMYFUNCTION("""COMPUTED_VALUE"""),"")</f>
        <v/>
      </c>
      <c r="S375" s="5" t="str">
        <f ca="1">IFERROR(__xludf.DUMMYFUNCTION("""COMPUTED_VALUE"""),"")</f>
        <v/>
      </c>
      <c r="T375" s="5" t="str">
        <f ca="1">IFERROR(__xludf.DUMMYFUNCTION("""COMPUTED_VALUE"""),"")</f>
        <v/>
      </c>
      <c r="U375" s="5"/>
      <c r="V375" s="5"/>
    </row>
    <row r="376" spans="1:22" ht="13.2">
      <c r="A376" s="1"/>
      <c r="B376" s="1"/>
      <c r="C376" s="62"/>
      <c r="D376" s="64"/>
      <c r="E376" s="62"/>
      <c r="F376" s="62"/>
      <c r="G376" s="65"/>
      <c r="H376" s="1"/>
      <c r="I376" s="1"/>
      <c r="J376" s="4"/>
      <c r="K376" s="5" t="str">
        <f ca="1">IFERROR(__xludf.DUMMYFUNCTION("""COMPUTED_VALUE"""),"")</f>
        <v/>
      </c>
      <c r="L376" s="5" t="str">
        <f ca="1">IFERROR(__xludf.DUMMYFUNCTION("""COMPUTED_VALUE"""),"")</f>
        <v/>
      </c>
      <c r="M376" s="5" t="str">
        <f ca="1">IFERROR(__xludf.DUMMYFUNCTION("""COMPUTED_VALUE"""),"")</f>
        <v/>
      </c>
      <c r="N376" s="5" t="str">
        <f ca="1">IFERROR(__xludf.DUMMYFUNCTION("""COMPUTED_VALUE"""),"")</f>
        <v/>
      </c>
      <c r="O376" s="5"/>
      <c r="P376" s="5"/>
      <c r="Q376" s="5" t="str">
        <f ca="1">IFERROR(__xludf.DUMMYFUNCTION("""COMPUTED_VALUE"""),"")</f>
        <v/>
      </c>
      <c r="R376" s="5" t="str">
        <f ca="1">IFERROR(__xludf.DUMMYFUNCTION("""COMPUTED_VALUE"""),"")</f>
        <v/>
      </c>
      <c r="S376" s="5" t="str">
        <f ca="1">IFERROR(__xludf.DUMMYFUNCTION("""COMPUTED_VALUE"""),"")</f>
        <v/>
      </c>
      <c r="T376" s="5" t="str">
        <f ca="1">IFERROR(__xludf.DUMMYFUNCTION("""COMPUTED_VALUE"""),"")</f>
        <v/>
      </c>
      <c r="U376" s="5"/>
      <c r="V376" s="5"/>
    </row>
    <row r="377" spans="1:22" ht="13.2">
      <c r="A377" s="1"/>
      <c r="B377" s="1"/>
      <c r="C377" s="66" t="s">
        <v>114</v>
      </c>
      <c r="D377" s="67"/>
      <c r="E377" s="66" t="s">
        <v>115</v>
      </c>
      <c r="F377" s="68"/>
      <c r="G377" s="69"/>
      <c r="H377" s="1"/>
      <c r="I377" s="1"/>
      <c r="J377" s="4"/>
      <c r="K377" s="5" t="str">
        <f ca="1">IFERROR(__xludf.DUMMYFUNCTION("""COMPUTED_VALUE"""),"")</f>
        <v/>
      </c>
      <c r="L377" s="5" t="str">
        <f ca="1">IFERROR(__xludf.DUMMYFUNCTION("""COMPUTED_VALUE"""),"")</f>
        <v/>
      </c>
      <c r="M377" s="5" t="str">
        <f ca="1">IFERROR(__xludf.DUMMYFUNCTION("""COMPUTED_VALUE"""),"")</f>
        <v/>
      </c>
      <c r="N377" s="5" t="str">
        <f ca="1">IFERROR(__xludf.DUMMYFUNCTION("""COMPUTED_VALUE"""),"")</f>
        <v/>
      </c>
      <c r="O377" s="5"/>
      <c r="P377" s="5"/>
      <c r="Q377" s="5" t="str">
        <f ca="1">IFERROR(__xludf.DUMMYFUNCTION("""COMPUTED_VALUE"""),"")</f>
        <v/>
      </c>
      <c r="R377" s="5" t="str">
        <f ca="1">IFERROR(__xludf.DUMMYFUNCTION("""COMPUTED_VALUE"""),"")</f>
        <v/>
      </c>
      <c r="S377" s="5" t="str">
        <f ca="1">IFERROR(__xludf.DUMMYFUNCTION("""COMPUTED_VALUE"""),"")</f>
        <v/>
      </c>
      <c r="T377" s="5" t="str">
        <f ca="1">IFERROR(__xludf.DUMMYFUNCTION("""COMPUTED_VALUE"""),"")</f>
        <v/>
      </c>
      <c r="U377" s="5"/>
      <c r="V377" s="5"/>
    </row>
    <row r="378" spans="1:22" ht="13.2">
      <c r="A378" s="1"/>
      <c r="B378" s="1"/>
      <c r="C378" s="60" t="s">
        <v>116</v>
      </c>
      <c r="D378" s="70"/>
      <c r="E378" s="60" t="s">
        <v>116</v>
      </c>
      <c r="F378" s="189"/>
      <c r="G378" s="188"/>
      <c r="H378" s="1"/>
      <c r="I378" s="1"/>
      <c r="J378" s="4"/>
      <c r="K378" s="5" t="str">
        <f ca="1">IFERROR(__xludf.DUMMYFUNCTION("""COMPUTED_VALUE"""),"")</f>
        <v/>
      </c>
      <c r="L378" s="5" t="str">
        <f ca="1">IFERROR(__xludf.DUMMYFUNCTION("""COMPUTED_VALUE"""),"")</f>
        <v/>
      </c>
      <c r="M378" s="5" t="str">
        <f ca="1">IFERROR(__xludf.DUMMYFUNCTION("""COMPUTED_VALUE"""),"")</f>
        <v/>
      </c>
      <c r="N378" s="5" t="str">
        <f ca="1">IFERROR(__xludf.DUMMYFUNCTION("""COMPUTED_VALUE"""),"")</f>
        <v/>
      </c>
      <c r="O378" s="5"/>
      <c r="P378" s="5"/>
      <c r="Q378" s="5" t="str">
        <f ca="1">IFERROR(__xludf.DUMMYFUNCTION("""COMPUTED_VALUE"""),"")</f>
        <v/>
      </c>
      <c r="R378" s="5" t="str">
        <f ca="1">IFERROR(__xludf.DUMMYFUNCTION("""COMPUTED_VALUE"""),"")</f>
        <v/>
      </c>
      <c r="S378" s="5" t="str">
        <f ca="1">IFERROR(__xludf.DUMMYFUNCTION("""COMPUTED_VALUE"""),"")</f>
        <v/>
      </c>
      <c r="T378" s="5" t="str">
        <f ca="1">IFERROR(__xludf.DUMMYFUNCTION("""COMPUTED_VALUE"""),"")</f>
        <v/>
      </c>
      <c r="U378" s="5"/>
      <c r="V378" s="5"/>
    </row>
    <row r="379" spans="1:22" ht="13.2">
      <c r="A379" s="1"/>
      <c r="B379" s="1"/>
      <c r="C379" s="68" t="s">
        <v>117</v>
      </c>
      <c r="D379" s="67"/>
      <c r="E379" s="68"/>
      <c r="F379" s="68"/>
      <c r="G379" s="69"/>
      <c r="H379" s="1"/>
      <c r="I379" s="1"/>
      <c r="J379" s="4"/>
      <c r="K379" s="5" t="str">
        <f ca="1">IFERROR(__xludf.DUMMYFUNCTION("""COMPUTED_VALUE"""),"")</f>
        <v/>
      </c>
      <c r="L379" s="5" t="str">
        <f ca="1">IFERROR(__xludf.DUMMYFUNCTION("""COMPUTED_VALUE"""),"")</f>
        <v/>
      </c>
      <c r="M379" s="5" t="str">
        <f ca="1">IFERROR(__xludf.DUMMYFUNCTION("""COMPUTED_VALUE"""),"")</f>
        <v/>
      </c>
      <c r="N379" s="5" t="str">
        <f ca="1">IFERROR(__xludf.DUMMYFUNCTION("""COMPUTED_VALUE"""),"")</f>
        <v/>
      </c>
      <c r="O379" s="5"/>
      <c r="P379" s="5"/>
      <c r="Q379" s="5" t="str">
        <f ca="1">IFERROR(__xludf.DUMMYFUNCTION("""COMPUTED_VALUE"""),"")</f>
        <v/>
      </c>
      <c r="R379" s="5" t="str">
        <f ca="1">IFERROR(__xludf.DUMMYFUNCTION("""COMPUTED_VALUE"""),"")</f>
        <v/>
      </c>
      <c r="S379" s="5" t="str">
        <f ca="1">IFERROR(__xludf.DUMMYFUNCTION("""COMPUTED_VALUE"""),"")</f>
        <v/>
      </c>
      <c r="T379" s="5" t="str">
        <f ca="1">IFERROR(__xludf.DUMMYFUNCTION("""COMPUTED_VALUE"""),"")</f>
        <v/>
      </c>
      <c r="U379" s="5"/>
      <c r="V379" s="5"/>
    </row>
    <row r="380" spans="1:22" ht="13.2">
      <c r="A380" s="1"/>
      <c r="B380" s="1"/>
      <c r="C380" s="190"/>
      <c r="D380" s="191"/>
      <c r="E380" s="191"/>
      <c r="F380" s="191"/>
      <c r="G380" s="192"/>
      <c r="H380" s="1"/>
      <c r="I380" s="1"/>
      <c r="J380" s="4"/>
      <c r="K380" s="5" t="str">
        <f ca="1">IFERROR(__xludf.DUMMYFUNCTION("""COMPUTED_VALUE"""),"")</f>
        <v/>
      </c>
      <c r="L380" s="5" t="str">
        <f ca="1">IFERROR(__xludf.DUMMYFUNCTION("""COMPUTED_VALUE"""),"")</f>
        <v/>
      </c>
      <c r="M380" s="5" t="str">
        <f ca="1">IFERROR(__xludf.DUMMYFUNCTION("""COMPUTED_VALUE"""),"")</f>
        <v/>
      </c>
      <c r="N380" s="5" t="str">
        <f ca="1">IFERROR(__xludf.DUMMYFUNCTION("""COMPUTED_VALUE"""),"")</f>
        <v/>
      </c>
      <c r="O380" s="5"/>
      <c r="P380" s="5"/>
      <c r="Q380" s="5" t="str">
        <f ca="1">IFERROR(__xludf.DUMMYFUNCTION("""COMPUTED_VALUE"""),"")</f>
        <v/>
      </c>
      <c r="R380" s="5" t="str">
        <f ca="1">IFERROR(__xludf.DUMMYFUNCTION("""COMPUTED_VALUE"""),"")</f>
        <v/>
      </c>
      <c r="S380" s="5" t="str">
        <f ca="1">IFERROR(__xludf.DUMMYFUNCTION("""COMPUTED_VALUE"""),"")</f>
        <v/>
      </c>
      <c r="T380" s="5" t="str">
        <f ca="1">IFERROR(__xludf.DUMMYFUNCTION("""COMPUTED_VALUE"""),"")</f>
        <v/>
      </c>
      <c r="U380" s="5"/>
      <c r="V380" s="5"/>
    </row>
    <row r="381" spans="1:22" ht="13.2">
      <c r="A381" s="1"/>
      <c r="B381" s="1"/>
      <c r="C381" s="193"/>
      <c r="D381" s="194"/>
      <c r="E381" s="194"/>
      <c r="F381" s="194"/>
      <c r="G381" s="195"/>
      <c r="H381" s="1"/>
      <c r="I381" s="1"/>
      <c r="J381" s="4"/>
      <c r="K381" s="5" t="str">
        <f ca="1">IFERROR(__xludf.DUMMYFUNCTION("""COMPUTED_VALUE"""),"")</f>
        <v/>
      </c>
      <c r="L381" s="5" t="str">
        <f ca="1">IFERROR(__xludf.DUMMYFUNCTION("""COMPUTED_VALUE"""),"")</f>
        <v/>
      </c>
      <c r="M381" s="5" t="str">
        <f ca="1">IFERROR(__xludf.DUMMYFUNCTION("""COMPUTED_VALUE"""),"")</f>
        <v/>
      </c>
      <c r="N381" s="5" t="str">
        <f ca="1">IFERROR(__xludf.DUMMYFUNCTION("""COMPUTED_VALUE"""),"")</f>
        <v/>
      </c>
      <c r="O381" s="5"/>
      <c r="P381" s="5"/>
      <c r="Q381" s="5" t="str">
        <f ca="1">IFERROR(__xludf.DUMMYFUNCTION("""COMPUTED_VALUE"""),"")</f>
        <v/>
      </c>
      <c r="R381" s="5" t="str">
        <f ca="1">IFERROR(__xludf.DUMMYFUNCTION("""COMPUTED_VALUE"""),"")</f>
        <v/>
      </c>
      <c r="S381" s="5" t="str">
        <f ca="1">IFERROR(__xludf.DUMMYFUNCTION("""COMPUTED_VALUE"""),"")</f>
        <v/>
      </c>
      <c r="T381" s="5" t="str">
        <f ca="1">IFERROR(__xludf.DUMMYFUNCTION("""COMPUTED_VALUE"""),"")</f>
        <v/>
      </c>
      <c r="U381" s="5"/>
      <c r="V381" s="5"/>
    </row>
    <row r="382" spans="1:22" ht="13.2">
      <c r="A382" s="1"/>
      <c r="B382" s="1"/>
      <c r="C382" s="193"/>
      <c r="D382" s="194"/>
      <c r="E382" s="194"/>
      <c r="F382" s="194"/>
      <c r="G382" s="195"/>
      <c r="H382" s="1"/>
      <c r="I382" s="1"/>
      <c r="J382" s="4"/>
      <c r="K382" s="5" t="str">
        <f ca="1">IFERROR(__xludf.DUMMYFUNCTION("""COMPUTED_VALUE"""),"")</f>
        <v/>
      </c>
      <c r="L382" s="5" t="str">
        <f ca="1">IFERROR(__xludf.DUMMYFUNCTION("""COMPUTED_VALUE"""),"")</f>
        <v/>
      </c>
      <c r="M382" s="5" t="str">
        <f ca="1">IFERROR(__xludf.DUMMYFUNCTION("""COMPUTED_VALUE"""),"")</f>
        <v/>
      </c>
      <c r="N382" s="5" t="str">
        <f ca="1">IFERROR(__xludf.DUMMYFUNCTION("""COMPUTED_VALUE"""),"")</f>
        <v/>
      </c>
      <c r="O382" s="5"/>
      <c r="P382" s="5"/>
      <c r="Q382" s="5" t="str">
        <f ca="1">IFERROR(__xludf.DUMMYFUNCTION("""COMPUTED_VALUE"""),"")</f>
        <v/>
      </c>
      <c r="R382" s="5" t="str">
        <f ca="1">IFERROR(__xludf.DUMMYFUNCTION("""COMPUTED_VALUE"""),"")</f>
        <v/>
      </c>
      <c r="S382" s="5" t="str">
        <f ca="1">IFERROR(__xludf.DUMMYFUNCTION("""COMPUTED_VALUE"""),"")</f>
        <v/>
      </c>
      <c r="T382" s="5" t="str">
        <f ca="1">IFERROR(__xludf.DUMMYFUNCTION("""COMPUTED_VALUE"""),"")</f>
        <v/>
      </c>
      <c r="U382" s="5"/>
      <c r="V382" s="5"/>
    </row>
    <row r="383" spans="1:22" ht="13.2">
      <c r="A383" s="1"/>
      <c r="B383" s="1"/>
      <c r="C383" s="196"/>
      <c r="D383" s="197"/>
      <c r="E383" s="197"/>
      <c r="F383" s="197"/>
      <c r="G383" s="198"/>
      <c r="H383" s="1"/>
      <c r="I383" s="1"/>
      <c r="J383" s="4"/>
      <c r="K383" s="5" t="str">
        <f ca="1">IFERROR(__xludf.DUMMYFUNCTION("""COMPUTED_VALUE"""),"")</f>
        <v/>
      </c>
      <c r="L383" s="5" t="str">
        <f ca="1">IFERROR(__xludf.DUMMYFUNCTION("""COMPUTED_VALUE"""),"")</f>
        <v/>
      </c>
      <c r="M383" s="5" t="str">
        <f ca="1">IFERROR(__xludf.DUMMYFUNCTION("""COMPUTED_VALUE"""),"")</f>
        <v/>
      </c>
      <c r="N383" s="5" t="str">
        <f ca="1">IFERROR(__xludf.DUMMYFUNCTION("""COMPUTED_VALUE"""),"")</f>
        <v/>
      </c>
      <c r="O383" s="5"/>
      <c r="P383" s="5"/>
      <c r="Q383" s="5" t="str">
        <f ca="1">IFERROR(__xludf.DUMMYFUNCTION("""COMPUTED_VALUE"""),"")</f>
        <v/>
      </c>
      <c r="R383" s="5" t="str">
        <f ca="1">IFERROR(__xludf.DUMMYFUNCTION("""COMPUTED_VALUE"""),"")</f>
        <v/>
      </c>
      <c r="S383" s="5" t="str">
        <f ca="1">IFERROR(__xludf.DUMMYFUNCTION("""COMPUTED_VALUE"""),"")</f>
        <v/>
      </c>
      <c r="T383" s="5" t="str">
        <f ca="1">IFERROR(__xludf.DUMMYFUNCTION("""COMPUTED_VALUE"""),"")</f>
        <v/>
      </c>
      <c r="U383" s="5"/>
      <c r="V383" s="5"/>
    </row>
  </sheetData>
  <mergeCells count="64">
    <mergeCell ref="C180:G183"/>
    <mergeCell ref="H208:I208"/>
    <mergeCell ref="D211:G211"/>
    <mergeCell ref="F165:G165"/>
    <mergeCell ref="F166:G166"/>
    <mergeCell ref="F167:G167"/>
    <mergeCell ref="F168:G168"/>
    <mergeCell ref="F169:G169"/>
    <mergeCell ref="F170:G170"/>
    <mergeCell ref="F171:G171"/>
    <mergeCell ref="F172:G172"/>
    <mergeCell ref="F173:G173"/>
    <mergeCell ref="F174:G174"/>
    <mergeCell ref="F175:G175"/>
    <mergeCell ref="F178:G178"/>
    <mergeCell ref="F78:G78"/>
    <mergeCell ref="C80:G83"/>
    <mergeCell ref="H108:I108"/>
    <mergeCell ref="D111:G111"/>
    <mergeCell ref="F66:G66"/>
    <mergeCell ref="F67:G67"/>
    <mergeCell ref="F68:G68"/>
    <mergeCell ref="F69:G69"/>
    <mergeCell ref="F70:G70"/>
    <mergeCell ref="F71:G71"/>
    <mergeCell ref="F72:G72"/>
    <mergeCell ref="D11:G11"/>
    <mergeCell ref="F65:G65"/>
    <mergeCell ref="F73:G73"/>
    <mergeCell ref="F74:G74"/>
    <mergeCell ref="F75:G75"/>
    <mergeCell ref="D1:I1"/>
    <mergeCell ref="K5:V5"/>
    <mergeCell ref="K6:P6"/>
    <mergeCell ref="Q6:V6"/>
    <mergeCell ref="H8:I8"/>
    <mergeCell ref="C380:G383"/>
    <mergeCell ref="F365:G365"/>
    <mergeCell ref="F366:G366"/>
    <mergeCell ref="F367:G367"/>
    <mergeCell ref="F368:G368"/>
    <mergeCell ref="F369:G369"/>
    <mergeCell ref="F370:G370"/>
    <mergeCell ref="F371:G371"/>
    <mergeCell ref="F372:G372"/>
    <mergeCell ref="F373:G373"/>
    <mergeCell ref="F374:G374"/>
    <mergeCell ref="F375:G375"/>
    <mergeCell ref="F378:G378"/>
    <mergeCell ref="C280:G283"/>
    <mergeCell ref="H308:I308"/>
    <mergeCell ref="D311:G311"/>
    <mergeCell ref="F265:G265"/>
    <mergeCell ref="F266:G266"/>
    <mergeCell ref="F267:G267"/>
    <mergeCell ref="F268:G268"/>
    <mergeCell ref="F269:G269"/>
    <mergeCell ref="F270:G270"/>
    <mergeCell ref="F271:G271"/>
    <mergeCell ref="F272:G272"/>
    <mergeCell ref="F273:G273"/>
    <mergeCell ref="F274:G274"/>
    <mergeCell ref="F275:G275"/>
    <mergeCell ref="F278:G278"/>
  </mergeCells>
  <conditionalFormatting sqref="C13:C62 C113:C162 C213:C262 C313:C362">
    <cfRule type="expression" dxfId="12" priority="1">
      <formula>H13&lt;&gt;""</formula>
    </cfRule>
  </conditionalFormatting>
  <conditionalFormatting sqref="C13:G62 C113:G162 C213:G262 C313:G362">
    <cfRule type="containsBlanks" dxfId="11" priority="5">
      <formula>LEN(TRIM(C13))=0</formula>
    </cfRule>
    <cfRule type="notContainsBlanks" dxfId="10" priority="6">
      <formula>LEN(TRIM(C13))&gt;0</formula>
    </cfRule>
  </conditionalFormatting>
  <conditionalFormatting sqref="D13:D63 D113:D163 D213:D263 D313:D363">
    <cfRule type="expression" dxfId="9" priority="3">
      <formula>IF(LEN(D13)&gt;=1,IF(ISNA(L13),TRUE,D13&lt;&gt;L13),FALSE)</formula>
    </cfRule>
  </conditionalFormatting>
  <conditionalFormatting sqref="E13:E62 E113:E162 E213:E262 E313:E362">
    <cfRule type="expression" dxfId="8" priority="2">
      <formula>I13&lt;&gt;""</formula>
    </cfRule>
  </conditionalFormatting>
  <conditionalFormatting sqref="F13:F63 F113:F163 F213:F263 F313:F363">
    <cfRule type="expression" dxfId="7" priority="4">
      <formula>IF(LEN(E13)&gt;=1,IF(ISNA(R13),TRUE,F13&lt;&gt;R13),FALSE)</formula>
    </cfRule>
  </conditionalFormatting>
  <conditionalFormatting sqref="H3:I6">
    <cfRule type="cellIs" dxfId="6" priority="7" operator="equal">
      <formula>0</formula>
    </cfRule>
  </conditionalFormatting>
  <hyperlinks>
    <hyperlink ref="C3" location="MeetParticipants!C8:K8" display="12 &amp; Under Girls" xr:uid="{00000000-0004-0000-0000-000000000000}"/>
    <hyperlink ref="C4" location="MeetParticipants!C108:K108" display="12 &amp; Under Boys" xr:uid="{00000000-0004-0000-0000-000001000000}"/>
    <hyperlink ref="C5" location="MeetParticipants!C208:K208" display="13 &amp; Over Girls" xr:uid="{00000000-0004-0000-0000-000002000000}"/>
    <hyperlink ref="C6" location="MeetParticipants!C308:K308" display="13 &amp; Over Boys" xr:uid="{00000000-0004-0000-0000-000003000000}"/>
  </hyperlinks>
  <printOptions horizontalCentered="1" gridLines="1"/>
  <pageMargins left="0.7" right="0.7" top="0.75" bottom="0.75" header="0" footer="0"/>
  <pageSetup fitToHeight="0" pageOrder="overThenDown" orientation="portrait" cellComments="atEnd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DropDown="1" xr:uid="{00000000-0002-0000-0000-000001000000}">
          <x14:formula1>
            <xm:f>'Lookup-DiverRoster'!$Q:$Q</xm:f>
          </x14:formula1>
          <xm:sqref>E13:E19 C13:C62 E21:E62</xm:sqref>
        </x14:dataValidation>
        <x14:dataValidation type="list" allowBlank="1" showDropDown="1" xr:uid="{00000000-0002-0000-0000-000003000000}">
          <x14:formula1>
            <xm:f>'Lookup-DiverRoster'!$R:$R</xm:f>
          </x14:formula1>
          <xm:sqref>C113:C122 C124:C162 E113:E162</xm:sqref>
        </x14:dataValidation>
        <x14:dataValidation type="list" allowBlank="1" showDropDown="1" xr:uid="{00000000-0002-0000-0000-000004000000}">
          <x14:formula1>
            <xm:f>'Lookup-DiverRoster'!$T:$T</xm:f>
          </x14:formula1>
          <xm:sqref>C123 E313:E316 C313:C362 E318:E362</xm:sqref>
        </x14:dataValidation>
        <x14:dataValidation type="list" allowBlank="1" showDropDown="1" xr:uid="{00000000-0002-0000-0000-000005000000}">
          <x14:formula1>
            <xm:f>'Lookup-DiverRoster'!$S:$S</xm:f>
          </x14:formula1>
          <xm:sqref>C213:C262 E213:E262</xm:sqref>
        </x14:dataValidation>
        <x14:dataValidation type="list" allowBlank="1" showErrorMessage="1" xr:uid="{00000000-0002-0000-0000-000000000000}">
          <x14:formula1>
            <xm:f>'Lookup-Generic'!$L$4:$L383</xm:f>
          </x14:formula1>
          <xm:sqref>D65 D365 D265 D165</xm:sqref>
        </x14:dataValidation>
        <x14:dataValidation type="list" allowBlank="1" showErrorMessage="1" xr:uid="{00000000-0002-0000-0000-000002000000}">
          <x14:formula1>
            <xm:f>'Lookup-Generic'!$AG$4:$AG383</xm:f>
          </x14:formula1>
          <xm:sqref>D13:D62 F313:F362 D313:D362 F213:F262 D213:D262 F113:F162 D113:D162 F13:F62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  <outlinePr summaryBelow="0" summaryRight="0"/>
  </sheetPr>
  <dimension ref="A1:S391"/>
  <sheetViews>
    <sheetView tabSelected="1" workbookViewId="0">
      <pane ySplit="7" topLeftCell="A8" activePane="bottomLeft" state="frozen"/>
      <selection pane="bottomLeft" activeCell="C293" sqref="C293:C311"/>
    </sheetView>
  </sheetViews>
  <sheetFormatPr defaultColWidth="12.6640625" defaultRowHeight="15.75" customHeight="1"/>
  <cols>
    <col min="1" max="1" width="3" customWidth="1"/>
    <col min="2" max="2" width="1.44140625" customWidth="1"/>
    <col min="3" max="3" width="3.77734375" customWidth="1"/>
    <col min="4" max="4" width="19.77734375" customWidth="1"/>
    <col min="5" max="5" width="6.21875" customWidth="1"/>
    <col min="6" max="6" width="6.109375" customWidth="1"/>
    <col min="7" max="7" width="19.77734375" customWidth="1"/>
    <col min="8" max="8" width="6.21875" customWidth="1"/>
    <col min="9" max="9" width="6.109375" customWidth="1"/>
    <col min="10" max="10" width="7.33203125" customWidth="1"/>
    <col min="11" max="11" width="4.6640625" customWidth="1"/>
    <col min="12" max="12" width="3.33203125" customWidth="1"/>
    <col min="13" max="13" width="2.77734375" hidden="1" customWidth="1"/>
    <col min="14" max="14" width="5.88671875" hidden="1" customWidth="1"/>
    <col min="15" max="15" width="12.109375" hidden="1" customWidth="1"/>
    <col min="16" max="16" width="5.44140625" hidden="1" customWidth="1"/>
    <col min="17" max="17" width="12.109375" hidden="1" customWidth="1"/>
    <col min="18" max="18" width="5.44140625" hidden="1" customWidth="1"/>
    <col min="19" max="19" width="14.21875" hidden="1" customWidth="1"/>
  </cols>
  <sheetData>
    <row r="1" spans="1:19" ht="37.799999999999997" customHeight="1">
      <c r="A1" s="1"/>
      <c r="B1" s="73"/>
      <c r="C1" s="74"/>
      <c r="D1" s="3">
        <v>45480</v>
      </c>
      <c r="E1" s="202" t="s">
        <v>270</v>
      </c>
      <c r="F1" s="194"/>
      <c r="G1" s="194"/>
      <c r="H1" s="194"/>
      <c r="I1" s="194"/>
      <c r="J1" s="194"/>
      <c r="K1" s="194"/>
      <c r="L1" s="75"/>
      <c r="M1" s="4"/>
      <c r="N1" s="59"/>
      <c r="O1" s="76"/>
      <c r="P1" s="59"/>
      <c r="Q1" s="76"/>
      <c r="R1" s="59"/>
      <c r="S1" s="59"/>
    </row>
    <row r="2" spans="1:19">
      <c r="A2" s="1"/>
      <c r="B2" s="205"/>
      <c r="C2" s="194"/>
      <c r="D2" s="206" t="s">
        <v>0</v>
      </c>
      <c r="E2" s="194"/>
      <c r="F2" s="7" t="s">
        <v>1</v>
      </c>
      <c r="G2" s="77" t="s">
        <v>2</v>
      </c>
      <c r="H2" s="6"/>
      <c r="I2" s="78"/>
      <c r="J2" s="79"/>
      <c r="K2" s="80"/>
      <c r="L2" s="6"/>
      <c r="M2" s="4"/>
      <c r="N2" s="59"/>
      <c r="O2" s="76"/>
      <c r="P2" s="59"/>
      <c r="Q2" s="76"/>
      <c r="R2" s="59"/>
      <c r="S2" s="59"/>
    </row>
    <row r="3" spans="1:19">
      <c r="A3" s="11" t="s">
        <v>4</v>
      </c>
      <c r="B3" s="205"/>
      <c r="C3" s="194"/>
      <c r="D3" s="207" t="s">
        <v>5</v>
      </c>
      <c r="E3" s="188"/>
      <c r="F3" s="81">
        <v>26</v>
      </c>
      <c r="G3" s="82" t="s">
        <v>109</v>
      </c>
      <c r="H3" s="82"/>
      <c r="I3" s="78"/>
      <c r="J3" s="10"/>
      <c r="K3" s="10"/>
      <c r="L3" s="6"/>
      <c r="M3" s="4"/>
      <c r="N3" s="59"/>
      <c r="O3" s="76"/>
      <c r="P3" s="59"/>
      <c r="Q3" s="76"/>
      <c r="R3" s="59"/>
      <c r="S3" s="59"/>
    </row>
    <row r="4" spans="1:19">
      <c r="A4" s="11" t="s">
        <v>6</v>
      </c>
      <c r="B4" s="205"/>
      <c r="C4" s="194"/>
      <c r="D4" s="207" t="s">
        <v>7</v>
      </c>
      <c r="E4" s="201"/>
      <c r="F4" s="81">
        <v>15</v>
      </c>
      <c r="G4" s="82" t="s">
        <v>109</v>
      </c>
      <c r="H4" s="82"/>
      <c r="I4" s="78"/>
      <c r="J4" s="10"/>
      <c r="K4" s="10"/>
      <c r="L4" s="6"/>
      <c r="M4" s="4"/>
      <c r="N4" s="59"/>
      <c r="O4" s="76"/>
      <c r="P4" s="59"/>
      <c r="Q4" s="76"/>
      <c r="R4" s="59"/>
      <c r="S4" s="59"/>
    </row>
    <row r="5" spans="1:19">
      <c r="A5" s="11" t="s">
        <v>8</v>
      </c>
      <c r="B5" s="205"/>
      <c r="C5" s="194"/>
      <c r="D5" s="207" t="s">
        <v>9</v>
      </c>
      <c r="E5" s="201"/>
      <c r="F5" s="81">
        <v>23</v>
      </c>
      <c r="G5" s="82" t="s">
        <v>109</v>
      </c>
      <c r="H5" s="82"/>
      <c r="I5" s="78"/>
      <c r="J5" s="10"/>
      <c r="K5" s="10"/>
      <c r="L5" s="6"/>
      <c r="M5" s="4"/>
      <c r="N5" s="59"/>
      <c r="O5" s="76"/>
      <c r="P5" s="59"/>
      <c r="Q5" s="76"/>
      <c r="R5" s="59"/>
      <c r="S5" s="59"/>
    </row>
    <row r="6" spans="1:19">
      <c r="A6" s="11" t="s">
        <v>11</v>
      </c>
      <c r="B6" s="205"/>
      <c r="C6" s="194"/>
      <c r="D6" s="207" t="s">
        <v>12</v>
      </c>
      <c r="E6" s="201"/>
      <c r="F6" s="81">
        <v>19</v>
      </c>
      <c r="G6" s="82" t="s">
        <v>109</v>
      </c>
      <c r="H6" s="82"/>
      <c r="I6" s="78"/>
      <c r="J6" s="10"/>
      <c r="K6" s="10"/>
      <c r="L6" s="6"/>
      <c r="M6" s="4"/>
      <c r="N6" s="59"/>
      <c r="O6" s="76"/>
      <c r="P6" s="59"/>
      <c r="Q6" s="76"/>
      <c r="R6" s="59"/>
      <c r="S6" s="59"/>
    </row>
    <row r="7" spans="1:19">
      <c r="A7" s="11" t="s">
        <v>15</v>
      </c>
      <c r="B7" s="6"/>
      <c r="C7" s="6"/>
      <c r="D7" s="6"/>
      <c r="E7" s="6"/>
      <c r="F7" s="6"/>
      <c r="G7" s="6"/>
      <c r="H7" s="6"/>
      <c r="I7" s="6"/>
      <c r="J7" s="83"/>
      <c r="K7" s="6"/>
      <c r="L7" s="6"/>
      <c r="M7" s="4"/>
      <c r="N7" s="59"/>
      <c r="O7" s="76"/>
      <c r="P7" s="59"/>
      <c r="Q7" s="76"/>
      <c r="R7" s="59"/>
      <c r="S7" s="59"/>
    </row>
    <row r="8" spans="1:19">
      <c r="A8" s="1"/>
      <c r="B8" s="84"/>
      <c r="C8" s="74"/>
      <c r="D8" s="211" t="s">
        <v>271</v>
      </c>
      <c r="E8" s="194"/>
      <c r="F8" s="194"/>
      <c r="G8" s="194"/>
      <c r="H8" s="23" t="s">
        <v>250</v>
      </c>
      <c r="I8" s="199">
        <v>45480</v>
      </c>
      <c r="J8" s="194"/>
      <c r="K8" s="85"/>
      <c r="L8" s="75"/>
      <c r="M8" s="4"/>
      <c r="N8" s="59"/>
      <c r="O8" s="76"/>
      <c r="P8" s="59"/>
      <c r="Q8" s="76"/>
      <c r="R8" s="59"/>
      <c r="S8" s="59"/>
    </row>
    <row r="9" spans="1:19" ht="15.6">
      <c r="A9" s="1"/>
      <c r="B9" s="86"/>
      <c r="C9" s="73"/>
      <c r="D9" s="208"/>
      <c r="E9" s="194"/>
      <c r="F9" s="194"/>
      <c r="G9" s="23"/>
      <c r="H9" s="23" t="s">
        <v>108</v>
      </c>
      <c r="I9" s="85" t="s">
        <v>109</v>
      </c>
      <c r="J9" s="87"/>
      <c r="K9" s="85"/>
      <c r="L9" s="88"/>
      <c r="M9" s="4"/>
      <c r="N9" s="59"/>
      <c r="O9" s="76"/>
      <c r="P9" s="59"/>
      <c r="Q9" s="76"/>
      <c r="R9" s="59"/>
      <c r="S9" s="59"/>
    </row>
    <row r="10" spans="1:19" ht="15.6">
      <c r="A10" s="1"/>
      <c r="B10" s="20"/>
      <c r="C10" s="89"/>
      <c r="D10" s="208" t="s">
        <v>251</v>
      </c>
      <c r="E10" s="194"/>
      <c r="F10" s="194"/>
      <c r="G10" s="194"/>
      <c r="H10" s="194"/>
      <c r="I10" s="194"/>
      <c r="J10" s="194"/>
      <c r="K10" s="194"/>
      <c r="L10" s="88"/>
      <c r="M10" s="4"/>
      <c r="N10" s="59"/>
      <c r="O10" s="90"/>
      <c r="P10" s="91"/>
      <c r="Q10" s="90"/>
      <c r="R10" s="92"/>
      <c r="S10" s="91"/>
    </row>
    <row r="11" spans="1:19">
      <c r="A11" s="1"/>
      <c r="B11" s="27"/>
      <c r="C11" s="209" t="s">
        <v>32</v>
      </c>
      <c r="D11" s="201"/>
      <c r="E11" s="200" t="s">
        <v>5</v>
      </c>
      <c r="F11" s="201"/>
      <c r="G11" s="201"/>
      <c r="H11" s="201"/>
      <c r="I11" s="201"/>
      <c r="J11" s="201"/>
      <c r="K11" s="201"/>
      <c r="L11" s="27"/>
      <c r="M11" s="4"/>
      <c r="N11" s="93"/>
      <c r="O11" s="76"/>
      <c r="P11" s="92"/>
      <c r="Q11" s="210"/>
      <c r="R11" s="194"/>
      <c r="S11" s="92"/>
    </row>
    <row r="12" spans="1:19">
      <c r="A12" s="1"/>
      <c r="B12" s="94"/>
      <c r="C12" s="212" t="s">
        <v>252</v>
      </c>
      <c r="D12" s="188"/>
      <c r="E12" s="213">
        <v>26</v>
      </c>
      <c r="F12" s="201"/>
      <c r="G12" s="201"/>
      <c r="H12" s="201"/>
      <c r="I12" s="201"/>
      <c r="J12" s="201"/>
      <c r="K12" s="201"/>
      <c r="L12" s="27"/>
      <c r="M12" s="4"/>
      <c r="N12" s="93"/>
      <c r="O12" s="90"/>
      <c r="P12" s="92"/>
      <c r="Q12" s="210"/>
      <c r="R12" s="194"/>
      <c r="S12" s="59"/>
    </row>
    <row r="13" spans="1:19" ht="15.75" customHeight="1">
      <c r="A13" s="1"/>
      <c r="B13" s="95"/>
      <c r="C13" s="96" t="s">
        <v>253</v>
      </c>
      <c r="D13" s="214" t="s">
        <v>33</v>
      </c>
      <c r="E13" s="201"/>
      <c r="F13" s="97" t="s">
        <v>254</v>
      </c>
      <c r="G13" s="214" t="s">
        <v>35</v>
      </c>
      <c r="H13" s="188"/>
      <c r="I13" s="98" t="s">
        <v>254</v>
      </c>
      <c r="J13" s="99" t="s">
        <v>37</v>
      </c>
      <c r="K13" s="98"/>
      <c r="L13" s="100"/>
      <c r="M13" s="4"/>
      <c r="N13" s="93" t="s">
        <v>253</v>
      </c>
      <c r="O13" s="92" t="s">
        <v>255</v>
      </c>
      <c r="P13" s="92" t="s">
        <v>256</v>
      </c>
      <c r="Q13" s="92" t="s">
        <v>257</v>
      </c>
      <c r="R13" s="92" t="s">
        <v>258</v>
      </c>
      <c r="S13" s="93" t="s">
        <v>37</v>
      </c>
    </row>
    <row r="14" spans="1:19" ht="15.75" customHeight="1">
      <c r="A14" s="1"/>
      <c r="B14" s="101"/>
      <c r="C14" s="221" t="s">
        <v>4</v>
      </c>
      <c r="D14" s="215" t="s">
        <v>42</v>
      </c>
      <c r="E14" s="197"/>
      <c r="F14" s="103" t="s">
        <v>43</v>
      </c>
      <c r="G14" s="215" t="s">
        <v>44</v>
      </c>
      <c r="H14" s="198"/>
      <c r="I14" s="103" t="s">
        <v>43</v>
      </c>
      <c r="J14" s="104">
        <v>70.56</v>
      </c>
      <c r="K14" s="102"/>
      <c r="L14" s="105"/>
      <c r="M14" s="4"/>
      <c r="N14" s="106" t="e">
        <v>#NAME?</v>
      </c>
      <c r="O14" s="76" t="s">
        <v>42</v>
      </c>
      <c r="P14" s="91" t="s">
        <v>43</v>
      </c>
      <c r="Q14" s="76" t="s">
        <v>44</v>
      </c>
      <c r="R14" s="91" t="s">
        <v>43</v>
      </c>
      <c r="S14" s="59">
        <v>70.56</v>
      </c>
    </row>
    <row r="15" spans="1:19" ht="15.75" customHeight="1">
      <c r="A15" s="1"/>
      <c r="B15" s="101"/>
      <c r="C15" s="221" t="s">
        <v>6</v>
      </c>
      <c r="D15" s="215" t="s">
        <v>45</v>
      </c>
      <c r="E15" s="197"/>
      <c r="F15" s="103" t="s">
        <v>43</v>
      </c>
      <c r="G15" s="215" t="s">
        <v>46</v>
      </c>
      <c r="H15" s="198"/>
      <c r="I15" s="103" t="s">
        <v>43</v>
      </c>
      <c r="J15" s="104">
        <v>67.650000000000006</v>
      </c>
      <c r="K15" s="102"/>
      <c r="L15" s="105"/>
      <c r="M15" s="4"/>
      <c r="N15" s="106" t="e">
        <v>#NAME?</v>
      </c>
      <c r="O15" s="76" t="s">
        <v>45</v>
      </c>
      <c r="P15" s="91" t="s">
        <v>43</v>
      </c>
      <c r="Q15" s="76" t="s">
        <v>46</v>
      </c>
      <c r="R15" s="91" t="s">
        <v>43</v>
      </c>
      <c r="S15" s="59">
        <v>67.650000000000006</v>
      </c>
    </row>
    <row r="16" spans="1:19" ht="15.75" customHeight="1">
      <c r="A16" s="1"/>
      <c r="B16" s="101"/>
      <c r="C16" s="221" t="s">
        <v>8</v>
      </c>
      <c r="D16" s="215" t="s">
        <v>80</v>
      </c>
      <c r="E16" s="197"/>
      <c r="F16" s="103" t="s">
        <v>81</v>
      </c>
      <c r="G16" s="215" t="s">
        <v>82</v>
      </c>
      <c r="H16" s="198"/>
      <c r="I16" s="103" t="s">
        <v>81</v>
      </c>
      <c r="J16" s="104">
        <v>65.430000000000007</v>
      </c>
      <c r="K16" s="102"/>
      <c r="L16" s="105"/>
      <c r="M16" s="4"/>
      <c r="N16" s="106" t="e">
        <v>#NAME?</v>
      </c>
      <c r="O16" s="76" t="s">
        <v>80</v>
      </c>
      <c r="P16" s="91" t="s">
        <v>81</v>
      </c>
      <c r="Q16" s="76" t="s">
        <v>82</v>
      </c>
      <c r="R16" s="91" t="s">
        <v>81</v>
      </c>
      <c r="S16" s="59">
        <v>65.430000000000007</v>
      </c>
    </row>
    <row r="17" spans="1:19" ht="15.75" customHeight="1">
      <c r="A17" s="1"/>
      <c r="B17" s="101"/>
      <c r="C17" s="221" t="s">
        <v>11</v>
      </c>
      <c r="D17" s="215" t="s">
        <v>65</v>
      </c>
      <c r="E17" s="197"/>
      <c r="F17" s="103" t="s">
        <v>40</v>
      </c>
      <c r="G17" s="215" t="s">
        <v>66</v>
      </c>
      <c r="H17" s="198"/>
      <c r="I17" s="103" t="s">
        <v>40</v>
      </c>
      <c r="J17" s="104">
        <v>65.28</v>
      </c>
      <c r="K17" s="102"/>
      <c r="L17" s="105"/>
      <c r="M17" s="4"/>
      <c r="N17" s="106" t="e">
        <v>#NAME?</v>
      </c>
      <c r="O17" s="76" t="s">
        <v>65</v>
      </c>
      <c r="P17" s="91" t="s">
        <v>40</v>
      </c>
      <c r="Q17" s="76" t="s">
        <v>66</v>
      </c>
      <c r="R17" s="91" t="s">
        <v>40</v>
      </c>
      <c r="S17" s="59">
        <v>65.28</v>
      </c>
    </row>
    <row r="18" spans="1:19" ht="15.75" customHeight="1">
      <c r="A18" s="1"/>
      <c r="B18" s="101"/>
      <c r="C18" s="221" t="s">
        <v>275</v>
      </c>
      <c r="D18" s="215" t="s">
        <v>78</v>
      </c>
      <c r="E18" s="197"/>
      <c r="F18" s="103" t="s">
        <v>74</v>
      </c>
      <c r="G18" s="215" t="s">
        <v>79</v>
      </c>
      <c r="H18" s="198"/>
      <c r="I18" s="103" t="s">
        <v>74</v>
      </c>
      <c r="J18" s="104">
        <v>65.22</v>
      </c>
      <c r="K18" s="102"/>
      <c r="L18" s="105"/>
      <c r="M18" s="4"/>
      <c r="N18" s="106" t="e">
        <v>#NAME?</v>
      </c>
      <c r="O18" s="76" t="s">
        <v>78</v>
      </c>
      <c r="P18" s="91" t="s">
        <v>74</v>
      </c>
      <c r="Q18" s="76" t="s">
        <v>79</v>
      </c>
      <c r="R18" s="91" t="s">
        <v>74</v>
      </c>
      <c r="S18" s="59">
        <v>65.22</v>
      </c>
    </row>
    <row r="19" spans="1:19" ht="15.75" customHeight="1">
      <c r="A19" s="1"/>
      <c r="B19" s="101"/>
      <c r="C19" s="221" t="s">
        <v>276</v>
      </c>
      <c r="D19" s="215" t="s">
        <v>85</v>
      </c>
      <c r="E19" s="197"/>
      <c r="F19" s="103" t="s">
        <v>86</v>
      </c>
      <c r="G19" s="215" t="s">
        <v>87</v>
      </c>
      <c r="H19" s="198"/>
      <c r="I19" s="103" t="s">
        <v>86</v>
      </c>
      <c r="J19" s="104">
        <v>64.23</v>
      </c>
      <c r="K19" s="102"/>
      <c r="L19" s="105"/>
      <c r="M19" s="4"/>
      <c r="N19" s="106" t="e">
        <v>#NAME?</v>
      </c>
      <c r="O19" s="76" t="s">
        <v>85</v>
      </c>
      <c r="P19" s="91" t="s">
        <v>86</v>
      </c>
      <c r="Q19" s="76" t="s">
        <v>87</v>
      </c>
      <c r="R19" s="91" t="s">
        <v>86</v>
      </c>
      <c r="S19" s="59">
        <v>64.23</v>
      </c>
    </row>
    <row r="20" spans="1:19" ht="15.75" customHeight="1">
      <c r="A20" s="1"/>
      <c r="B20" s="101"/>
      <c r="C20" s="221" t="s">
        <v>277</v>
      </c>
      <c r="D20" s="215" t="s">
        <v>50</v>
      </c>
      <c r="E20" s="197"/>
      <c r="F20" s="103" t="s">
        <v>51</v>
      </c>
      <c r="G20" s="215" t="s">
        <v>52</v>
      </c>
      <c r="H20" s="198"/>
      <c r="I20" s="103" t="s">
        <v>51</v>
      </c>
      <c r="J20" s="104">
        <v>62.82</v>
      </c>
      <c r="K20" s="102"/>
      <c r="L20" s="105"/>
      <c r="M20" s="4"/>
      <c r="N20" s="106" t="e">
        <v>#NAME?</v>
      </c>
      <c r="O20" s="76" t="s">
        <v>50</v>
      </c>
      <c r="P20" s="91" t="s">
        <v>51</v>
      </c>
      <c r="Q20" s="76" t="s">
        <v>52</v>
      </c>
      <c r="R20" s="91" t="s">
        <v>51</v>
      </c>
      <c r="S20" s="59">
        <v>62.82</v>
      </c>
    </row>
    <row r="21" spans="1:19" ht="15.75" customHeight="1">
      <c r="A21" s="1"/>
      <c r="B21" s="101"/>
      <c r="C21" s="221" t="s">
        <v>15</v>
      </c>
      <c r="D21" s="215" t="s">
        <v>91</v>
      </c>
      <c r="E21" s="197"/>
      <c r="F21" s="103" t="s">
        <v>92</v>
      </c>
      <c r="G21" s="215" t="s">
        <v>93</v>
      </c>
      <c r="H21" s="198"/>
      <c r="I21" s="103" t="s">
        <v>92</v>
      </c>
      <c r="J21" s="104">
        <v>60.93</v>
      </c>
      <c r="K21" s="102"/>
      <c r="L21" s="105"/>
      <c r="M21" s="4"/>
      <c r="N21" s="106" t="e">
        <v>#NAME?</v>
      </c>
      <c r="O21" s="76" t="s">
        <v>91</v>
      </c>
      <c r="P21" s="91" t="s">
        <v>92</v>
      </c>
      <c r="Q21" s="76" t="s">
        <v>93</v>
      </c>
      <c r="R21" s="91" t="s">
        <v>92</v>
      </c>
      <c r="S21" s="59">
        <v>60.93</v>
      </c>
    </row>
    <row r="22" spans="1:19" ht="15.75" customHeight="1">
      <c r="A22" s="1"/>
      <c r="B22" s="101"/>
      <c r="C22" s="221" t="s">
        <v>278</v>
      </c>
      <c r="D22" s="215" t="s">
        <v>57</v>
      </c>
      <c r="E22" s="197"/>
      <c r="F22" s="103" t="s">
        <v>58</v>
      </c>
      <c r="G22" s="215" t="s">
        <v>59</v>
      </c>
      <c r="H22" s="198"/>
      <c r="I22" s="103" t="s">
        <v>58</v>
      </c>
      <c r="J22" s="104">
        <v>60.03</v>
      </c>
      <c r="K22" s="102"/>
      <c r="L22" s="105"/>
      <c r="M22" s="4"/>
      <c r="N22" s="106" t="e">
        <v>#NAME?</v>
      </c>
      <c r="O22" s="76" t="s">
        <v>57</v>
      </c>
      <c r="P22" s="91" t="s">
        <v>58</v>
      </c>
      <c r="Q22" s="76" t="s">
        <v>59</v>
      </c>
      <c r="R22" s="91" t="s">
        <v>58</v>
      </c>
      <c r="S22" s="59">
        <v>60.03</v>
      </c>
    </row>
    <row r="23" spans="1:19" ht="15.75" customHeight="1">
      <c r="A23" s="1"/>
      <c r="B23" s="101"/>
      <c r="C23" s="221" t="s">
        <v>279</v>
      </c>
      <c r="D23" s="215" t="s">
        <v>100</v>
      </c>
      <c r="E23" s="197"/>
      <c r="F23" s="103" t="s">
        <v>98</v>
      </c>
      <c r="G23" s="215" t="s">
        <v>101</v>
      </c>
      <c r="H23" s="198"/>
      <c r="I23" s="103" t="s">
        <v>98</v>
      </c>
      <c r="J23" s="104">
        <v>59.07</v>
      </c>
      <c r="K23" s="102"/>
      <c r="L23" s="105"/>
      <c r="M23" s="4"/>
      <c r="N23" s="106" t="e">
        <v>#NAME?</v>
      </c>
      <c r="O23" s="76" t="s">
        <v>100</v>
      </c>
      <c r="P23" s="91" t="s">
        <v>98</v>
      </c>
      <c r="Q23" s="76" t="s">
        <v>101</v>
      </c>
      <c r="R23" s="91" t="s">
        <v>98</v>
      </c>
      <c r="S23" s="59">
        <v>59.07</v>
      </c>
    </row>
    <row r="24" spans="1:19" ht="15.75" customHeight="1">
      <c r="A24" s="1"/>
      <c r="B24" s="101"/>
      <c r="C24" s="221" t="s">
        <v>280</v>
      </c>
      <c r="D24" s="215" t="s">
        <v>83</v>
      </c>
      <c r="E24" s="197"/>
      <c r="F24" s="103" t="s">
        <v>81</v>
      </c>
      <c r="G24" s="215" t="s">
        <v>84</v>
      </c>
      <c r="H24" s="198"/>
      <c r="I24" s="103" t="s">
        <v>81</v>
      </c>
      <c r="J24" s="104">
        <v>58.41</v>
      </c>
      <c r="K24" s="102"/>
      <c r="L24" s="105"/>
      <c r="M24" s="4"/>
      <c r="N24" s="106" t="e">
        <v>#NAME?</v>
      </c>
      <c r="O24" s="76" t="s">
        <v>83</v>
      </c>
      <c r="P24" s="91" t="s">
        <v>81</v>
      </c>
      <c r="Q24" s="76" t="s">
        <v>84</v>
      </c>
      <c r="R24" s="91" t="s">
        <v>81</v>
      </c>
      <c r="S24" s="59">
        <v>58.41</v>
      </c>
    </row>
    <row r="25" spans="1:19" ht="15.75" customHeight="1">
      <c r="A25" s="1"/>
      <c r="B25" s="101"/>
      <c r="C25" s="221" t="s">
        <v>281</v>
      </c>
      <c r="D25" s="215" t="s">
        <v>102</v>
      </c>
      <c r="E25" s="197"/>
      <c r="F25" s="103" t="s">
        <v>98</v>
      </c>
      <c r="G25" s="215" t="s">
        <v>103</v>
      </c>
      <c r="H25" s="198"/>
      <c r="I25" s="103" t="s">
        <v>98</v>
      </c>
      <c r="J25" s="104">
        <v>55.92</v>
      </c>
      <c r="K25" s="102"/>
      <c r="L25" s="105"/>
      <c r="M25" s="4"/>
      <c r="N25" s="106" t="e">
        <v>#NAME?</v>
      </c>
      <c r="O25" s="76" t="s">
        <v>102</v>
      </c>
      <c r="P25" s="91" t="s">
        <v>98</v>
      </c>
      <c r="Q25" s="76" t="s">
        <v>103</v>
      </c>
      <c r="R25" s="91" t="s">
        <v>98</v>
      </c>
      <c r="S25" s="59">
        <v>55.92</v>
      </c>
    </row>
    <row r="26" spans="1:19" ht="15.75" customHeight="1">
      <c r="A26" s="1"/>
      <c r="B26" s="101"/>
      <c r="C26" s="221" t="s">
        <v>282</v>
      </c>
      <c r="D26" s="215" t="s">
        <v>94</v>
      </c>
      <c r="E26" s="197"/>
      <c r="F26" s="103" t="s">
        <v>95</v>
      </c>
      <c r="G26" s="215" t="s">
        <v>96</v>
      </c>
      <c r="H26" s="198"/>
      <c r="I26" s="103" t="s">
        <v>95</v>
      </c>
      <c r="J26" s="104">
        <v>55.83</v>
      </c>
      <c r="K26" s="102"/>
      <c r="L26" s="105"/>
      <c r="M26" s="4"/>
      <c r="N26" s="106" t="e">
        <v>#NAME?</v>
      </c>
      <c r="O26" s="76" t="s">
        <v>94</v>
      </c>
      <c r="P26" s="91" t="s">
        <v>95</v>
      </c>
      <c r="Q26" s="76" t="s">
        <v>96</v>
      </c>
      <c r="R26" s="91" t="s">
        <v>95</v>
      </c>
      <c r="S26" s="59">
        <v>55.83</v>
      </c>
    </row>
    <row r="27" spans="1:19" ht="15.75" customHeight="1">
      <c r="A27" s="1"/>
      <c r="B27" s="101"/>
      <c r="C27" s="221" t="s">
        <v>283</v>
      </c>
      <c r="D27" s="215" t="s">
        <v>97</v>
      </c>
      <c r="E27" s="197"/>
      <c r="F27" s="103" t="s">
        <v>98</v>
      </c>
      <c r="G27" s="215" t="s">
        <v>99</v>
      </c>
      <c r="H27" s="198"/>
      <c r="I27" s="103" t="s">
        <v>98</v>
      </c>
      <c r="J27" s="104">
        <v>55.68</v>
      </c>
      <c r="K27" s="102"/>
      <c r="L27" s="105"/>
      <c r="M27" s="4"/>
      <c r="N27" s="106" t="e">
        <v>#NAME?</v>
      </c>
      <c r="O27" s="76" t="s">
        <v>97</v>
      </c>
      <c r="P27" s="91" t="s">
        <v>98</v>
      </c>
      <c r="Q27" s="76" t="s">
        <v>99</v>
      </c>
      <c r="R27" s="91" t="s">
        <v>98</v>
      </c>
      <c r="S27" s="59">
        <v>55.68</v>
      </c>
    </row>
    <row r="28" spans="1:19" ht="15.75" customHeight="1">
      <c r="A28" s="1"/>
      <c r="B28" s="101"/>
      <c r="C28" s="221" t="s">
        <v>284</v>
      </c>
      <c r="D28" s="215" t="s">
        <v>88</v>
      </c>
      <c r="E28" s="197"/>
      <c r="F28" s="103" t="s">
        <v>89</v>
      </c>
      <c r="G28" s="215" t="s">
        <v>90</v>
      </c>
      <c r="H28" s="198"/>
      <c r="I28" s="103" t="s">
        <v>89</v>
      </c>
      <c r="J28" s="104">
        <v>54.72</v>
      </c>
      <c r="K28" s="102"/>
      <c r="L28" s="105"/>
      <c r="M28" s="4"/>
      <c r="N28" s="106" t="e">
        <v>#NAME?</v>
      </c>
      <c r="O28" s="76" t="s">
        <v>88</v>
      </c>
      <c r="P28" s="91" t="s">
        <v>89</v>
      </c>
      <c r="Q28" s="76" t="s">
        <v>90</v>
      </c>
      <c r="R28" s="91" t="s">
        <v>89</v>
      </c>
      <c r="S28" s="59">
        <v>54.72</v>
      </c>
    </row>
    <row r="29" spans="1:19" ht="15.75" customHeight="1">
      <c r="A29" s="1"/>
      <c r="B29" s="101"/>
      <c r="C29" s="221" t="s">
        <v>285</v>
      </c>
      <c r="D29" s="215" t="s">
        <v>106</v>
      </c>
      <c r="E29" s="197"/>
      <c r="F29" s="103" t="s">
        <v>58</v>
      </c>
      <c r="G29" s="215" t="s">
        <v>107</v>
      </c>
      <c r="H29" s="198"/>
      <c r="I29" s="103" t="s">
        <v>58</v>
      </c>
      <c r="J29" s="104">
        <v>54.6</v>
      </c>
      <c r="K29" s="102"/>
      <c r="L29" s="105"/>
      <c r="M29" s="4"/>
      <c r="N29" s="106" t="e">
        <v>#NAME?</v>
      </c>
      <c r="O29" s="76" t="s">
        <v>106</v>
      </c>
      <c r="P29" s="91" t="s">
        <v>58</v>
      </c>
      <c r="Q29" s="76" t="s">
        <v>107</v>
      </c>
      <c r="R29" s="91" t="s">
        <v>58</v>
      </c>
      <c r="S29" s="59">
        <v>54.6</v>
      </c>
    </row>
    <row r="30" spans="1:19" ht="15.75" customHeight="1">
      <c r="A30" s="1"/>
      <c r="B30" s="101"/>
      <c r="C30" s="221" t="s">
        <v>286</v>
      </c>
      <c r="D30" s="215" t="s">
        <v>76</v>
      </c>
      <c r="E30" s="197"/>
      <c r="F30" s="103" t="s">
        <v>74</v>
      </c>
      <c r="G30" s="215" t="s">
        <v>77</v>
      </c>
      <c r="H30" s="198"/>
      <c r="I30" s="103" t="s">
        <v>74</v>
      </c>
      <c r="J30" s="104">
        <v>53.88</v>
      </c>
      <c r="K30" s="102"/>
      <c r="L30" s="105"/>
      <c r="M30" s="4"/>
      <c r="N30" s="106" t="e">
        <v>#NAME?</v>
      </c>
      <c r="O30" s="76" t="s">
        <v>76</v>
      </c>
      <c r="P30" s="91" t="s">
        <v>74</v>
      </c>
      <c r="Q30" s="76" t="s">
        <v>77</v>
      </c>
      <c r="R30" s="91" t="s">
        <v>74</v>
      </c>
      <c r="S30" s="59">
        <v>53.88</v>
      </c>
    </row>
    <row r="31" spans="1:19" ht="15.75" customHeight="1">
      <c r="A31" s="1"/>
      <c r="B31" s="101"/>
      <c r="C31" s="221" t="s">
        <v>287</v>
      </c>
      <c r="D31" s="215" t="s">
        <v>67</v>
      </c>
      <c r="E31" s="197"/>
      <c r="F31" s="103" t="s">
        <v>68</v>
      </c>
      <c r="G31" s="215" t="s">
        <v>69</v>
      </c>
      <c r="H31" s="198"/>
      <c r="I31" s="103" t="s">
        <v>68</v>
      </c>
      <c r="J31" s="104">
        <v>53.82</v>
      </c>
      <c r="K31" s="102"/>
      <c r="L31" s="105"/>
      <c r="M31" s="4"/>
      <c r="N31" s="106" t="e">
        <v>#NAME?</v>
      </c>
      <c r="O31" s="76" t="s">
        <v>67</v>
      </c>
      <c r="P31" s="91" t="s">
        <v>68</v>
      </c>
      <c r="Q31" s="76" t="s">
        <v>69</v>
      </c>
      <c r="R31" s="91" t="s">
        <v>68</v>
      </c>
      <c r="S31" s="59">
        <v>53.82</v>
      </c>
    </row>
    <row r="32" spans="1:19" ht="15.75" customHeight="1">
      <c r="A32" s="1"/>
      <c r="B32" s="101"/>
      <c r="C32" s="221" t="s">
        <v>288</v>
      </c>
      <c r="D32" s="215" t="s">
        <v>47</v>
      </c>
      <c r="E32" s="197"/>
      <c r="F32" s="103" t="s">
        <v>48</v>
      </c>
      <c r="G32" s="215" t="s">
        <v>49</v>
      </c>
      <c r="H32" s="198"/>
      <c r="I32" s="103" t="s">
        <v>48</v>
      </c>
      <c r="J32" s="104">
        <v>53.67</v>
      </c>
      <c r="K32" s="102"/>
      <c r="L32" s="105"/>
      <c r="M32" s="4"/>
      <c r="N32" s="106" t="e">
        <v>#NAME?</v>
      </c>
      <c r="O32" s="76" t="s">
        <v>47</v>
      </c>
      <c r="P32" s="91" t="s">
        <v>48</v>
      </c>
      <c r="Q32" s="76" t="s">
        <v>49</v>
      </c>
      <c r="R32" s="91" t="s">
        <v>48</v>
      </c>
      <c r="S32" s="59">
        <v>53.67</v>
      </c>
    </row>
    <row r="33" spans="1:19" ht="13.2">
      <c r="A33" s="1"/>
      <c r="B33" s="101"/>
      <c r="C33" s="221" t="s">
        <v>289</v>
      </c>
      <c r="D33" s="215" t="s">
        <v>63</v>
      </c>
      <c r="E33" s="197"/>
      <c r="F33" s="103" t="s">
        <v>61</v>
      </c>
      <c r="G33" s="215" t="s">
        <v>64</v>
      </c>
      <c r="H33" s="198"/>
      <c r="I33" s="103" t="s">
        <v>61</v>
      </c>
      <c r="J33" s="104">
        <v>51.09</v>
      </c>
      <c r="K33" s="102"/>
      <c r="L33" s="105"/>
      <c r="M33" s="4"/>
      <c r="N33" s="106" t="e">
        <v>#NAME?</v>
      </c>
      <c r="O33" s="76" t="s">
        <v>63</v>
      </c>
      <c r="P33" s="91" t="s">
        <v>61</v>
      </c>
      <c r="Q33" s="76" t="s">
        <v>64</v>
      </c>
      <c r="R33" s="91" t="s">
        <v>61</v>
      </c>
      <c r="S33" s="59">
        <v>51.09</v>
      </c>
    </row>
    <row r="34" spans="1:19" ht="13.2">
      <c r="A34" s="1"/>
      <c r="B34" s="101"/>
      <c r="C34" s="221" t="s">
        <v>290</v>
      </c>
      <c r="D34" s="215" t="s">
        <v>53</v>
      </c>
      <c r="E34" s="197"/>
      <c r="F34" s="103" t="s">
        <v>54</v>
      </c>
      <c r="G34" s="215" t="s">
        <v>55</v>
      </c>
      <c r="H34" s="198"/>
      <c r="I34" s="103" t="s">
        <v>56</v>
      </c>
      <c r="J34" s="104">
        <v>50.73</v>
      </c>
      <c r="K34" s="102"/>
      <c r="L34" s="105"/>
      <c r="M34" s="4"/>
      <c r="N34" s="106" t="e">
        <v>#NAME?</v>
      </c>
      <c r="O34" s="76" t="s">
        <v>53</v>
      </c>
      <c r="P34" s="91" t="s">
        <v>54</v>
      </c>
      <c r="Q34" s="76" t="s">
        <v>55</v>
      </c>
      <c r="R34" s="91" t="s">
        <v>56</v>
      </c>
      <c r="S34" s="59">
        <v>50.73</v>
      </c>
    </row>
    <row r="35" spans="1:19" ht="13.2">
      <c r="A35" s="1"/>
      <c r="B35" s="101"/>
      <c r="C35" s="221" t="s">
        <v>291</v>
      </c>
      <c r="D35" s="215" t="s">
        <v>60</v>
      </c>
      <c r="E35" s="197"/>
      <c r="F35" s="103" t="s">
        <v>61</v>
      </c>
      <c r="G35" s="215" t="s">
        <v>62</v>
      </c>
      <c r="H35" s="198"/>
      <c r="I35" s="103" t="s">
        <v>61</v>
      </c>
      <c r="J35" s="104">
        <v>42.18</v>
      </c>
      <c r="K35" s="102"/>
      <c r="L35" s="105"/>
      <c r="M35" s="4"/>
      <c r="N35" s="106" t="e">
        <v>#NAME?</v>
      </c>
      <c r="O35" s="76" t="s">
        <v>60</v>
      </c>
      <c r="P35" s="91" t="s">
        <v>61</v>
      </c>
      <c r="Q35" s="76" t="s">
        <v>62</v>
      </c>
      <c r="R35" s="91" t="s">
        <v>61</v>
      </c>
      <c r="S35" s="59">
        <v>42.18</v>
      </c>
    </row>
    <row r="36" spans="1:19" ht="13.2">
      <c r="A36" s="1"/>
      <c r="B36" s="101"/>
      <c r="C36" s="221" t="s">
        <v>292</v>
      </c>
      <c r="D36" s="215" t="s">
        <v>104</v>
      </c>
      <c r="E36" s="197"/>
      <c r="F36" s="103" t="s">
        <v>61</v>
      </c>
      <c r="G36" s="215" t="s">
        <v>105</v>
      </c>
      <c r="H36" s="198"/>
      <c r="I36" s="103" t="s">
        <v>61</v>
      </c>
      <c r="J36" s="104">
        <v>39.51</v>
      </c>
      <c r="K36" s="102"/>
      <c r="L36" s="105"/>
      <c r="M36" s="4"/>
      <c r="N36" s="106" t="e">
        <v>#NAME?</v>
      </c>
      <c r="O36" s="76" t="s">
        <v>104</v>
      </c>
      <c r="P36" s="91" t="s">
        <v>61</v>
      </c>
      <c r="Q36" s="76" t="s">
        <v>105</v>
      </c>
      <c r="R36" s="91" t="s">
        <v>61</v>
      </c>
      <c r="S36" s="59">
        <v>39.51</v>
      </c>
    </row>
    <row r="37" spans="1:19" ht="13.2">
      <c r="A37" s="1"/>
      <c r="B37" s="101"/>
      <c r="C37" s="221" t="s">
        <v>293</v>
      </c>
      <c r="D37" s="215" t="s">
        <v>70</v>
      </c>
      <c r="E37" s="197"/>
      <c r="F37" s="103" t="s">
        <v>71</v>
      </c>
      <c r="G37" s="215" t="s">
        <v>72</v>
      </c>
      <c r="H37" s="198"/>
      <c r="I37" s="103" t="s">
        <v>71</v>
      </c>
      <c r="J37" s="104">
        <v>39.450000000000003</v>
      </c>
      <c r="K37" s="102"/>
      <c r="L37" s="105"/>
      <c r="M37" s="4"/>
      <c r="N37" s="106" t="e">
        <v>#NAME?</v>
      </c>
      <c r="O37" s="76" t="s">
        <v>70</v>
      </c>
      <c r="P37" s="91" t="s">
        <v>71</v>
      </c>
      <c r="Q37" s="76" t="s">
        <v>72</v>
      </c>
      <c r="R37" s="91" t="s">
        <v>71</v>
      </c>
      <c r="S37" s="59">
        <v>39.450000000000003</v>
      </c>
    </row>
    <row r="38" spans="1:19" ht="13.2">
      <c r="A38" s="1"/>
      <c r="B38" s="101"/>
      <c r="C38" s="221" t="s">
        <v>294</v>
      </c>
      <c r="D38" s="215" t="s">
        <v>39</v>
      </c>
      <c r="E38" s="197"/>
      <c r="F38" s="103" t="s">
        <v>40</v>
      </c>
      <c r="G38" s="215" t="s">
        <v>41</v>
      </c>
      <c r="H38" s="198"/>
      <c r="I38" s="103" t="s">
        <v>40</v>
      </c>
      <c r="J38" s="104">
        <v>37.619999999999997</v>
      </c>
      <c r="K38" s="102"/>
      <c r="L38" s="105"/>
      <c r="M38" s="4"/>
      <c r="N38" s="106" t="e">
        <v>#NAME?</v>
      </c>
      <c r="O38" s="76" t="s">
        <v>39</v>
      </c>
      <c r="P38" s="91" t="s">
        <v>40</v>
      </c>
      <c r="Q38" s="76" t="s">
        <v>41</v>
      </c>
      <c r="R38" s="91" t="s">
        <v>40</v>
      </c>
      <c r="S38" s="59">
        <v>37.619999999999997</v>
      </c>
    </row>
    <row r="39" spans="1:19" ht="13.2">
      <c r="A39" s="1"/>
      <c r="B39" s="101"/>
      <c r="C39" s="221" t="s">
        <v>295</v>
      </c>
      <c r="D39" s="215" t="s">
        <v>73</v>
      </c>
      <c r="E39" s="197"/>
      <c r="F39" s="103" t="s">
        <v>74</v>
      </c>
      <c r="G39" s="215" t="s">
        <v>75</v>
      </c>
      <c r="H39" s="198"/>
      <c r="I39" s="103" t="s">
        <v>74</v>
      </c>
      <c r="J39" s="104">
        <v>23.94</v>
      </c>
      <c r="K39" s="102"/>
      <c r="L39" s="105"/>
      <c r="M39" s="4"/>
      <c r="N39" s="106" t="e">
        <v>#NAME?</v>
      </c>
      <c r="O39" s="76" t="s">
        <v>73</v>
      </c>
      <c r="P39" s="91" t="s">
        <v>74</v>
      </c>
      <c r="Q39" s="76" t="s">
        <v>75</v>
      </c>
      <c r="R39" s="91" t="s">
        <v>74</v>
      </c>
      <c r="S39" s="59">
        <v>23.94</v>
      </c>
    </row>
    <row r="40" spans="1:19" ht="13.2">
      <c r="A40" s="1"/>
      <c r="B40" s="101"/>
      <c r="C40" s="102"/>
      <c r="D40" s="215"/>
      <c r="E40" s="197"/>
      <c r="F40" s="103"/>
      <c r="G40" s="215"/>
      <c r="H40" s="198"/>
      <c r="I40" s="103"/>
      <c r="J40" s="104" t="s">
        <v>38</v>
      </c>
      <c r="K40" s="102"/>
      <c r="L40" s="105"/>
      <c r="M40" s="4"/>
      <c r="N40" s="106" t="e">
        <v>#NAME?</v>
      </c>
      <c r="O40" s="76"/>
      <c r="P40" s="91"/>
      <c r="Q40" s="76"/>
      <c r="R40" s="91"/>
      <c r="S40" s="59"/>
    </row>
    <row r="41" spans="1:19" ht="13.2">
      <c r="A41" s="1"/>
      <c r="B41" s="101"/>
      <c r="C41" s="102"/>
      <c r="D41" s="215"/>
      <c r="E41" s="197"/>
      <c r="F41" s="103"/>
      <c r="G41" s="215"/>
      <c r="H41" s="198"/>
      <c r="I41" s="103"/>
      <c r="J41" s="104" t="s">
        <v>38</v>
      </c>
      <c r="K41" s="102"/>
      <c r="L41" s="105"/>
      <c r="M41" s="4"/>
      <c r="N41" s="106" t="e">
        <v>#NAME?</v>
      </c>
      <c r="O41" s="76"/>
      <c r="P41" s="91"/>
      <c r="Q41" s="76"/>
      <c r="R41" s="91"/>
      <c r="S41" s="59"/>
    </row>
    <row r="42" spans="1:19" ht="13.2">
      <c r="A42" s="1"/>
      <c r="B42" s="101"/>
      <c r="C42" s="102"/>
      <c r="D42" s="215"/>
      <c r="E42" s="197"/>
      <c r="F42" s="103"/>
      <c r="G42" s="215"/>
      <c r="H42" s="198"/>
      <c r="I42" s="103"/>
      <c r="J42" s="104" t="s">
        <v>38</v>
      </c>
      <c r="K42" s="102"/>
      <c r="L42" s="105"/>
      <c r="M42" s="4"/>
      <c r="N42" s="106" t="e">
        <v>#NAME?</v>
      </c>
      <c r="O42" s="76"/>
      <c r="P42" s="91"/>
      <c r="Q42" s="76"/>
      <c r="R42" s="91"/>
      <c r="S42" s="59"/>
    </row>
    <row r="43" spans="1:19" ht="13.2">
      <c r="A43" s="1"/>
      <c r="B43" s="1"/>
      <c r="C43" s="58"/>
      <c r="D43" s="1"/>
      <c r="E43" s="1"/>
      <c r="F43" s="1"/>
      <c r="G43" s="1"/>
      <c r="H43" s="1"/>
      <c r="I43" s="1"/>
      <c r="J43" s="59"/>
      <c r="K43" s="1"/>
      <c r="L43" s="1"/>
      <c r="M43" s="4"/>
      <c r="N43" s="106"/>
      <c r="O43" s="76"/>
      <c r="P43" s="59"/>
      <c r="Q43" s="76"/>
      <c r="R43" s="59"/>
      <c r="S43" s="59"/>
    </row>
    <row r="44" spans="1:19" ht="13.2">
      <c r="A44" s="1"/>
      <c r="B44" s="1"/>
      <c r="C44" s="68" t="s">
        <v>117</v>
      </c>
      <c r="D44" s="68"/>
      <c r="E44" s="68"/>
      <c r="F44" s="68"/>
      <c r="G44" s="68"/>
      <c r="H44" s="68"/>
      <c r="I44" s="68"/>
      <c r="J44" s="69"/>
      <c r="K44" s="68"/>
      <c r="L44" s="1"/>
      <c r="M44" s="4"/>
      <c r="N44" s="59"/>
      <c r="O44" s="76"/>
      <c r="P44" s="59"/>
      <c r="Q44" s="76"/>
      <c r="R44" s="59"/>
      <c r="S44" s="59"/>
    </row>
    <row r="45" spans="1:19" ht="13.2">
      <c r="A45" s="1"/>
      <c r="B45" s="1"/>
      <c r="C45" s="190">
        <v>0</v>
      </c>
      <c r="D45" s="191"/>
      <c r="E45" s="191"/>
      <c r="F45" s="191"/>
      <c r="G45" s="191"/>
      <c r="H45" s="191"/>
      <c r="I45" s="191"/>
      <c r="J45" s="191"/>
      <c r="K45" s="192"/>
      <c r="L45" s="1"/>
      <c r="M45" s="4"/>
      <c r="N45" s="59"/>
      <c r="O45" s="76"/>
      <c r="P45" s="59"/>
      <c r="Q45" s="76"/>
      <c r="R45" s="59"/>
      <c r="S45" s="59"/>
    </row>
    <row r="46" spans="1:19" ht="13.2">
      <c r="A46" s="1"/>
      <c r="B46" s="1"/>
      <c r="C46" s="193"/>
      <c r="D46" s="194"/>
      <c r="E46" s="194"/>
      <c r="F46" s="194"/>
      <c r="G46" s="194"/>
      <c r="H46" s="194"/>
      <c r="I46" s="194"/>
      <c r="J46" s="194"/>
      <c r="K46" s="195"/>
      <c r="L46" s="1"/>
      <c r="M46" s="4"/>
      <c r="N46" s="59"/>
      <c r="O46" s="76"/>
      <c r="P46" s="59"/>
      <c r="Q46" s="76"/>
      <c r="R46" s="59"/>
      <c r="S46" s="59"/>
    </row>
    <row r="47" spans="1:19" ht="13.2">
      <c r="A47" s="1"/>
      <c r="B47" s="1"/>
      <c r="C47" s="193"/>
      <c r="D47" s="194"/>
      <c r="E47" s="194"/>
      <c r="F47" s="194"/>
      <c r="G47" s="194"/>
      <c r="H47" s="194"/>
      <c r="I47" s="194"/>
      <c r="J47" s="194"/>
      <c r="K47" s="195"/>
      <c r="L47" s="1"/>
      <c r="M47" s="4"/>
      <c r="N47" s="59"/>
      <c r="O47" s="76"/>
      <c r="P47" s="59"/>
      <c r="Q47" s="76"/>
      <c r="R47" s="59"/>
      <c r="S47" s="59"/>
    </row>
    <row r="48" spans="1:19" ht="13.2">
      <c r="A48" s="1"/>
      <c r="B48" s="1"/>
      <c r="C48" s="196"/>
      <c r="D48" s="197"/>
      <c r="E48" s="197"/>
      <c r="F48" s="197"/>
      <c r="G48" s="197"/>
      <c r="H48" s="197"/>
      <c r="I48" s="197"/>
      <c r="J48" s="197"/>
      <c r="K48" s="198"/>
      <c r="L48" s="1"/>
      <c r="M48" s="4"/>
      <c r="N48" s="59"/>
      <c r="O48" s="76"/>
      <c r="P48" s="59"/>
      <c r="Q48" s="76"/>
      <c r="R48" s="59"/>
      <c r="S48" s="59"/>
    </row>
    <row r="49" spans="1:19" ht="13.2">
      <c r="A49" s="1"/>
      <c r="B49" s="1"/>
      <c r="C49" s="58"/>
      <c r="D49" s="1"/>
      <c r="E49" s="1"/>
      <c r="F49" s="1"/>
      <c r="G49" s="1"/>
      <c r="H49" s="1"/>
      <c r="I49" s="1"/>
      <c r="J49" s="59"/>
      <c r="K49" s="1"/>
      <c r="L49" s="1"/>
      <c r="M49" s="4"/>
      <c r="N49" s="59"/>
      <c r="O49" s="76"/>
      <c r="P49" s="59"/>
      <c r="Q49" s="76"/>
      <c r="R49" s="59"/>
      <c r="S49" s="59"/>
    </row>
    <row r="50" spans="1:19" ht="13.2">
      <c r="A50" s="1"/>
      <c r="B50" s="1"/>
      <c r="C50" s="58"/>
      <c r="D50" s="1"/>
      <c r="E50" s="1"/>
      <c r="F50" s="1"/>
      <c r="G50" s="1"/>
      <c r="H50" s="1"/>
      <c r="I50" s="1"/>
      <c r="J50" s="59"/>
      <c r="K50" s="1"/>
      <c r="L50" s="1"/>
      <c r="M50" s="4"/>
      <c r="N50" s="59"/>
      <c r="O50" s="76"/>
      <c r="P50" s="59"/>
      <c r="Q50" s="76"/>
      <c r="R50" s="59"/>
      <c r="S50" s="59"/>
    </row>
    <row r="51" spans="1:19" ht="13.2">
      <c r="A51" s="1"/>
      <c r="B51" s="1"/>
      <c r="C51" s="58"/>
      <c r="D51" s="1"/>
      <c r="E51" s="1"/>
      <c r="F51" s="1"/>
      <c r="G51" s="1"/>
      <c r="H51" s="1"/>
      <c r="I51" s="1"/>
      <c r="J51" s="59"/>
      <c r="K51" s="1"/>
      <c r="L51" s="1"/>
      <c r="M51" s="4"/>
      <c r="N51" s="59"/>
      <c r="O51" s="76"/>
      <c r="P51" s="59"/>
      <c r="Q51" s="76"/>
      <c r="R51" s="59"/>
      <c r="S51" s="59"/>
    </row>
    <row r="52" spans="1:19" ht="13.2">
      <c r="A52" s="1"/>
      <c r="B52" s="1"/>
      <c r="C52" s="58"/>
      <c r="D52" s="1"/>
      <c r="E52" s="1"/>
      <c r="F52" s="1"/>
      <c r="G52" s="1"/>
      <c r="H52" s="1"/>
      <c r="I52" s="1"/>
      <c r="J52" s="59"/>
      <c r="K52" s="1"/>
      <c r="L52" s="1"/>
      <c r="M52" s="4"/>
      <c r="N52" s="59"/>
      <c r="O52" s="76"/>
      <c r="P52" s="59"/>
      <c r="Q52" s="76"/>
      <c r="R52" s="59"/>
      <c r="S52" s="59"/>
    </row>
    <row r="53" spans="1:19" ht="13.2">
      <c r="A53" s="1"/>
      <c r="B53" s="1"/>
      <c r="C53" s="58"/>
      <c r="D53" s="1"/>
      <c r="E53" s="1"/>
      <c r="F53" s="1"/>
      <c r="G53" s="1"/>
      <c r="H53" s="1"/>
      <c r="I53" s="1"/>
      <c r="J53" s="59"/>
      <c r="K53" s="1"/>
      <c r="L53" s="1"/>
      <c r="M53" s="4"/>
      <c r="N53" s="59"/>
      <c r="O53" s="76"/>
      <c r="P53" s="59"/>
      <c r="Q53" s="76"/>
      <c r="R53" s="59"/>
      <c r="S53" s="59"/>
    </row>
    <row r="54" spans="1:19" ht="13.2">
      <c r="A54" s="1"/>
      <c r="B54" s="1"/>
      <c r="C54" s="58"/>
      <c r="D54" s="1"/>
      <c r="E54" s="1"/>
      <c r="F54" s="1"/>
      <c r="G54" s="1"/>
      <c r="H54" s="1"/>
      <c r="I54" s="1"/>
      <c r="J54" s="59"/>
      <c r="K54" s="1"/>
      <c r="L54" s="1"/>
      <c r="M54" s="4"/>
      <c r="N54" s="59"/>
      <c r="O54" s="76"/>
      <c r="P54" s="59"/>
      <c r="Q54" s="76"/>
      <c r="R54" s="59"/>
      <c r="S54" s="59"/>
    </row>
    <row r="55" spans="1:19" ht="13.2">
      <c r="A55" s="1"/>
      <c r="B55" s="1"/>
      <c r="C55" s="58"/>
      <c r="D55" s="1"/>
      <c r="E55" s="1"/>
      <c r="F55" s="1"/>
      <c r="G55" s="1"/>
      <c r="H55" s="1"/>
      <c r="I55" s="1"/>
      <c r="J55" s="59"/>
      <c r="K55" s="1"/>
      <c r="L55" s="1"/>
      <c r="M55" s="4"/>
      <c r="N55" s="59"/>
      <c r="O55" s="76"/>
      <c r="P55" s="59"/>
      <c r="Q55" s="76"/>
      <c r="R55" s="59"/>
      <c r="S55" s="59"/>
    </row>
    <row r="56" spans="1:19" ht="13.2">
      <c r="A56" s="1"/>
      <c r="B56" s="1"/>
      <c r="C56" s="58"/>
      <c r="D56" s="1"/>
      <c r="E56" s="1"/>
      <c r="F56" s="1"/>
      <c r="G56" s="1"/>
      <c r="H56" s="1"/>
      <c r="I56" s="1"/>
      <c r="J56" s="59"/>
      <c r="K56" s="1"/>
      <c r="L56" s="1"/>
      <c r="M56" s="4"/>
      <c r="N56" s="59"/>
      <c r="O56" s="76"/>
      <c r="P56" s="59"/>
      <c r="Q56" s="76"/>
      <c r="R56" s="59"/>
      <c r="S56" s="59"/>
    </row>
    <row r="57" spans="1:19" ht="13.2">
      <c r="A57" s="1"/>
      <c r="B57" s="1"/>
      <c r="C57" s="58"/>
      <c r="D57" s="1"/>
      <c r="E57" s="1"/>
      <c r="F57" s="1"/>
      <c r="G57" s="1"/>
      <c r="H57" s="1"/>
      <c r="I57" s="1"/>
      <c r="J57" s="59"/>
      <c r="K57" s="1"/>
      <c r="L57" s="1"/>
      <c r="M57" s="4"/>
      <c r="N57" s="59"/>
      <c r="O57" s="76"/>
      <c r="P57" s="59"/>
      <c r="Q57" s="76"/>
      <c r="R57" s="59"/>
      <c r="S57" s="59"/>
    </row>
    <row r="58" spans="1:19" ht="13.2">
      <c r="A58" s="1"/>
      <c r="B58" s="1"/>
      <c r="C58" s="58"/>
      <c r="D58" s="1"/>
      <c r="E58" s="1"/>
      <c r="F58" s="1"/>
      <c r="G58" s="1"/>
      <c r="H58" s="1"/>
      <c r="I58" s="1"/>
      <c r="J58" s="59"/>
      <c r="K58" s="1"/>
      <c r="L58" s="1"/>
      <c r="M58" s="4"/>
      <c r="N58" s="59"/>
      <c r="O58" s="76"/>
      <c r="P58" s="59"/>
      <c r="Q58" s="76"/>
      <c r="R58" s="59"/>
      <c r="S58" s="59"/>
    </row>
    <row r="59" spans="1:19" ht="13.2">
      <c r="A59" s="1"/>
      <c r="B59" s="1"/>
      <c r="C59" s="58"/>
      <c r="D59" s="1"/>
      <c r="E59" s="1"/>
      <c r="F59" s="1"/>
      <c r="G59" s="1"/>
      <c r="H59" s="1"/>
      <c r="I59" s="1"/>
      <c r="J59" s="59"/>
      <c r="K59" s="1"/>
      <c r="L59" s="1"/>
      <c r="M59" s="4"/>
      <c r="N59" s="59"/>
      <c r="O59" s="76"/>
      <c r="P59" s="59"/>
      <c r="Q59" s="76"/>
      <c r="R59" s="59"/>
      <c r="S59" s="59"/>
    </row>
    <row r="60" spans="1:19" ht="13.2">
      <c r="A60" s="1"/>
      <c r="B60" s="1"/>
      <c r="C60" s="58"/>
      <c r="D60" s="1"/>
      <c r="E60" s="1"/>
      <c r="F60" s="1"/>
      <c r="G60" s="1"/>
      <c r="H60" s="1"/>
      <c r="I60" s="1"/>
      <c r="J60" s="59"/>
      <c r="K60" s="1"/>
      <c r="L60" s="1"/>
      <c r="M60" s="4"/>
      <c r="N60" s="59"/>
      <c r="O60" s="76"/>
      <c r="P60" s="59"/>
      <c r="Q60" s="76"/>
      <c r="R60" s="59"/>
      <c r="S60" s="59"/>
    </row>
    <row r="61" spans="1:19" ht="13.2">
      <c r="A61" s="1"/>
      <c r="B61" s="1"/>
      <c r="C61" s="58"/>
      <c r="D61" s="1"/>
      <c r="E61" s="1"/>
      <c r="F61" s="1"/>
      <c r="G61" s="1"/>
      <c r="H61" s="1"/>
      <c r="I61" s="1"/>
      <c r="J61" s="59"/>
      <c r="K61" s="1"/>
      <c r="L61" s="1"/>
      <c r="M61" s="4"/>
      <c r="N61" s="59"/>
      <c r="O61" s="76"/>
      <c r="P61" s="59"/>
      <c r="Q61" s="76"/>
      <c r="R61" s="59"/>
      <c r="S61" s="59"/>
    </row>
    <row r="62" spans="1:19" ht="13.2">
      <c r="A62" s="1"/>
      <c r="B62" s="1"/>
      <c r="C62" s="58"/>
      <c r="D62" s="1"/>
      <c r="E62" s="1"/>
      <c r="F62" s="1"/>
      <c r="G62" s="1"/>
      <c r="H62" s="1"/>
      <c r="I62" s="1"/>
      <c r="J62" s="59"/>
      <c r="K62" s="1"/>
      <c r="L62" s="1"/>
      <c r="M62" s="4"/>
      <c r="N62" s="59"/>
      <c r="O62" s="76"/>
      <c r="P62" s="59"/>
      <c r="Q62" s="76"/>
      <c r="R62" s="59"/>
      <c r="S62" s="59"/>
    </row>
    <row r="63" spans="1:19" ht="13.2">
      <c r="A63" s="1"/>
      <c r="B63" s="1"/>
      <c r="C63" s="58"/>
      <c r="D63" s="1"/>
      <c r="E63" s="1"/>
      <c r="F63" s="1"/>
      <c r="G63" s="1"/>
      <c r="H63" s="1"/>
      <c r="I63" s="1"/>
      <c r="J63" s="59"/>
      <c r="K63" s="1"/>
      <c r="L63" s="1"/>
      <c r="M63" s="4"/>
      <c r="N63" s="59"/>
      <c r="O63" s="76"/>
      <c r="P63" s="59"/>
      <c r="Q63" s="76"/>
      <c r="R63" s="59"/>
      <c r="S63" s="59"/>
    </row>
    <row r="64" spans="1:19" ht="13.2">
      <c r="A64" s="1"/>
      <c r="B64" s="1"/>
      <c r="C64" s="58"/>
      <c r="D64" s="1"/>
      <c r="E64" s="1"/>
      <c r="F64" s="1"/>
      <c r="G64" s="1"/>
      <c r="H64" s="1"/>
      <c r="I64" s="1"/>
      <c r="J64" s="59"/>
      <c r="K64" s="1"/>
      <c r="L64" s="1"/>
      <c r="M64" s="4"/>
      <c r="N64" s="59"/>
      <c r="O64" s="76"/>
      <c r="P64" s="59"/>
      <c r="Q64" s="76"/>
      <c r="R64" s="59"/>
      <c r="S64" s="59"/>
    </row>
    <row r="65" spans="1:19" ht="13.2">
      <c r="A65" s="1"/>
      <c r="B65" s="1"/>
      <c r="C65" s="58"/>
      <c r="D65" s="1"/>
      <c r="E65" s="1"/>
      <c r="F65" s="1"/>
      <c r="G65" s="1"/>
      <c r="H65" s="1"/>
      <c r="I65" s="1"/>
      <c r="J65" s="59"/>
      <c r="K65" s="1"/>
      <c r="L65" s="1"/>
      <c r="M65" s="4"/>
      <c r="N65" s="59"/>
      <c r="O65" s="76"/>
      <c r="P65" s="59"/>
      <c r="Q65" s="76"/>
      <c r="R65" s="59"/>
      <c r="S65" s="59"/>
    </row>
    <row r="66" spans="1:19" ht="13.2">
      <c r="A66" s="1"/>
      <c r="B66" s="1"/>
      <c r="C66" s="58"/>
      <c r="D66" s="1"/>
      <c r="E66" s="1"/>
      <c r="F66" s="1"/>
      <c r="G66" s="1"/>
      <c r="H66" s="1"/>
      <c r="I66" s="1"/>
      <c r="J66" s="59"/>
      <c r="K66" s="1"/>
      <c r="L66" s="1"/>
      <c r="M66" s="4"/>
      <c r="N66" s="59"/>
      <c r="O66" s="76"/>
      <c r="P66" s="59"/>
      <c r="Q66" s="76"/>
      <c r="R66" s="59"/>
      <c r="S66" s="59"/>
    </row>
    <row r="67" spans="1:19" ht="13.2">
      <c r="A67" s="1"/>
      <c r="B67" s="1"/>
      <c r="C67" s="58"/>
      <c r="D67" s="1"/>
      <c r="E67" s="1"/>
      <c r="F67" s="1"/>
      <c r="G67" s="1"/>
      <c r="H67" s="1"/>
      <c r="I67" s="1"/>
      <c r="J67" s="59"/>
      <c r="K67" s="1"/>
      <c r="L67" s="1"/>
      <c r="M67" s="4"/>
      <c r="N67" s="59"/>
      <c r="O67" s="76"/>
      <c r="P67" s="59"/>
      <c r="Q67" s="76"/>
      <c r="R67" s="59"/>
      <c r="S67" s="59"/>
    </row>
    <row r="68" spans="1:19" ht="13.2">
      <c r="A68" s="1"/>
      <c r="B68" s="1"/>
      <c r="C68" s="58"/>
      <c r="D68" s="1"/>
      <c r="E68" s="1"/>
      <c r="F68" s="1"/>
      <c r="G68" s="1"/>
      <c r="H68" s="1"/>
      <c r="I68" s="1"/>
      <c r="J68" s="59"/>
      <c r="K68" s="1"/>
      <c r="L68" s="1"/>
      <c r="M68" s="4"/>
      <c r="N68" s="59"/>
      <c r="O68" s="76"/>
      <c r="P68" s="59"/>
      <c r="Q68" s="76"/>
      <c r="R68" s="59"/>
      <c r="S68" s="59"/>
    </row>
    <row r="69" spans="1:19" ht="13.2">
      <c r="A69" s="1"/>
      <c r="B69" s="1"/>
      <c r="C69" s="58"/>
      <c r="D69" s="1"/>
      <c r="E69" s="1"/>
      <c r="F69" s="1"/>
      <c r="G69" s="1"/>
      <c r="H69" s="1"/>
      <c r="I69" s="1"/>
      <c r="J69" s="59"/>
      <c r="K69" s="1"/>
      <c r="L69" s="1"/>
      <c r="M69" s="4"/>
      <c r="N69" s="59"/>
      <c r="O69" s="76"/>
      <c r="P69" s="59"/>
      <c r="Q69" s="76"/>
      <c r="R69" s="59"/>
      <c r="S69" s="59"/>
    </row>
    <row r="70" spans="1:19" ht="13.2">
      <c r="A70" s="1"/>
      <c r="B70" s="1"/>
      <c r="C70" s="58"/>
      <c r="D70" s="1"/>
      <c r="E70" s="1"/>
      <c r="F70" s="1"/>
      <c r="G70" s="1"/>
      <c r="H70" s="1"/>
      <c r="I70" s="1"/>
      <c r="J70" s="59"/>
      <c r="K70" s="1"/>
      <c r="L70" s="1"/>
      <c r="M70" s="4"/>
      <c r="N70" s="59"/>
      <c r="O70" s="76"/>
      <c r="P70" s="59"/>
      <c r="Q70" s="76"/>
      <c r="R70" s="59"/>
      <c r="S70" s="59"/>
    </row>
    <row r="71" spans="1:19" ht="13.2">
      <c r="A71" s="1"/>
      <c r="B71" s="1"/>
      <c r="C71" s="58"/>
      <c r="D71" s="1"/>
      <c r="E71" s="1"/>
      <c r="F71" s="1"/>
      <c r="G71" s="1"/>
      <c r="H71" s="1"/>
      <c r="I71" s="1"/>
      <c r="J71" s="59"/>
      <c r="K71" s="1"/>
      <c r="L71" s="1"/>
      <c r="M71" s="4"/>
      <c r="N71" s="59"/>
      <c r="O71" s="76"/>
      <c r="P71" s="59"/>
      <c r="Q71" s="76"/>
      <c r="R71" s="59"/>
      <c r="S71" s="59"/>
    </row>
    <row r="72" spans="1:19" ht="13.2">
      <c r="A72" s="1"/>
      <c r="B72" s="1"/>
      <c r="C72" s="58"/>
      <c r="D72" s="1"/>
      <c r="E72" s="1"/>
      <c r="F72" s="1"/>
      <c r="G72" s="1"/>
      <c r="H72" s="1"/>
      <c r="I72" s="1"/>
      <c r="J72" s="59"/>
      <c r="K72" s="1"/>
      <c r="L72" s="1"/>
      <c r="M72" s="4"/>
      <c r="N72" s="59"/>
      <c r="O72" s="76"/>
      <c r="P72" s="59"/>
      <c r="Q72" s="76"/>
      <c r="R72" s="59"/>
      <c r="S72" s="59"/>
    </row>
    <row r="73" spans="1:19" ht="13.2">
      <c r="A73" s="1"/>
      <c r="B73" s="1"/>
      <c r="C73" s="58"/>
      <c r="D73" s="1"/>
      <c r="E73" s="1"/>
      <c r="F73" s="1"/>
      <c r="G73" s="1"/>
      <c r="H73" s="1"/>
      <c r="I73" s="1"/>
      <c r="J73" s="59"/>
      <c r="K73" s="1"/>
      <c r="L73" s="1"/>
      <c r="M73" s="4"/>
      <c r="N73" s="59"/>
      <c r="O73" s="76"/>
      <c r="P73" s="59"/>
      <c r="Q73" s="76"/>
      <c r="R73" s="59"/>
      <c r="S73" s="59"/>
    </row>
    <row r="74" spans="1:19" ht="13.2">
      <c r="A74" s="1"/>
      <c r="B74" s="1"/>
      <c r="C74" s="58"/>
      <c r="D74" s="1"/>
      <c r="E74" s="1"/>
      <c r="F74" s="1"/>
      <c r="G74" s="1"/>
      <c r="H74" s="1"/>
      <c r="I74" s="1"/>
      <c r="J74" s="59"/>
      <c r="K74" s="1"/>
      <c r="L74" s="1"/>
      <c r="M74" s="4"/>
      <c r="N74" s="59"/>
      <c r="O74" s="76"/>
      <c r="P74" s="59"/>
      <c r="Q74" s="76"/>
      <c r="R74" s="59"/>
      <c r="S74" s="59"/>
    </row>
    <row r="75" spans="1:19" ht="13.2">
      <c r="A75" s="1"/>
      <c r="B75" s="1"/>
      <c r="C75" s="58"/>
      <c r="D75" s="1"/>
      <c r="E75" s="1"/>
      <c r="F75" s="1"/>
      <c r="G75" s="1"/>
      <c r="H75" s="1"/>
      <c r="I75" s="1"/>
      <c r="J75" s="59"/>
      <c r="K75" s="1"/>
      <c r="L75" s="1"/>
      <c r="M75" s="4"/>
      <c r="N75" s="59"/>
      <c r="O75" s="76"/>
      <c r="P75" s="59"/>
      <c r="Q75" s="76"/>
      <c r="R75" s="59"/>
      <c r="S75" s="59"/>
    </row>
    <row r="76" spans="1:19" ht="13.2">
      <c r="A76" s="1"/>
      <c r="B76" s="1"/>
      <c r="C76" s="58"/>
      <c r="D76" s="1"/>
      <c r="E76" s="1"/>
      <c r="F76" s="1"/>
      <c r="G76" s="1"/>
      <c r="H76" s="1"/>
      <c r="I76" s="1"/>
      <c r="J76" s="59"/>
      <c r="K76" s="1"/>
      <c r="L76" s="1"/>
      <c r="M76" s="4"/>
      <c r="N76" s="59"/>
      <c r="O76" s="76"/>
      <c r="P76" s="59"/>
      <c r="Q76" s="76"/>
      <c r="R76" s="59"/>
      <c r="S76" s="59"/>
    </row>
    <row r="77" spans="1:19" ht="13.2">
      <c r="A77" s="1"/>
      <c r="B77" s="1"/>
      <c r="C77" s="58"/>
      <c r="D77" s="1"/>
      <c r="E77" s="1"/>
      <c r="F77" s="1"/>
      <c r="G77" s="1"/>
      <c r="H77" s="1"/>
      <c r="I77" s="1"/>
      <c r="J77" s="59"/>
      <c r="K77" s="1"/>
      <c r="L77" s="1"/>
      <c r="M77" s="4"/>
      <c r="N77" s="59"/>
      <c r="O77" s="76"/>
      <c r="P77" s="59"/>
      <c r="Q77" s="76"/>
      <c r="R77" s="59"/>
      <c r="S77" s="59"/>
    </row>
    <row r="78" spans="1:19" ht="13.2">
      <c r="A78" s="1"/>
      <c r="B78" s="1"/>
      <c r="C78" s="58"/>
      <c r="D78" s="1"/>
      <c r="E78" s="1"/>
      <c r="F78" s="1"/>
      <c r="G78" s="1"/>
      <c r="H78" s="1"/>
      <c r="I78" s="1"/>
      <c r="J78" s="59"/>
      <c r="K78" s="1"/>
      <c r="L78" s="1"/>
      <c r="M78" s="4"/>
      <c r="N78" s="59"/>
      <c r="O78" s="76"/>
      <c r="P78" s="59"/>
      <c r="Q78" s="76"/>
      <c r="R78" s="59"/>
      <c r="S78" s="59"/>
    </row>
    <row r="79" spans="1:19" ht="13.2">
      <c r="A79" s="1"/>
      <c r="B79" s="1"/>
      <c r="C79" s="58"/>
      <c r="D79" s="1"/>
      <c r="E79" s="1"/>
      <c r="F79" s="1"/>
      <c r="G79" s="1"/>
      <c r="H79" s="1"/>
      <c r="I79" s="1"/>
      <c r="J79" s="59"/>
      <c r="K79" s="1"/>
      <c r="L79" s="1"/>
      <c r="M79" s="4"/>
      <c r="N79" s="59"/>
      <c r="O79" s="76"/>
      <c r="P79" s="59"/>
      <c r="Q79" s="76"/>
      <c r="R79" s="59"/>
      <c r="S79" s="59"/>
    </row>
    <row r="80" spans="1:19" ht="13.2">
      <c r="A80" s="1"/>
      <c r="B80" s="1"/>
      <c r="C80" s="58"/>
      <c r="D80" s="1"/>
      <c r="E80" s="1"/>
      <c r="F80" s="1"/>
      <c r="G80" s="1"/>
      <c r="H80" s="1"/>
      <c r="I80" s="1"/>
      <c r="J80" s="59"/>
      <c r="K80" s="1"/>
      <c r="L80" s="1"/>
      <c r="M80" s="4"/>
      <c r="N80" s="59"/>
      <c r="O80" s="76"/>
      <c r="P80" s="59"/>
      <c r="Q80" s="76"/>
      <c r="R80" s="59"/>
      <c r="S80" s="59"/>
    </row>
    <row r="81" spans="1:19" ht="13.2">
      <c r="A81" s="1"/>
      <c r="B81" s="1"/>
      <c r="C81" s="58"/>
      <c r="D81" s="1"/>
      <c r="E81" s="1"/>
      <c r="F81" s="1"/>
      <c r="G81" s="1"/>
      <c r="H81" s="1"/>
      <c r="I81" s="1"/>
      <c r="J81" s="59"/>
      <c r="K81" s="1"/>
      <c r="L81" s="1"/>
      <c r="M81" s="4"/>
      <c r="N81" s="59"/>
      <c r="O81" s="76"/>
      <c r="P81" s="59"/>
      <c r="Q81" s="76"/>
      <c r="R81" s="59"/>
      <c r="S81" s="59"/>
    </row>
    <row r="82" spans="1:19" ht="13.2">
      <c r="A82" s="1"/>
      <c r="B82" s="1"/>
      <c r="C82" s="58"/>
      <c r="D82" s="1"/>
      <c r="E82" s="1"/>
      <c r="F82" s="1"/>
      <c r="G82" s="1"/>
      <c r="H82" s="1"/>
      <c r="I82" s="1"/>
      <c r="J82" s="59"/>
      <c r="K82" s="1"/>
      <c r="L82" s="1"/>
      <c r="M82" s="4"/>
      <c r="N82" s="59"/>
      <c r="O82" s="76"/>
      <c r="P82" s="59"/>
      <c r="Q82" s="76"/>
      <c r="R82" s="59"/>
      <c r="S82" s="59"/>
    </row>
    <row r="83" spans="1:19" ht="13.2">
      <c r="A83" s="1"/>
      <c r="B83" s="1"/>
      <c r="C83" s="58"/>
      <c r="D83" s="1"/>
      <c r="E83" s="1"/>
      <c r="F83" s="1"/>
      <c r="G83" s="1"/>
      <c r="H83" s="1"/>
      <c r="I83" s="1"/>
      <c r="J83" s="59"/>
      <c r="K83" s="1"/>
      <c r="L83" s="1"/>
      <c r="M83" s="4"/>
      <c r="N83" s="59"/>
      <c r="O83" s="76"/>
      <c r="P83" s="59"/>
      <c r="Q83" s="76"/>
      <c r="R83" s="59"/>
      <c r="S83" s="59"/>
    </row>
    <row r="84" spans="1:19" ht="13.2">
      <c r="A84" s="1"/>
      <c r="B84" s="1"/>
      <c r="C84" s="58"/>
      <c r="D84" s="1"/>
      <c r="E84" s="1"/>
      <c r="F84" s="1"/>
      <c r="G84" s="1"/>
      <c r="H84" s="1"/>
      <c r="I84" s="1"/>
      <c r="J84" s="59"/>
      <c r="K84" s="1"/>
      <c r="L84" s="1"/>
      <c r="M84" s="4"/>
      <c r="N84" s="59"/>
      <c r="O84" s="76"/>
      <c r="P84" s="59"/>
      <c r="Q84" s="76"/>
      <c r="R84" s="59"/>
      <c r="S84" s="59"/>
    </row>
    <row r="85" spans="1:19" ht="13.2">
      <c r="A85" s="1"/>
      <c r="B85" s="1"/>
      <c r="C85" s="58"/>
      <c r="D85" s="1"/>
      <c r="E85" s="1"/>
      <c r="F85" s="1"/>
      <c r="G85" s="1"/>
      <c r="H85" s="1"/>
      <c r="I85" s="1"/>
      <c r="J85" s="59"/>
      <c r="K85" s="1"/>
      <c r="L85" s="1"/>
      <c r="M85" s="4"/>
      <c r="N85" s="59"/>
      <c r="O85" s="76"/>
      <c r="P85" s="59"/>
      <c r="Q85" s="76"/>
      <c r="R85" s="59"/>
      <c r="S85" s="59"/>
    </row>
    <row r="86" spans="1:19" ht="13.2">
      <c r="A86" s="1"/>
      <c r="B86" s="1"/>
      <c r="C86" s="58"/>
      <c r="D86" s="1"/>
      <c r="E86" s="1"/>
      <c r="F86" s="1"/>
      <c r="G86" s="1"/>
      <c r="H86" s="1"/>
      <c r="I86" s="1"/>
      <c r="J86" s="59"/>
      <c r="K86" s="1"/>
      <c r="L86" s="1"/>
      <c r="M86" s="4"/>
      <c r="N86" s="4"/>
      <c r="O86" s="107"/>
      <c r="P86" s="4"/>
      <c r="Q86" s="107"/>
      <c r="R86" s="4"/>
      <c r="S86" s="4"/>
    </row>
    <row r="87" spans="1:19" ht="15.6">
      <c r="A87" s="1"/>
      <c r="B87" s="84"/>
      <c r="C87" s="74"/>
      <c r="D87" s="211" t="s">
        <v>272</v>
      </c>
      <c r="E87" s="194"/>
      <c r="F87" s="194"/>
      <c r="G87" s="194"/>
      <c r="H87" s="23" t="s">
        <v>250</v>
      </c>
      <c r="I87" s="199">
        <v>45480</v>
      </c>
      <c r="J87" s="194"/>
      <c r="K87" s="85"/>
      <c r="L87" s="75"/>
      <c r="M87" s="4"/>
      <c r="N87" s="59"/>
      <c r="O87" s="76"/>
      <c r="P87" s="59"/>
      <c r="Q87" s="76"/>
      <c r="R87" s="59"/>
      <c r="S87" s="59"/>
    </row>
    <row r="88" spans="1:19" ht="15.6">
      <c r="A88" s="1"/>
      <c r="B88" s="86"/>
      <c r="C88" s="73"/>
      <c r="D88" s="208"/>
      <c r="E88" s="194"/>
      <c r="F88" s="194"/>
      <c r="G88" s="23"/>
      <c r="H88" s="23" t="s">
        <v>108</v>
      </c>
      <c r="I88" s="85" t="s">
        <v>109</v>
      </c>
      <c r="J88" s="87"/>
      <c r="K88" s="85"/>
      <c r="L88" s="88"/>
      <c r="M88" s="4"/>
      <c r="N88" s="59"/>
      <c r="O88" s="76"/>
      <c r="P88" s="59"/>
      <c r="Q88" s="76"/>
      <c r="R88" s="59"/>
      <c r="S88" s="59"/>
    </row>
    <row r="89" spans="1:19" ht="15.6">
      <c r="A89" s="1"/>
      <c r="B89" s="20"/>
      <c r="C89" s="89"/>
      <c r="D89" s="216" t="s">
        <v>251</v>
      </c>
      <c r="E89" s="194"/>
      <c r="F89" s="194"/>
      <c r="G89" s="194"/>
      <c r="H89" s="194"/>
      <c r="I89" s="194"/>
      <c r="J89" s="194"/>
      <c r="K89" s="194"/>
      <c r="L89" s="88"/>
      <c r="M89" s="4"/>
      <c r="N89" s="59"/>
      <c r="O89" s="90"/>
      <c r="P89" s="91"/>
      <c r="Q89" s="90"/>
      <c r="R89" s="92"/>
      <c r="S89" s="91"/>
    </row>
    <row r="90" spans="1:19" ht="15.6">
      <c r="A90" s="1"/>
      <c r="B90" s="27"/>
      <c r="C90" s="209" t="s">
        <v>32</v>
      </c>
      <c r="D90" s="201"/>
      <c r="E90" s="200" t="s">
        <v>7</v>
      </c>
      <c r="F90" s="201"/>
      <c r="G90" s="201"/>
      <c r="H90" s="201"/>
      <c r="I90" s="201"/>
      <c r="J90" s="201"/>
      <c r="K90" s="201"/>
      <c r="L90" s="27"/>
      <c r="M90" s="4"/>
      <c r="N90" s="93"/>
      <c r="O90" s="76"/>
      <c r="P90" s="92"/>
      <c r="Q90" s="210"/>
      <c r="R90" s="194"/>
      <c r="S90" s="92"/>
    </row>
    <row r="91" spans="1:19" ht="15.6">
      <c r="A91" s="1"/>
      <c r="B91" s="94"/>
      <c r="C91" s="212" t="s">
        <v>252</v>
      </c>
      <c r="D91" s="188"/>
      <c r="E91" s="213">
        <v>15</v>
      </c>
      <c r="F91" s="201"/>
      <c r="G91" s="201"/>
      <c r="H91" s="201"/>
      <c r="I91" s="201"/>
      <c r="J91" s="201"/>
      <c r="K91" s="201"/>
      <c r="L91" s="27"/>
      <c r="M91" s="4"/>
      <c r="N91" s="93"/>
      <c r="O91" s="90"/>
      <c r="P91" s="92"/>
      <c r="Q91" s="210"/>
      <c r="R91" s="194"/>
      <c r="S91" s="59"/>
    </row>
    <row r="92" spans="1:19" ht="13.2">
      <c r="A92" s="1"/>
      <c r="B92" s="95"/>
      <c r="C92" s="96" t="s">
        <v>253</v>
      </c>
      <c r="D92" s="214" t="s">
        <v>33</v>
      </c>
      <c r="E92" s="188"/>
      <c r="F92" s="97" t="s">
        <v>254</v>
      </c>
      <c r="G92" s="214" t="s">
        <v>35</v>
      </c>
      <c r="H92" s="188"/>
      <c r="I92" s="98" t="s">
        <v>254</v>
      </c>
      <c r="J92" s="99" t="s">
        <v>37</v>
      </c>
      <c r="K92" s="98"/>
      <c r="L92" s="100"/>
      <c r="M92" s="4"/>
      <c r="N92" s="93" t="s">
        <v>253</v>
      </c>
      <c r="O92" s="92" t="s">
        <v>255</v>
      </c>
      <c r="P92" s="92" t="s">
        <v>256</v>
      </c>
      <c r="Q92" s="92" t="s">
        <v>257</v>
      </c>
      <c r="R92" s="92" t="s">
        <v>258</v>
      </c>
      <c r="S92" s="93" t="s">
        <v>37</v>
      </c>
    </row>
    <row r="93" spans="1:19" ht="13.2">
      <c r="A93" s="1"/>
      <c r="B93" s="101"/>
      <c r="C93" s="221" t="s">
        <v>4</v>
      </c>
      <c r="D93" s="215" t="s">
        <v>147</v>
      </c>
      <c r="E93" s="197"/>
      <c r="F93" s="103" t="s">
        <v>148</v>
      </c>
      <c r="G93" s="215" t="s">
        <v>149</v>
      </c>
      <c r="H93" s="198"/>
      <c r="I93" s="103" t="s">
        <v>148</v>
      </c>
      <c r="J93" s="104">
        <v>67.650000000000006</v>
      </c>
      <c r="K93" s="102"/>
      <c r="L93" s="105"/>
      <c r="M93" s="4"/>
      <c r="N93" s="106" t="e">
        <v>#NAME?</v>
      </c>
      <c r="O93" s="76" t="s">
        <v>147</v>
      </c>
      <c r="P93" s="91" t="s">
        <v>148</v>
      </c>
      <c r="Q93" s="76" t="s">
        <v>149</v>
      </c>
      <c r="R93" s="91" t="s">
        <v>148</v>
      </c>
      <c r="S93" s="59">
        <v>67.650000000000006</v>
      </c>
    </row>
    <row r="94" spans="1:19" ht="13.2">
      <c r="A94" s="1"/>
      <c r="B94" s="101"/>
      <c r="C94" s="221" t="s">
        <v>6</v>
      </c>
      <c r="D94" s="215" t="s">
        <v>145</v>
      </c>
      <c r="E94" s="197"/>
      <c r="F94" s="103" t="s">
        <v>86</v>
      </c>
      <c r="G94" s="215" t="s">
        <v>146</v>
      </c>
      <c r="H94" s="198"/>
      <c r="I94" s="103" t="s">
        <v>86</v>
      </c>
      <c r="J94" s="104">
        <v>64.41</v>
      </c>
      <c r="K94" s="102"/>
      <c r="L94" s="105"/>
      <c r="M94" s="4"/>
      <c r="N94" s="106" t="e">
        <v>#NAME?</v>
      </c>
      <c r="O94" s="76" t="s">
        <v>145</v>
      </c>
      <c r="P94" s="91" t="s">
        <v>86</v>
      </c>
      <c r="Q94" s="76" t="s">
        <v>146</v>
      </c>
      <c r="R94" s="91" t="s">
        <v>86</v>
      </c>
      <c r="S94" s="59">
        <v>64.41</v>
      </c>
    </row>
    <row r="95" spans="1:19" ht="13.2">
      <c r="A95" s="1"/>
      <c r="B95" s="101"/>
      <c r="C95" s="221" t="s">
        <v>8</v>
      </c>
      <c r="D95" s="215" t="s">
        <v>132</v>
      </c>
      <c r="E95" s="197"/>
      <c r="F95" s="103" t="s">
        <v>54</v>
      </c>
      <c r="G95" s="215" t="s">
        <v>133</v>
      </c>
      <c r="H95" s="198"/>
      <c r="I95" s="103" t="s">
        <v>54</v>
      </c>
      <c r="J95" s="104">
        <v>62.52</v>
      </c>
      <c r="K95" s="102"/>
      <c r="L95" s="105"/>
      <c r="M95" s="4"/>
      <c r="N95" s="106" t="e">
        <v>#NAME?</v>
      </c>
      <c r="O95" s="76" t="s">
        <v>132</v>
      </c>
      <c r="P95" s="91" t="s">
        <v>54</v>
      </c>
      <c r="Q95" s="76" t="s">
        <v>133</v>
      </c>
      <c r="R95" s="91" t="s">
        <v>54</v>
      </c>
      <c r="S95" s="59">
        <v>62.52</v>
      </c>
    </row>
    <row r="96" spans="1:19" ht="13.2">
      <c r="A96" s="1"/>
      <c r="B96" s="101"/>
      <c r="C96" s="221" t="s">
        <v>11</v>
      </c>
      <c r="D96" s="215" t="s">
        <v>130</v>
      </c>
      <c r="E96" s="197"/>
      <c r="F96" s="103" t="s">
        <v>61</v>
      </c>
      <c r="G96" s="215" t="s">
        <v>131</v>
      </c>
      <c r="H96" s="198"/>
      <c r="I96" s="103" t="s">
        <v>61</v>
      </c>
      <c r="J96" s="104">
        <v>58.41</v>
      </c>
      <c r="K96" s="102"/>
      <c r="L96" s="105"/>
      <c r="M96" s="4"/>
      <c r="N96" s="106" t="e">
        <v>#NAME?</v>
      </c>
      <c r="O96" s="76" t="s">
        <v>130</v>
      </c>
      <c r="P96" s="91" t="s">
        <v>61</v>
      </c>
      <c r="Q96" s="76" t="s">
        <v>131</v>
      </c>
      <c r="R96" s="91" t="s">
        <v>61</v>
      </c>
      <c r="S96" s="59">
        <v>58.41</v>
      </c>
    </row>
    <row r="97" spans="1:19" ht="13.2">
      <c r="A97" s="1"/>
      <c r="B97" s="101"/>
      <c r="C97" s="221" t="s">
        <v>275</v>
      </c>
      <c r="D97" s="215" t="s">
        <v>141</v>
      </c>
      <c r="E97" s="197"/>
      <c r="F97" s="103" t="s">
        <v>139</v>
      </c>
      <c r="G97" s="215" t="s">
        <v>142</v>
      </c>
      <c r="H97" s="198"/>
      <c r="I97" s="103" t="s">
        <v>139</v>
      </c>
      <c r="J97" s="104">
        <v>53.82</v>
      </c>
      <c r="K97" s="102"/>
      <c r="L97" s="105"/>
      <c r="M97" s="4"/>
      <c r="N97" s="106" t="e">
        <v>#NAME?</v>
      </c>
      <c r="O97" s="76" t="s">
        <v>141</v>
      </c>
      <c r="P97" s="91" t="s">
        <v>139</v>
      </c>
      <c r="Q97" s="76" t="s">
        <v>142</v>
      </c>
      <c r="R97" s="91" t="s">
        <v>139</v>
      </c>
      <c r="S97" s="59">
        <v>53.82</v>
      </c>
    </row>
    <row r="98" spans="1:19" ht="13.2">
      <c r="A98" s="1"/>
      <c r="B98" s="101"/>
      <c r="C98" s="221" t="s">
        <v>276</v>
      </c>
      <c r="D98" s="215" t="s">
        <v>118</v>
      </c>
      <c r="E98" s="197"/>
      <c r="F98" s="103" t="s">
        <v>58</v>
      </c>
      <c r="G98" s="215" t="s">
        <v>119</v>
      </c>
      <c r="H98" s="198"/>
      <c r="I98" s="103" t="s">
        <v>58</v>
      </c>
      <c r="J98" s="104">
        <v>52.83</v>
      </c>
      <c r="K98" s="102"/>
      <c r="L98" s="105"/>
      <c r="M98" s="4"/>
      <c r="N98" s="106" t="e">
        <v>#NAME?</v>
      </c>
      <c r="O98" s="76" t="s">
        <v>118</v>
      </c>
      <c r="P98" s="91" t="s">
        <v>58</v>
      </c>
      <c r="Q98" s="76" t="s">
        <v>119</v>
      </c>
      <c r="R98" s="91" t="s">
        <v>58</v>
      </c>
      <c r="S98" s="59">
        <v>52.83</v>
      </c>
    </row>
    <row r="99" spans="1:19" ht="13.2">
      <c r="A99" s="1"/>
      <c r="B99" s="101"/>
      <c r="C99" s="221" t="s">
        <v>277</v>
      </c>
      <c r="D99" s="215" t="s">
        <v>122</v>
      </c>
      <c r="E99" s="197"/>
      <c r="F99" s="103" t="s">
        <v>43</v>
      </c>
      <c r="G99" s="215" t="s">
        <v>123</v>
      </c>
      <c r="H99" s="198"/>
      <c r="I99" s="103" t="s">
        <v>43</v>
      </c>
      <c r="J99" s="104">
        <v>52.56</v>
      </c>
      <c r="K99" s="102"/>
      <c r="L99" s="105"/>
      <c r="M99" s="4"/>
      <c r="N99" s="106" t="e">
        <v>#NAME?</v>
      </c>
      <c r="O99" s="76" t="s">
        <v>122</v>
      </c>
      <c r="P99" s="91" t="s">
        <v>43</v>
      </c>
      <c r="Q99" s="76" t="s">
        <v>123</v>
      </c>
      <c r="R99" s="91" t="s">
        <v>43</v>
      </c>
      <c r="S99" s="59">
        <v>52.56</v>
      </c>
    </row>
    <row r="100" spans="1:19" ht="13.2">
      <c r="A100" s="1"/>
      <c r="B100" s="101"/>
      <c r="C100" s="221" t="s">
        <v>15</v>
      </c>
      <c r="D100" s="215" t="s">
        <v>134</v>
      </c>
      <c r="E100" s="197"/>
      <c r="F100" s="103" t="s">
        <v>71</v>
      </c>
      <c r="G100" s="215" t="s">
        <v>135</v>
      </c>
      <c r="H100" s="198"/>
      <c r="I100" s="103" t="s">
        <v>71</v>
      </c>
      <c r="J100" s="104">
        <v>52.26</v>
      </c>
      <c r="K100" s="102"/>
      <c r="L100" s="105"/>
      <c r="M100" s="4"/>
      <c r="N100" s="106" t="e">
        <v>#NAME?</v>
      </c>
      <c r="O100" s="76" t="s">
        <v>134</v>
      </c>
      <c r="P100" s="91" t="s">
        <v>71</v>
      </c>
      <c r="Q100" s="76" t="s">
        <v>135</v>
      </c>
      <c r="R100" s="91" t="s">
        <v>71</v>
      </c>
      <c r="S100" s="59">
        <v>52.26</v>
      </c>
    </row>
    <row r="101" spans="1:19" ht="13.2">
      <c r="A101" s="1"/>
      <c r="B101" s="101"/>
      <c r="C101" s="221" t="s">
        <v>278</v>
      </c>
      <c r="D101" s="215" t="s">
        <v>136</v>
      </c>
      <c r="E101" s="197"/>
      <c r="F101" s="103" t="s">
        <v>74</v>
      </c>
      <c r="G101" s="215" t="s">
        <v>137</v>
      </c>
      <c r="H101" s="198"/>
      <c r="I101" s="103" t="s">
        <v>74</v>
      </c>
      <c r="J101" s="104">
        <v>52.23</v>
      </c>
      <c r="K101" s="102"/>
      <c r="L101" s="105"/>
      <c r="M101" s="4"/>
      <c r="N101" s="106" t="e">
        <v>#NAME?</v>
      </c>
      <c r="O101" s="76" t="s">
        <v>136</v>
      </c>
      <c r="P101" s="91" t="s">
        <v>74</v>
      </c>
      <c r="Q101" s="76" t="s">
        <v>137</v>
      </c>
      <c r="R101" s="91" t="s">
        <v>74</v>
      </c>
      <c r="S101" s="59">
        <v>52.23</v>
      </c>
    </row>
    <row r="102" spans="1:19" ht="13.2">
      <c r="A102" s="1"/>
      <c r="B102" s="101"/>
      <c r="C102" s="221" t="s">
        <v>279</v>
      </c>
      <c r="D102" s="215" t="s">
        <v>150</v>
      </c>
      <c r="E102" s="197"/>
      <c r="F102" s="103" t="s">
        <v>51</v>
      </c>
      <c r="G102" s="215" t="s">
        <v>151</v>
      </c>
      <c r="H102" s="198"/>
      <c r="I102" s="103" t="s">
        <v>51</v>
      </c>
      <c r="J102" s="104">
        <v>51.51</v>
      </c>
      <c r="K102" s="102"/>
      <c r="L102" s="105"/>
      <c r="M102" s="4"/>
      <c r="N102" s="106" t="e">
        <v>#NAME?</v>
      </c>
      <c r="O102" s="76" t="s">
        <v>150</v>
      </c>
      <c r="P102" s="91" t="s">
        <v>51</v>
      </c>
      <c r="Q102" s="76" t="s">
        <v>151</v>
      </c>
      <c r="R102" s="91" t="s">
        <v>51</v>
      </c>
      <c r="S102" s="59">
        <v>51.51</v>
      </c>
    </row>
    <row r="103" spans="1:19" ht="13.2">
      <c r="A103" s="1"/>
      <c r="B103" s="101"/>
      <c r="C103" s="221" t="s">
        <v>280</v>
      </c>
      <c r="D103" s="215" t="s">
        <v>128</v>
      </c>
      <c r="E103" s="197"/>
      <c r="F103" s="103" t="s">
        <v>54</v>
      </c>
      <c r="G103" s="215" t="s">
        <v>129</v>
      </c>
      <c r="H103" s="198"/>
      <c r="I103" s="103" t="s">
        <v>54</v>
      </c>
      <c r="J103" s="104">
        <v>49.38</v>
      </c>
      <c r="K103" s="102"/>
      <c r="L103" s="105"/>
      <c r="M103" s="4"/>
      <c r="N103" s="106" t="e">
        <v>#NAME?</v>
      </c>
      <c r="O103" s="76" t="s">
        <v>128</v>
      </c>
      <c r="P103" s="91" t="s">
        <v>54</v>
      </c>
      <c r="Q103" s="76" t="s">
        <v>129</v>
      </c>
      <c r="R103" s="91" t="s">
        <v>54</v>
      </c>
      <c r="S103" s="59">
        <v>49.38</v>
      </c>
    </row>
    <row r="104" spans="1:19" ht="13.2">
      <c r="A104" s="1"/>
      <c r="B104" s="101"/>
      <c r="C104" s="221" t="s">
        <v>281</v>
      </c>
      <c r="D104" s="215" t="s">
        <v>120</v>
      </c>
      <c r="E104" s="197"/>
      <c r="F104" s="103" t="s">
        <v>92</v>
      </c>
      <c r="G104" s="215" t="s">
        <v>121</v>
      </c>
      <c r="H104" s="198"/>
      <c r="I104" s="103" t="s">
        <v>92</v>
      </c>
      <c r="J104" s="104">
        <v>46.29</v>
      </c>
      <c r="K104" s="102"/>
      <c r="L104" s="105"/>
      <c r="M104" s="4"/>
      <c r="N104" s="106" t="e">
        <v>#NAME?</v>
      </c>
      <c r="O104" s="76" t="s">
        <v>120</v>
      </c>
      <c r="P104" s="91" t="s">
        <v>92</v>
      </c>
      <c r="Q104" s="76" t="s">
        <v>121</v>
      </c>
      <c r="R104" s="91" t="s">
        <v>92</v>
      </c>
      <c r="S104" s="59">
        <v>46.29</v>
      </c>
    </row>
    <row r="105" spans="1:19" ht="13.2">
      <c r="A105" s="1"/>
      <c r="B105" s="101"/>
      <c r="C105" s="221" t="s">
        <v>282</v>
      </c>
      <c r="D105" s="215" t="s">
        <v>138</v>
      </c>
      <c r="E105" s="197"/>
      <c r="F105" s="103" t="s">
        <v>139</v>
      </c>
      <c r="G105" s="215" t="s">
        <v>140</v>
      </c>
      <c r="H105" s="198"/>
      <c r="I105" s="103" t="s">
        <v>139</v>
      </c>
      <c r="J105" s="104">
        <v>39.57</v>
      </c>
      <c r="K105" s="102"/>
      <c r="L105" s="105"/>
      <c r="M105" s="4"/>
      <c r="N105" s="106" t="e">
        <v>#NAME?</v>
      </c>
      <c r="O105" s="76" t="s">
        <v>138</v>
      </c>
      <c r="P105" s="91" t="s">
        <v>139</v>
      </c>
      <c r="Q105" s="76" t="s">
        <v>140</v>
      </c>
      <c r="R105" s="91" t="s">
        <v>139</v>
      </c>
      <c r="S105" s="59">
        <v>39.57</v>
      </c>
    </row>
    <row r="106" spans="1:19" ht="13.2">
      <c r="A106" s="1"/>
      <c r="B106" s="101"/>
      <c r="C106" s="221" t="s">
        <v>283</v>
      </c>
      <c r="D106" s="215" t="s">
        <v>143</v>
      </c>
      <c r="E106" s="197"/>
      <c r="F106" s="103" t="s">
        <v>86</v>
      </c>
      <c r="G106" s="215" t="s">
        <v>144</v>
      </c>
      <c r="H106" s="198"/>
      <c r="I106" s="103" t="s">
        <v>86</v>
      </c>
      <c r="J106" s="104">
        <v>35.28</v>
      </c>
      <c r="K106" s="102"/>
      <c r="L106" s="105"/>
      <c r="M106" s="4"/>
      <c r="N106" s="106" t="e">
        <v>#NAME?</v>
      </c>
      <c r="O106" s="76" t="s">
        <v>143</v>
      </c>
      <c r="P106" s="91" t="s">
        <v>86</v>
      </c>
      <c r="Q106" s="76" t="s">
        <v>144</v>
      </c>
      <c r="R106" s="91" t="s">
        <v>86</v>
      </c>
      <c r="S106" s="59">
        <v>35.28</v>
      </c>
    </row>
    <row r="107" spans="1:19" ht="13.2">
      <c r="A107" s="1"/>
      <c r="B107" s="101"/>
      <c r="C107" s="221" t="s">
        <v>284</v>
      </c>
      <c r="D107" s="215" t="s">
        <v>124</v>
      </c>
      <c r="E107" s="197"/>
      <c r="F107" s="103" t="s">
        <v>125</v>
      </c>
      <c r="G107" s="215" t="s">
        <v>126</v>
      </c>
      <c r="H107" s="198"/>
      <c r="I107" s="103" t="s">
        <v>125</v>
      </c>
      <c r="J107" s="104" t="s">
        <v>127</v>
      </c>
      <c r="K107" s="102"/>
      <c r="L107" s="105"/>
      <c r="M107" s="4"/>
      <c r="N107" s="106" t="e">
        <v>#NAME?</v>
      </c>
      <c r="O107" s="76" t="s">
        <v>124</v>
      </c>
      <c r="P107" s="91" t="s">
        <v>125</v>
      </c>
      <c r="Q107" s="76" t="s">
        <v>126</v>
      </c>
      <c r="R107" s="91" t="s">
        <v>125</v>
      </c>
      <c r="S107" s="59">
        <v>-1</v>
      </c>
    </row>
    <row r="108" spans="1:19" ht="13.2">
      <c r="A108" s="1"/>
      <c r="B108" s="101"/>
      <c r="C108" s="102" t="s">
        <v>38</v>
      </c>
      <c r="D108" s="215">
        <v>0</v>
      </c>
      <c r="E108" s="197"/>
      <c r="F108" s="103">
        <v>0</v>
      </c>
      <c r="G108" s="215">
        <v>0</v>
      </c>
      <c r="H108" s="198"/>
      <c r="I108" s="103">
        <v>0</v>
      </c>
      <c r="J108" s="104" t="s">
        <v>38</v>
      </c>
      <c r="K108" s="102"/>
      <c r="L108" s="105"/>
      <c r="M108" s="4"/>
      <c r="N108" s="106" t="e">
        <v>#NAME?</v>
      </c>
      <c r="O108" s="76"/>
      <c r="P108" s="91"/>
      <c r="Q108" s="76"/>
      <c r="R108" s="91"/>
      <c r="S108" s="59"/>
    </row>
    <row r="109" spans="1:19" ht="13.2">
      <c r="A109" s="1"/>
      <c r="B109" s="101"/>
      <c r="C109" s="102" t="s">
        <v>38</v>
      </c>
      <c r="D109" s="215">
        <v>0</v>
      </c>
      <c r="E109" s="197"/>
      <c r="F109" s="103">
        <v>0</v>
      </c>
      <c r="G109" s="215">
        <v>0</v>
      </c>
      <c r="H109" s="198"/>
      <c r="I109" s="103">
        <v>0</v>
      </c>
      <c r="J109" s="104" t="s">
        <v>38</v>
      </c>
      <c r="K109" s="102"/>
      <c r="L109" s="105"/>
      <c r="M109" s="4"/>
      <c r="N109" s="106" t="e">
        <v>#NAME?</v>
      </c>
      <c r="O109" s="76"/>
      <c r="P109" s="91"/>
      <c r="Q109" s="76"/>
      <c r="R109" s="91"/>
      <c r="S109" s="59"/>
    </row>
    <row r="110" spans="1:19" ht="13.2">
      <c r="A110" s="1"/>
      <c r="B110" s="101"/>
      <c r="C110" s="102" t="s">
        <v>38</v>
      </c>
      <c r="D110" s="215">
        <v>0</v>
      </c>
      <c r="E110" s="197"/>
      <c r="F110" s="103">
        <v>0</v>
      </c>
      <c r="G110" s="215">
        <v>0</v>
      </c>
      <c r="H110" s="198"/>
      <c r="I110" s="103">
        <v>0</v>
      </c>
      <c r="J110" s="104" t="s">
        <v>38</v>
      </c>
      <c r="K110" s="102"/>
      <c r="L110" s="105"/>
      <c r="M110" s="4"/>
      <c r="N110" s="106" t="e">
        <v>#NAME?</v>
      </c>
      <c r="O110" s="76"/>
      <c r="P110" s="91"/>
      <c r="Q110" s="76"/>
      <c r="R110" s="91"/>
      <c r="S110" s="59"/>
    </row>
    <row r="111" spans="1:19" ht="13.2">
      <c r="A111" s="1"/>
      <c r="B111" s="101"/>
      <c r="C111" s="102" t="s">
        <v>38</v>
      </c>
      <c r="D111" s="215">
        <v>0</v>
      </c>
      <c r="E111" s="197"/>
      <c r="F111" s="103">
        <v>0</v>
      </c>
      <c r="G111" s="215">
        <v>0</v>
      </c>
      <c r="H111" s="198"/>
      <c r="I111" s="103">
        <v>0</v>
      </c>
      <c r="J111" s="104" t="s">
        <v>38</v>
      </c>
      <c r="K111" s="102"/>
      <c r="L111" s="105"/>
      <c r="M111" s="4"/>
      <c r="N111" s="106" t="e">
        <v>#NAME?</v>
      </c>
      <c r="O111" s="76"/>
      <c r="P111" s="91"/>
      <c r="Q111" s="76"/>
      <c r="R111" s="91"/>
      <c r="S111" s="59"/>
    </row>
    <row r="112" spans="1:19" ht="13.2">
      <c r="A112" s="1"/>
      <c r="B112" s="101"/>
      <c r="C112" s="102" t="s">
        <v>38</v>
      </c>
      <c r="D112" s="215">
        <v>0</v>
      </c>
      <c r="E112" s="197"/>
      <c r="F112" s="103">
        <v>0</v>
      </c>
      <c r="G112" s="215">
        <v>0</v>
      </c>
      <c r="H112" s="198"/>
      <c r="I112" s="103">
        <v>0</v>
      </c>
      <c r="J112" s="104" t="s">
        <v>38</v>
      </c>
      <c r="K112" s="102"/>
      <c r="L112" s="105"/>
      <c r="M112" s="4"/>
      <c r="N112" s="106" t="e">
        <v>#NAME?</v>
      </c>
      <c r="O112" s="76"/>
      <c r="P112" s="91"/>
      <c r="Q112" s="76"/>
      <c r="R112" s="91"/>
      <c r="S112" s="59"/>
    </row>
    <row r="113" spans="1:19" ht="13.2">
      <c r="A113" s="1"/>
      <c r="B113" s="101"/>
      <c r="C113" s="102" t="s">
        <v>38</v>
      </c>
      <c r="D113" s="215">
        <v>0</v>
      </c>
      <c r="E113" s="197"/>
      <c r="F113" s="103">
        <v>0</v>
      </c>
      <c r="G113" s="215">
        <v>0</v>
      </c>
      <c r="H113" s="198"/>
      <c r="I113" s="103">
        <v>0</v>
      </c>
      <c r="J113" s="104" t="s">
        <v>38</v>
      </c>
      <c r="K113" s="102"/>
      <c r="L113" s="105"/>
      <c r="M113" s="4"/>
      <c r="N113" s="106" t="e">
        <v>#NAME?</v>
      </c>
      <c r="O113" s="76"/>
      <c r="P113" s="91"/>
      <c r="Q113" s="76"/>
      <c r="R113" s="91"/>
      <c r="S113" s="59"/>
    </row>
    <row r="114" spans="1:19" ht="13.2">
      <c r="A114" s="1"/>
      <c r="B114" s="101"/>
      <c r="C114" s="102" t="s">
        <v>38</v>
      </c>
      <c r="D114" s="215">
        <v>0</v>
      </c>
      <c r="E114" s="197"/>
      <c r="F114" s="103">
        <v>0</v>
      </c>
      <c r="G114" s="215">
        <v>0</v>
      </c>
      <c r="H114" s="198"/>
      <c r="I114" s="103">
        <v>0</v>
      </c>
      <c r="J114" s="104" t="s">
        <v>38</v>
      </c>
      <c r="K114" s="102"/>
      <c r="L114" s="105"/>
      <c r="M114" s="4"/>
      <c r="N114" s="106" t="e">
        <v>#NAME?</v>
      </c>
      <c r="O114" s="76"/>
      <c r="P114" s="91"/>
      <c r="Q114" s="76"/>
      <c r="R114" s="91"/>
      <c r="S114" s="59"/>
    </row>
    <row r="115" spans="1:19" ht="13.2">
      <c r="A115" s="1"/>
      <c r="B115" s="101"/>
      <c r="C115" s="102" t="s">
        <v>38</v>
      </c>
      <c r="D115" s="215">
        <v>0</v>
      </c>
      <c r="E115" s="197"/>
      <c r="F115" s="103">
        <v>0</v>
      </c>
      <c r="G115" s="215">
        <v>0</v>
      </c>
      <c r="H115" s="198"/>
      <c r="I115" s="103">
        <v>0</v>
      </c>
      <c r="J115" s="104" t="s">
        <v>38</v>
      </c>
      <c r="K115" s="102"/>
      <c r="L115" s="105"/>
      <c r="M115" s="4"/>
      <c r="N115" s="106" t="e">
        <v>#NAME?</v>
      </c>
      <c r="O115" s="76"/>
      <c r="P115" s="91"/>
      <c r="Q115" s="76"/>
      <c r="R115" s="91"/>
      <c r="S115" s="59"/>
    </row>
    <row r="116" spans="1:19" ht="13.2">
      <c r="A116" s="1"/>
      <c r="B116" s="101"/>
      <c r="C116" s="102" t="s">
        <v>38</v>
      </c>
      <c r="D116" s="215">
        <v>0</v>
      </c>
      <c r="E116" s="197"/>
      <c r="F116" s="103">
        <v>0</v>
      </c>
      <c r="G116" s="215">
        <v>0</v>
      </c>
      <c r="H116" s="198"/>
      <c r="I116" s="103">
        <v>0</v>
      </c>
      <c r="J116" s="104" t="s">
        <v>38</v>
      </c>
      <c r="K116" s="102"/>
      <c r="L116" s="105"/>
      <c r="M116" s="4"/>
      <c r="N116" s="106" t="e">
        <v>#NAME?</v>
      </c>
      <c r="O116" s="76"/>
      <c r="P116" s="91"/>
      <c r="Q116" s="76"/>
      <c r="R116" s="91"/>
      <c r="S116" s="59"/>
    </row>
    <row r="117" spans="1:19" ht="13.2">
      <c r="A117" s="1"/>
      <c r="B117" s="101"/>
      <c r="C117" s="102" t="s">
        <v>38</v>
      </c>
      <c r="D117" s="215">
        <v>0</v>
      </c>
      <c r="E117" s="197"/>
      <c r="F117" s="103">
        <v>0</v>
      </c>
      <c r="G117" s="215">
        <v>0</v>
      </c>
      <c r="H117" s="198"/>
      <c r="I117" s="103">
        <v>0</v>
      </c>
      <c r="J117" s="104" t="s">
        <v>38</v>
      </c>
      <c r="K117" s="102"/>
      <c r="L117" s="105"/>
      <c r="M117" s="4"/>
      <c r="N117" s="106" t="e">
        <v>#NAME?</v>
      </c>
      <c r="O117" s="76"/>
      <c r="P117" s="91"/>
      <c r="Q117" s="76"/>
      <c r="R117" s="91"/>
      <c r="S117" s="59"/>
    </row>
    <row r="118" spans="1:19" ht="13.2">
      <c r="A118" s="1"/>
      <c r="B118" s="101"/>
      <c r="C118" s="102" t="s">
        <v>38</v>
      </c>
      <c r="D118" s="215">
        <v>0</v>
      </c>
      <c r="E118" s="197"/>
      <c r="F118" s="103">
        <v>0</v>
      </c>
      <c r="G118" s="215">
        <v>0</v>
      </c>
      <c r="H118" s="198"/>
      <c r="I118" s="103">
        <v>0</v>
      </c>
      <c r="J118" s="104" t="s">
        <v>38</v>
      </c>
      <c r="K118" s="102"/>
      <c r="L118" s="105"/>
      <c r="M118" s="4"/>
      <c r="N118" s="106" t="e">
        <v>#NAME?</v>
      </c>
      <c r="O118" s="76"/>
      <c r="P118" s="91"/>
      <c r="Q118" s="76"/>
      <c r="R118" s="91"/>
      <c r="S118" s="59"/>
    </row>
    <row r="119" spans="1:19" ht="13.2">
      <c r="A119" s="1"/>
      <c r="B119" s="101"/>
      <c r="C119" s="102" t="s">
        <v>38</v>
      </c>
      <c r="D119" s="215">
        <v>0</v>
      </c>
      <c r="E119" s="197"/>
      <c r="F119" s="103">
        <v>0</v>
      </c>
      <c r="G119" s="215">
        <v>0</v>
      </c>
      <c r="H119" s="198"/>
      <c r="I119" s="103">
        <v>0</v>
      </c>
      <c r="J119" s="104" t="s">
        <v>38</v>
      </c>
      <c r="K119" s="102"/>
      <c r="L119" s="105"/>
      <c r="M119" s="4"/>
      <c r="N119" s="106" t="e">
        <v>#NAME?</v>
      </c>
      <c r="O119" s="76"/>
      <c r="P119" s="91"/>
      <c r="Q119" s="76"/>
      <c r="R119" s="91"/>
      <c r="S119" s="59"/>
    </row>
    <row r="120" spans="1:19" ht="13.2">
      <c r="A120" s="1"/>
      <c r="B120" s="101"/>
      <c r="C120" s="102" t="s">
        <v>38</v>
      </c>
      <c r="D120" s="215">
        <v>0</v>
      </c>
      <c r="E120" s="197"/>
      <c r="F120" s="103">
        <v>0</v>
      </c>
      <c r="G120" s="215">
        <v>0</v>
      </c>
      <c r="H120" s="198"/>
      <c r="I120" s="103">
        <v>0</v>
      </c>
      <c r="J120" s="104" t="s">
        <v>38</v>
      </c>
      <c r="K120" s="102"/>
      <c r="L120" s="105"/>
      <c r="M120" s="4"/>
      <c r="N120" s="106" t="e">
        <v>#NAME?</v>
      </c>
      <c r="O120" s="76"/>
      <c r="P120" s="91"/>
      <c r="Q120" s="76"/>
      <c r="R120" s="91"/>
      <c r="S120" s="59"/>
    </row>
    <row r="121" spans="1:19" ht="13.2">
      <c r="A121" s="1"/>
      <c r="B121" s="101"/>
      <c r="C121" s="102" t="s">
        <v>38</v>
      </c>
      <c r="D121" s="215">
        <v>0</v>
      </c>
      <c r="E121" s="197"/>
      <c r="F121" s="103">
        <v>0</v>
      </c>
      <c r="G121" s="215">
        <v>0</v>
      </c>
      <c r="H121" s="198"/>
      <c r="I121" s="103">
        <v>0</v>
      </c>
      <c r="J121" s="104" t="s">
        <v>38</v>
      </c>
      <c r="K121" s="102"/>
      <c r="L121" s="105"/>
      <c r="M121" s="4"/>
      <c r="N121" s="106" t="e">
        <v>#NAME?</v>
      </c>
      <c r="O121" s="76"/>
      <c r="P121" s="91"/>
      <c r="Q121" s="76"/>
      <c r="R121" s="91"/>
      <c r="S121" s="59"/>
    </row>
    <row r="122" spans="1:19" ht="13.2">
      <c r="A122" s="1"/>
      <c r="B122" s="101"/>
      <c r="C122" s="102" t="s">
        <v>38</v>
      </c>
      <c r="D122" s="215">
        <v>0</v>
      </c>
      <c r="E122" s="197"/>
      <c r="F122" s="103">
        <v>0</v>
      </c>
      <c r="G122" s="215">
        <v>0</v>
      </c>
      <c r="H122" s="198"/>
      <c r="I122" s="103">
        <v>0</v>
      </c>
      <c r="J122" s="104" t="s">
        <v>38</v>
      </c>
      <c r="K122" s="102"/>
      <c r="L122" s="105"/>
      <c r="M122" s="4"/>
      <c r="N122" s="106" t="e">
        <v>#NAME?</v>
      </c>
      <c r="O122" s="76"/>
      <c r="P122" s="91"/>
      <c r="Q122" s="76"/>
      <c r="R122" s="91"/>
      <c r="S122" s="59"/>
    </row>
    <row r="123" spans="1:19" ht="13.2">
      <c r="A123" s="1"/>
      <c r="B123" s="101"/>
      <c r="C123" s="102" t="s">
        <v>38</v>
      </c>
      <c r="D123" s="215">
        <v>0</v>
      </c>
      <c r="E123" s="197"/>
      <c r="F123" s="103">
        <v>0</v>
      </c>
      <c r="G123" s="215">
        <v>0</v>
      </c>
      <c r="H123" s="198"/>
      <c r="I123" s="103">
        <v>0</v>
      </c>
      <c r="J123" s="104" t="s">
        <v>38</v>
      </c>
      <c r="K123" s="102"/>
      <c r="L123" s="105"/>
      <c r="M123" s="4"/>
      <c r="N123" s="106" t="e">
        <v>#NAME?</v>
      </c>
      <c r="O123" s="76"/>
      <c r="P123" s="91"/>
      <c r="Q123" s="76"/>
      <c r="R123" s="91"/>
      <c r="S123" s="59"/>
    </row>
    <row r="124" spans="1:19" ht="13.2">
      <c r="A124" s="1"/>
      <c r="B124" s="101"/>
      <c r="C124" s="102" t="s">
        <v>38</v>
      </c>
      <c r="D124" s="215">
        <v>0</v>
      </c>
      <c r="E124" s="197"/>
      <c r="F124" s="103">
        <v>0</v>
      </c>
      <c r="G124" s="215">
        <v>0</v>
      </c>
      <c r="H124" s="198"/>
      <c r="I124" s="103">
        <v>0</v>
      </c>
      <c r="J124" s="104" t="s">
        <v>38</v>
      </c>
      <c r="K124" s="102"/>
      <c r="L124" s="105"/>
      <c r="M124" s="4"/>
      <c r="N124" s="106" t="e">
        <v>#NAME?</v>
      </c>
      <c r="O124" s="76"/>
      <c r="P124" s="91"/>
      <c r="Q124" s="76"/>
      <c r="R124" s="91"/>
      <c r="S124" s="59"/>
    </row>
    <row r="125" spans="1:19" ht="13.2">
      <c r="A125" s="1"/>
      <c r="B125" s="101"/>
      <c r="C125" s="102" t="s">
        <v>38</v>
      </c>
      <c r="D125" s="215">
        <v>0</v>
      </c>
      <c r="E125" s="197"/>
      <c r="F125" s="103">
        <v>0</v>
      </c>
      <c r="G125" s="215">
        <v>0</v>
      </c>
      <c r="H125" s="198"/>
      <c r="I125" s="103">
        <v>0</v>
      </c>
      <c r="J125" s="104" t="s">
        <v>38</v>
      </c>
      <c r="K125" s="102"/>
      <c r="L125" s="105"/>
      <c r="M125" s="4"/>
      <c r="N125" s="106" t="e">
        <v>#NAME?</v>
      </c>
      <c r="O125" s="76"/>
      <c r="P125" s="91"/>
      <c r="Q125" s="76"/>
      <c r="R125" s="91"/>
      <c r="S125" s="59"/>
    </row>
    <row r="126" spans="1:19" ht="13.2">
      <c r="A126" s="1"/>
      <c r="B126" s="101"/>
      <c r="C126" s="102" t="s">
        <v>38</v>
      </c>
      <c r="D126" s="215">
        <v>0</v>
      </c>
      <c r="E126" s="197"/>
      <c r="F126" s="103">
        <v>0</v>
      </c>
      <c r="G126" s="215">
        <v>0</v>
      </c>
      <c r="H126" s="198"/>
      <c r="I126" s="103">
        <v>0</v>
      </c>
      <c r="J126" s="104" t="s">
        <v>38</v>
      </c>
      <c r="K126" s="102"/>
      <c r="L126" s="105"/>
      <c r="M126" s="4"/>
      <c r="N126" s="106" t="e">
        <v>#NAME?</v>
      </c>
      <c r="O126" s="76"/>
      <c r="P126" s="91"/>
      <c r="Q126" s="76"/>
      <c r="R126" s="91"/>
      <c r="S126" s="59"/>
    </row>
    <row r="127" spans="1:19" ht="13.2">
      <c r="A127" s="1"/>
      <c r="B127" s="101"/>
      <c r="C127" s="102" t="s">
        <v>38</v>
      </c>
      <c r="D127" s="215">
        <v>0</v>
      </c>
      <c r="E127" s="197"/>
      <c r="F127" s="103">
        <v>0</v>
      </c>
      <c r="G127" s="215">
        <v>0</v>
      </c>
      <c r="H127" s="198"/>
      <c r="I127" s="103">
        <v>0</v>
      </c>
      <c r="J127" s="104" t="s">
        <v>38</v>
      </c>
      <c r="K127" s="102"/>
      <c r="L127" s="105"/>
      <c r="M127" s="4"/>
      <c r="N127" s="106" t="e">
        <v>#NAME?</v>
      </c>
      <c r="O127" s="76"/>
      <c r="P127" s="91"/>
      <c r="Q127" s="76"/>
      <c r="R127" s="91"/>
      <c r="S127" s="59"/>
    </row>
    <row r="128" spans="1:19" ht="13.2">
      <c r="A128" s="1"/>
      <c r="B128" s="101"/>
      <c r="C128" s="102" t="s">
        <v>38</v>
      </c>
      <c r="D128" s="215">
        <v>0</v>
      </c>
      <c r="E128" s="197"/>
      <c r="F128" s="103">
        <v>0</v>
      </c>
      <c r="G128" s="215">
        <v>0</v>
      </c>
      <c r="H128" s="198"/>
      <c r="I128" s="103">
        <v>0</v>
      </c>
      <c r="J128" s="104" t="s">
        <v>38</v>
      </c>
      <c r="K128" s="102"/>
      <c r="L128" s="105"/>
      <c r="M128" s="4"/>
      <c r="N128" s="106" t="e">
        <v>#NAME?</v>
      </c>
      <c r="O128" s="76"/>
      <c r="P128" s="91"/>
      <c r="Q128" s="76"/>
      <c r="R128" s="91"/>
      <c r="S128" s="59"/>
    </row>
    <row r="129" spans="1:19" ht="13.2">
      <c r="A129" s="1"/>
      <c r="B129" s="101"/>
      <c r="C129" s="102" t="s">
        <v>38</v>
      </c>
      <c r="D129" s="215">
        <v>0</v>
      </c>
      <c r="E129" s="197"/>
      <c r="F129" s="103">
        <v>0</v>
      </c>
      <c r="G129" s="215">
        <v>0</v>
      </c>
      <c r="H129" s="198"/>
      <c r="I129" s="103">
        <v>0</v>
      </c>
      <c r="J129" s="104" t="s">
        <v>38</v>
      </c>
      <c r="K129" s="102"/>
      <c r="L129" s="105"/>
      <c r="M129" s="4"/>
      <c r="N129" s="106" t="e">
        <v>#NAME?</v>
      </c>
      <c r="O129" s="76"/>
      <c r="P129" s="91"/>
      <c r="Q129" s="76"/>
      <c r="R129" s="91"/>
      <c r="S129" s="59"/>
    </row>
    <row r="130" spans="1:19" ht="13.2">
      <c r="A130" s="1"/>
      <c r="B130" s="101"/>
      <c r="C130" s="102" t="s">
        <v>38</v>
      </c>
      <c r="D130" s="215">
        <v>0</v>
      </c>
      <c r="E130" s="197"/>
      <c r="F130" s="103">
        <v>0</v>
      </c>
      <c r="G130" s="215">
        <v>0</v>
      </c>
      <c r="H130" s="198"/>
      <c r="I130" s="103">
        <v>0</v>
      </c>
      <c r="J130" s="104" t="s">
        <v>38</v>
      </c>
      <c r="K130" s="102"/>
      <c r="L130" s="105"/>
      <c r="M130" s="4"/>
      <c r="N130" s="106" t="e">
        <v>#NAME?</v>
      </c>
      <c r="O130" s="76"/>
      <c r="P130" s="91"/>
      <c r="Q130" s="76"/>
      <c r="R130" s="91"/>
      <c r="S130" s="59"/>
    </row>
    <row r="131" spans="1:19" ht="13.2">
      <c r="A131" s="1"/>
      <c r="B131" s="101"/>
      <c r="C131" s="102" t="s">
        <v>38</v>
      </c>
      <c r="D131" s="215">
        <v>0</v>
      </c>
      <c r="E131" s="197"/>
      <c r="F131" s="103">
        <v>0</v>
      </c>
      <c r="G131" s="215">
        <v>0</v>
      </c>
      <c r="H131" s="198"/>
      <c r="I131" s="103">
        <v>0</v>
      </c>
      <c r="J131" s="104" t="s">
        <v>38</v>
      </c>
      <c r="K131" s="102"/>
      <c r="L131" s="105"/>
      <c r="M131" s="4"/>
      <c r="N131" s="106" t="e">
        <v>#NAME?</v>
      </c>
      <c r="O131" s="76"/>
      <c r="P131" s="91"/>
      <c r="Q131" s="76"/>
      <c r="R131" s="91"/>
      <c r="S131" s="59"/>
    </row>
    <row r="132" spans="1:19" ht="13.2">
      <c r="A132" s="1"/>
      <c r="B132" s="101"/>
      <c r="C132" s="102" t="s">
        <v>38</v>
      </c>
      <c r="D132" s="215">
        <v>0</v>
      </c>
      <c r="E132" s="197"/>
      <c r="F132" s="103">
        <v>0</v>
      </c>
      <c r="G132" s="215">
        <v>0</v>
      </c>
      <c r="H132" s="198"/>
      <c r="I132" s="103">
        <v>0</v>
      </c>
      <c r="J132" s="104" t="s">
        <v>38</v>
      </c>
      <c r="K132" s="102"/>
      <c r="L132" s="105"/>
      <c r="M132" s="4"/>
      <c r="N132" s="106" t="e">
        <v>#NAME?</v>
      </c>
      <c r="O132" s="76"/>
      <c r="P132" s="91"/>
      <c r="Q132" s="76"/>
      <c r="R132" s="91"/>
      <c r="S132" s="59"/>
    </row>
    <row r="133" spans="1:19" ht="13.2">
      <c r="A133" s="1"/>
      <c r="B133" s="101"/>
      <c r="C133" s="102" t="s">
        <v>38</v>
      </c>
      <c r="D133" s="215">
        <v>0</v>
      </c>
      <c r="E133" s="197"/>
      <c r="F133" s="103">
        <v>0</v>
      </c>
      <c r="G133" s="215">
        <v>0</v>
      </c>
      <c r="H133" s="198"/>
      <c r="I133" s="103">
        <v>0</v>
      </c>
      <c r="J133" s="104" t="s">
        <v>38</v>
      </c>
      <c r="K133" s="102"/>
      <c r="L133" s="105"/>
      <c r="M133" s="4"/>
      <c r="N133" s="106" t="e">
        <v>#NAME?</v>
      </c>
      <c r="O133" s="76"/>
      <c r="P133" s="91"/>
      <c r="Q133" s="76"/>
      <c r="R133" s="91"/>
      <c r="S133" s="59"/>
    </row>
    <row r="134" spans="1:19" ht="13.2">
      <c r="A134" s="1"/>
      <c r="B134" s="101"/>
      <c r="C134" s="102" t="s">
        <v>38</v>
      </c>
      <c r="D134" s="215">
        <v>0</v>
      </c>
      <c r="E134" s="197"/>
      <c r="F134" s="103">
        <v>0</v>
      </c>
      <c r="G134" s="215">
        <v>0</v>
      </c>
      <c r="H134" s="198"/>
      <c r="I134" s="103">
        <v>0</v>
      </c>
      <c r="J134" s="104" t="s">
        <v>38</v>
      </c>
      <c r="K134" s="102"/>
      <c r="L134" s="105"/>
      <c r="M134" s="4"/>
      <c r="N134" s="106" t="e">
        <v>#NAME?</v>
      </c>
      <c r="O134" s="76"/>
      <c r="P134" s="91"/>
      <c r="Q134" s="76"/>
      <c r="R134" s="91"/>
      <c r="S134" s="59"/>
    </row>
    <row r="135" spans="1:19" ht="13.2">
      <c r="A135" s="1"/>
      <c r="B135" s="101"/>
      <c r="C135" s="102" t="s">
        <v>38</v>
      </c>
      <c r="D135" s="215">
        <v>0</v>
      </c>
      <c r="E135" s="197"/>
      <c r="F135" s="103">
        <v>0</v>
      </c>
      <c r="G135" s="215">
        <v>0</v>
      </c>
      <c r="H135" s="198"/>
      <c r="I135" s="103">
        <v>0</v>
      </c>
      <c r="J135" s="104" t="s">
        <v>38</v>
      </c>
      <c r="K135" s="102"/>
      <c r="L135" s="105"/>
      <c r="M135" s="4"/>
      <c r="N135" s="106" t="e">
        <v>#NAME?</v>
      </c>
      <c r="O135" s="76"/>
      <c r="P135" s="91"/>
      <c r="Q135" s="76"/>
      <c r="R135" s="91"/>
      <c r="S135" s="59"/>
    </row>
    <row r="136" spans="1:19" ht="13.2">
      <c r="A136" s="1"/>
      <c r="B136" s="101"/>
      <c r="C136" s="102" t="s">
        <v>38</v>
      </c>
      <c r="D136" s="215">
        <v>0</v>
      </c>
      <c r="E136" s="197"/>
      <c r="F136" s="103">
        <v>0</v>
      </c>
      <c r="G136" s="215">
        <v>0</v>
      </c>
      <c r="H136" s="198"/>
      <c r="I136" s="103">
        <v>0</v>
      </c>
      <c r="J136" s="104" t="s">
        <v>38</v>
      </c>
      <c r="K136" s="102"/>
      <c r="L136" s="105"/>
      <c r="M136" s="4"/>
      <c r="N136" s="106" t="e">
        <v>#NAME?</v>
      </c>
      <c r="O136" s="76"/>
      <c r="P136" s="91"/>
      <c r="Q136" s="76"/>
      <c r="R136" s="91"/>
      <c r="S136" s="59"/>
    </row>
    <row r="137" spans="1:19" ht="13.2">
      <c r="A137" s="1"/>
      <c r="B137" s="101"/>
      <c r="C137" s="102" t="s">
        <v>38</v>
      </c>
      <c r="D137" s="215">
        <v>0</v>
      </c>
      <c r="E137" s="197"/>
      <c r="F137" s="103">
        <v>0</v>
      </c>
      <c r="G137" s="215">
        <v>0</v>
      </c>
      <c r="H137" s="198"/>
      <c r="I137" s="103">
        <v>0</v>
      </c>
      <c r="J137" s="104" t="s">
        <v>38</v>
      </c>
      <c r="K137" s="102"/>
      <c r="L137" s="105"/>
      <c r="M137" s="4"/>
      <c r="N137" s="106" t="e">
        <v>#NAME?</v>
      </c>
      <c r="O137" s="76"/>
      <c r="P137" s="91"/>
      <c r="Q137" s="76"/>
      <c r="R137" s="91"/>
      <c r="S137" s="59"/>
    </row>
    <row r="138" spans="1:19" ht="13.2">
      <c r="A138" s="1"/>
      <c r="B138" s="101"/>
      <c r="C138" s="102" t="s">
        <v>38</v>
      </c>
      <c r="D138" s="215">
        <v>0</v>
      </c>
      <c r="E138" s="197"/>
      <c r="F138" s="103">
        <v>0</v>
      </c>
      <c r="G138" s="215">
        <v>0</v>
      </c>
      <c r="H138" s="198"/>
      <c r="I138" s="103">
        <v>0</v>
      </c>
      <c r="J138" s="104" t="s">
        <v>38</v>
      </c>
      <c r="K138" s="102"/>
      <c r="L138" s="105"/>
      <c r="M138" s="4"/>
      <c r="N138" s="106" t="e">
        <v>#NAME?</v>
      </c>
      <c r="O138" s="76"/>
      <c r="P138" s="91"/>
      <c r="Q138" s="76"/>
      <c r="R138" s="91"/>
      <c r="S138" s="59"/>
    </row>
    <row r="139" spans="1:19" ht="13.2">
      <c r="A139" s="1"/>
      <c r="B139" s="101"/>
      <c r="C139" s="102" t="s">
        <v>38</v>
      </c>
      <c r="D139" s="215">
        <v>0</v>
      </c>
      <c r="E139" s="197"/>
      <c r="F139" s="103">
        <v>0</v>
      </c>
      <c r="G139" s="215">
        <v>0</v>
      </c>
      <c r="H139" s="198"/>
      <c r="I139" s="103">
        <v>0</v>
      </c>
      <c r="J139" s="104" t="s">
        <v>38</v>
      </c>
      <c r="K139" s="102"/>
      <c r="L139" s="105"/>
      <c r="M139" s="4"/>
      <c r="N139" s="106" t="e">
        <v>#NAME?</v>
      </c>
      <c r="O139" s="76"/>
      <c r="P139" s="91"/>
      <c r="Q139" s="76"/>
      <c r="R139" s="91"/>
      <c r="S139" s="59"/>
    </row>
    <row r="140" spans="1:19" ht="13.2">
      <c r="A140" s="1"/>
      <c r="B140" s="101"/>
      <c r="C140" s="102" t="s">
        <v>38</v>
      </c>
      <c r="D140" s="215">
        <v>0</v>
      </c>
      <c r="E140" s="197"/>
      <c r="F140" s="103">
        <v>0</v>
      </c>
      <c r="G140" s="215">
        <v>0</v>
      </c>
      <c r="H140" s="198"/>
      <c r="I140" s="103">
        <v>0</v>
      </c>
      <c r="J140" s="104" t="s">
        <v>38</v>
      </c>
      <c r="K140" s="102"/>
      <c r="L140" s="105"/>
      <c r="M140" s="4"/>
      <c r="N140" s="106" t="e">
        <v>#NAME?</v>
      </c>
      <c r="O140" s="76"/>
      <c r="P140" s="91"/>
      <c r="Q140" s="76"/>
      <c r="R140" s="91"/>
      <c r="S140" s="59"/>
    </row>
    <row r="141" spans="1:19" ht="13.2">
      <c r="A141" s="1"/>
      <c r="B141" s="101"/>
      <c r="C141" s="102" t="s">
        <v>38</v>
      </c>
      <c r="D141" s="215">
        <v>0</v>
      </c>
      <c r="E141" s="197"/>
      <c r="F141" s="103">
        <v>0</v>
      </c>
      <c r="G141" s="215">
        <v>0</v>
      </c>
      <c r="H141" s="198"/>
      <c r="I141" s="103">
        <v>0</v>
      </c>
      <c r="J141" s="104" t="s">
        <v>38</v>
      </c>
      <c r="K141" s="102"/>
      <c r="L141" s="105"/>
      <c r="M141" s="4"/>
      <c r="N141" s="106" t="e">
        <v>#NAME?</v>
      </c>
      <c r="O141" s="76"/>
      <c r="P141" s="91"/>
      <c r="Q141" s="76"/>
      <c r="R141" s="91"/>
      <c r="S141" s="59"/>
    </row>
    <row r="142" spans="1:19" ht="13.2">
      <c r="A142" s="1"/>
      <c r="B142" s="101"/>
      <c r="C142" s="102" t="s">
        <v>38</v>
      </c>
      <c r="D142" s="215">
        <v>0</v>
      </c>
      <c r="E142" s="197"/>
      <c r="F142" s="103">
        <v>0</v>
      </c>
      <c r="G142" s="215">
        <v>0</v>
      </c>
      <c r="H142" s="198"/>
      <c r="I142" s="103">
        <v>0</v>
      </c>
      <c r="J142" s="104" t="s">
        <v>38</v>
      </c>
      <c r="K142" s="102"/>
      <c r="L142" s="105"/>
      <c r="M142" s="4"/>
      <c r="N142" s="106" t="e">
        <v>#NAME?</v>
      </c>
      <c r="O142" s="76"/>
      <c r="P142" s="91"/>
      <c r="Q142" s="76"/>
      <c r="R142" s="91"/>
      <c r="S142" s="59"/>
    </row>
    <row r="143" spans="1:19" ht="13.2">
      <c r="A143" s="1"/>
      <c r="B143" s="1"/>
      <c r="C143" s="58"/>
      <c r="D143" s="1"/>
      <c r="E143" s="1"/>
      <c r="F143" s="1"/>
      <c r="G143" s="1"/>
      <c r="H143" s="1"/>
      <c r="I143" s="1"/>
      <c r="J143" s="59"/>
      <c r="K143" s="1"/>
      <c r="L143" s="1"/>
      <c r="M143" s="4"/>
      <c r="N143" s="106"/>
      <c r="O143" s="76"/>
      <c r="P143" s="59"/>
      <c r="Q143" s="76"/>
      <c r="R143" s="59"/>
      <c r="S143" s="59"/>
    </row>
    <row r="144" spans="1:19" ht="13.2">
      <c r="A144" s="1"/>
      <c r="B144" s="1"/>
      <c r="C144" s="68" t="s">
        <v>117</v>
      </c>
      <c r="D144" s="68"/>
      <c r="E144" s="68"/>
      <c r="F144" s="68"/>
      <c r="G144" s="68"/>
      <c r="H144" s="68"/>
      <c r="I144" s="68"/>
      <c r="J144" s="69"/>
      <c r="K144" s="68"/>
      <c r="L144" s="1"/>
      <c r="M144" s="4"/>
      <c r="N144" s="59"/>
      <c r="O144" s="76"/>
      <c r="P144" s="59"/>
      <c r="Q144" s="76"/>
      <c r="R144" s="59"/>
      <c r="S144" s="59"/>
    </row>
    <row r="145" spans="1:19" ht="13.2">
      <c r="A145" s="1"/>
      <c r="B145" s="1"/>
      <c r="C145" s="190">
        <v>0</v>
      </c>
      <c r="D145" s="191"/>
      <c r="E145" s="191"/>
      <c r="F145" s="191"/>
      <c r="G145" s="191"/>
      <c r="H145" s="191"/>
      <c r="I145" s="191"/>
      <c r="J145" s="191"/>
      <c r="K145" s="192"/>
      <c r="L145" s="1"/>
      <c r="M145" s="4"/>
      <c r="N145" s="59"/>
      <c r="O145" s="76"/>
      <c r="P145" s="59"/>
      <c r="Q145" s="76"/>
      <c r="R145" s="59"/>
      <c r="S145" s="59"/>
    </row>
    <row r="146" spans="1:19" ht="13.2">
      <c r="A146" s="1"/>
      <c r="B146" s="1"/>
      <c r="C146" s="193"/>
      <c r="D146" s="194"/>
      <c r="E146" s="194"/>
      <c r="F146" s="194"/>
      <c r="G146" s="194"/>
      <c r="H146" s="194"/>
      <c r="I146" s="194"/>
      <c r="J146" s="194"/>
      <c r="K146" s="195"/>
      <c r="L146" s="1"/>
      <c r="M146" s="4"/>
      <c r="N146" s="59"/>
      <c r="O146" s="76"/>
      <c r="P146" s="59"/>
      <c r="Q146" s="76"/>
      <c r="R146" s="59"/>
      <c r="S146" s="59"/>
    </row>
    <row r="147" spans="1:19" ht="13.2">
      <c r="A147" s="1"/>
      <c r="B147" s="1"/>
      <c r="C147" s="193"/>
      <c r="D147" s="194"/>
      <c r="E147" s="194"/>
      <c r="F147" s="194"/>
      <c r="G147" s="194"/>
      <c r="H147" s="194"/>
      <c r="I147" s="194"/>
      <c r="J147" s="194"/>
      <c r="K147" s="195"/>
      <c r="L147" s="1"/>
      <c r="M147" s="4"/>
      <c r="N147" s="59"/>
      <c r="O147" s="76"/>
      <c r="P147" s="59"/>
      <c r="Q147" s="76"/>
      <c r="R147" s="59"/>
      <c r="S147" s="59"/>
    </row>
    <row r="148" spans="1:19" ht="13.2">
      <c r="A148" s="1"/>
      <c r="B148" s="1"/>
      <c r="C148" s="196"/>
      <c r="D148" s="197"/>
      <c r="E148" s="197"/>
      <c r="F148" s="197"/>
      <c r="G148" s="197"/>
      <c r="H148" s="197"/>
      <c r="I148" s="197"/>
      <c r="J148" s="197"/>
      <c r="K148" s="198"/>
      <c r="L148" s="1"/>
      <c r="M148" s="4"/>
      <c r="N148" s="59"/>
      <c r="O148" s="76"/>
      <c r="P148" s="59"/>
      <c r="Q148" s="76"/>
      <c r="R148" s="59"/>
      <c r="S148" s="59"/>
    </row>
    <row r="149" spans="1:19" ht="13.2">
      <c r="A149" s="1"/>
      <c r="B149" s="1"/>
      <c r="C149" s="58"/>
      <c r="D149" s="1"/>
      <c r="E149" s="1"/>
      <c r="F149" s="1"/>
      <c r="G149" s="1"/>
      <c r="H149" s="1"/>
      <c r="I149" s="1"/>
      <c r="J149" s="59"/>
      <c r="K149" s="1"/>
      <c r="L149" s="1"/>
      <c r="M149" s="4"/>
      <c r="N149" s="59"/>
      <c r="O149" s="76"/>
      <c r="P149" s="59"/>
      <c r="Q149" s="76"/>
      <c r="R149" s="59"/>
      <c r="S149" s="59"/>
    </row>
    <row r="150" spans="1:19" ht="13.2">
      <c r="A150" s="1"/>
      <c r="B150" s="1"/>
      <c r="C150" s="58"/>
      <c r="D150" s="1"/>
      <c r="E150" s="1"/>
      <c r="F150" s="1"/>
      <c r="G150" s="1"/>
      <c r="H150" s="1"/>
      <c r="I150" s="1"/>
      <c r="J150" s="59"/>
      <c r="K150" s="1"/>
      <c r="L150" s="1"/>
      <c r="M150" s="4"/>
      <c r="N150" s="59"/>
      <c r="O150" s="76"/>
      <c r="P150" s="59"/>
      <c r="Q150" s="76"/>
      <c r="R150" s="59"/>
      <c r="S150" s="59"/>
    </row>
    <row r="151" spans="1:19" ht="13.2">
      <c r="A151" s="1"/>
      <c r="B151" s="1"/>
      <c r="C151" s="58"/>
      <c r="D151" s="1"/>
      <c r="E151" s="1"/>
      <c r="F151" s="1"/>
      <c r="G151" s="1"/>
      <c r="H151" s="1"/>
      <c r="I151" s="1"/>
      <c r="J151" s="59"/>
      <c r="K151" s="1"/>
      <c r="L151" s="1"/>
      <c r="M151" s="4"/>
      <c r="N151" s="59"/>
      <c r="O151" s="76"/>
      <c r="P151" s="59"/>
      <c r="Q151" s="76"/>
      <c r="R151" s="59"/>
      <c r="S151" s="59"/>
    </row>
    <row r="152" spans="1:19" ht="13.2">
      <c r="A152" s="1"/>
      <c r="B152" s="1"/>
      <c r="C152" s="58"/>
      <c r="D152" s="1"/>
      <c r="E152" s="1"/>
      <c r="F152" s="1"/>
      <c r="G152" s="1"/>
      <c r="H152" s="1"/>
      <c r="I152" s="1"/>
      <c r="J152" s="59"/>
      <c r="K152" s="1"/>
      <c r="L152" s="1"/>
      <c r="M152" s="4"/>
      <c r="N152" s="59"/>
      <c r="O152" s="76"/>
      <c r="P152" s="59"/>
      <c r="Q152" s="76"/>
      <c r="R152" s="59"/>
      <c r="S152" s="59"/>
    </row>
    <row r="153" spans="1:19" ht="13.2">
      <c r="A153" s="1"/>
      <c r="B153" s="1"/>
      <c r="C153" s="58"/>
      <c r="D153" s="1"/>
      <c r="E153" s="1"/>
      <c r="F153" s="1"/>
      <c r="G153" s="1"/>
      <c r="H153" s="1"/>
      <c r="I153" s="1"/>
      <c r="J153" s="59"/>
      <c r="K153" s="1"/>
      <c r="L153" s="1"/>
      <c r="M153" s="4"/>
      <c r="N153" s="59"/>
      <c r="O153" s="76"/>
      <c r="P153" s="59"/>
      <c r="Q153" s="76"/>
      <c r="R153" s="59"/>
      <c r="S153" s="59"/>
    </row>
    <row r="154" spans="1:19" ht="13.2">
      <c r="A154" s="1"/>
      <c r="B154" s="1"/>
      <c r="C154" s="58"/>
      <c r="D154" s="1"/>
      <c r="E154" s="1"/>
      <c r="F154" s="1"/>
      <c r="G154" s="1"/>
      <c r="H154" s="1"/>
      <c r="I154" s="1"/>
      <c r="J154" s="59"/>
      <c r="K154" s="1"/>
      <c r="L154" s="1"/>
      <c r="M154" s="4"/>
      <c r="N154" s="59"/>
      <c r="O154" s="76"/>
      <c r="P154" s="59"/>
      <c r="Q154" s="76"/>
      <c r="R154" s="59"/>
      <c r="S154" s="59"/>
    </row>
    <row r="155" spans="1:19" ht="13.2">
      <c r="A155" s="1"/>
      <c r="B155" s="1"/>
      <c r="C155" s="58"/>
      <c r="D155" s="1"/>
      <c r="E155" s="1"/>
      <c r="F155" s="1"/>
      <c r="G155" s="1"/>
      <c r="H155" s="1"/>
      <c r="I155" s="1"/>
      <c r="J155" s="59"/>
      <c r="K155" s="1"/>
      <c r="L155" s="1"/>
      <c r="M155" s="4"/>
      <c r="N155" s="59"/>
      <c r="O155" s="76"/>
      <c r="P155" s="59"/>
      <c r="Q155" s="76"/>
      <c r="R155" s="59"/>
      <c r="S155" s="59"/>
    </row>
    <row r="156" spans="1:19" ht="13.2">
      <c r="A156" s="1"/>
      <c r="B156" s="1"/>
      <c r="C156" s="58"/>
      <c r="D156" s="1"/>
      <c r="E156" s="1"/>
      <c r="F156" s="1"/>
      <c r="G156" s="1"/>
      <c r="H156" s="1"/>
      <c r="I156" s="1"/>
      <c r="J156" s="59"/>
      <c r="K156" s="1"/>
      <c r="L156" s="1"/>
      <c r="M156" s="4"/>
      <c r="N156" s="59"/>
      <c r="O156" s="76"/>
      <c r="P156" s="59"/>
      <c r="Q156" s="76"/>
      <c r="R156" s="59"/>
      <c r="S156" s="59"/>
    </row>
    <row r="157" spans="1:19" ht="13.2">
      <c r="A157" s="1"/>
      <c r="B157" s="1"/>
      <c r="C157" s="58"/>
      <c r="D157" s="1"/>
      <c r="E157" s="1"/>
      <c r="F157" s="1"/>
      <c r="G157" s="1"/>
      <c r="H157" s="1"/>
      <c r="I157" s="1"/>
      <c r="J157" s="59"/>
      <c r="K157" s="1"/>
      <c r="L157" s="1"/>
      <c r="M157" s="4"/>
      <c r="N157" s="59"/>
      <c r="O157" s="76"/>
      <c r="P157" s="59"/>
      <c r="Q157" s="76"/>
      <c r="R157" s="59"/>
      <c r="S157" s="59"/>
    </row>
    <row r="158" spans="1:19" ht="13.2">
      <c r="A158" s="1"/>
      <c r="B158" s="1"/>
      <c r="C158" s="58"/>
      <c r="D158" s="1"/>
      <c r="E158" s="1"/>
      <c r="F158" s="1"/>
      <c r="G158" s="1"/>
      <c r="H158" s="1"/>
      <c r="I158" s="1"/>
      <c r="J158" s="59"/>
      <c r="K158" s="1"/>
      <c r="L158" s="1"/>
      <c r="M158" s="4"/>
      <c r="N158" s="59"/>
      <c r="O158" s="76"/>
      <c r="P158" s="59"/>
      <c r="Q158" s="76"/>
      <c r="R158" s="59"/>
      <c r="S158" s="59"/>
    </row>
    <row r="159" spans="1:19" ht="13.2">
      <c r="A159" s="1"/>
      <c r="B159" s="1"/>
      <c r="C159" s="58"/>
      <c r="D159" s="1"/>
      <c r="E159" s="1"/>
      <c r="F159" s="1"/>
      <c r="G159" s="1"/>
      <c r="H159" s="1"/>
      <c r="I159" s="1"/>
      <c r="J159" s="59"/>
      <c r="K159" s="1"/>
      <c r="L159" s="1"/>
      <c r="M159" s="4"/>
      <c r="N159" s="59"/>
      <c r="O159" s="76"/>
      <c r="P159" s="59"/>
      <c r="Q159" s="76"/>
      <c r="R159" s="59"/>
      <c r="S159" s="59"/>
    </row>
    <row r="160" spans="1:19" ht="13.2">
      <c r="A160" s="1"/>
      <c r="B160" s="1"/>
      <c r="C160" s="58"/>
      <c r="D160" s="1"/>
      <c r="E160" s="1"/>
      <c r="F160" s="1"/>
      <c r="G160" s="1"/>
      <c r="H160" s="1"/>
      <c r="I160" s="1"/>
      <c r="J160" s="59"/>
      <c r="K160" s="1"/>
      <c r="L160" s="1"/>
      <c r="M160" s="4"/>
      <c r="N160" s="59"/>
      <c r="O160" s="76"/>
      <c r="P160" s="59"/>
      <c r="Q160" s="76"/>
      <c r="R160" s="59"/>
      <c r="S160" s="59"/>
    </row>
    <row r="161" spans="1:19" ht="13.2">
      <c r="A161" s="1"/>
      <c r="B161" s="1"/>
      <c r="C161" s="58"/>
      <c r="D161" s="1"/>
      <c r="E161" s="1"/>
      <c r="F161" s="1"/>
      <c r="G161" s="1"/>
      <c r="H161" s="1"/>
      <c r="I161" s="1"/>
      <c r="J161" s="59"/>
      <c r="K161" s="1"/>
      <c r="L161" s="1"/>
      <c r="M161" s="4"/>
      <c r="N161" s="59"/>
      <c r="O161" s="76"/>
      <c r="P161" s="59"/>
      <c r="Q161" s="76"/>
      <c r="R161" s="59"/>
      <c r="S161" s="59"/>
    </row>
    <row r="162" spans="1:19" ht="13.2">
      <c r="A162" s="1"/>
      <c r="B162" s="1"/>
      <c r="C162" s="58"/>
      <c r="D162" s="1"/>
      <c r="E162" s="1"/>
      <c r="F162" s="1"/>
      <c r="G162" s="1"/>
      <c r="H162" s="1"/>
      <c r="I162" s="1"/>
      <c r="J162" s="59"/>
      <c r="K162" s="1"/>
      <c r="L162" s="1"/>
      <c r="M162" s="4"/>
      <c r="N162" s="59"/>
      <c r="O162" s="76"/>
      <c r="P162" s="59"/>
      <c r="Q162" s="76"/>
      <c r="R162" s="59"/>
      <c r="S162" s="59"/>
    </row>
    <row r="163" spans="1:19" ht="13.2">
      <c r="A163" s="1"/>
      <c r="B163" s="1"/>
      <c r="C163" s="58"/>
      <c r="D163" s="1"/>
      <c r="E163" s="1"/>
      <c r="F163" s="1"/>
      <c r="G163" s="1"/>
      <c r="H163" s="1"/>
      <c r="I163" s="1"/>
      <c r="J163" s="59"/>
      <c r="K163" s="1"/>
      <c r="L163" s="1"/>
      <c r="M163" s="4"/>
      <c r="N163" s="59"/>
      <c r="O163" s="76"/>
      <c r="P163" s="59"/>
      <c r="Q163" s="76"/>
      <c r="R163" s="59"/>
      <c r="S163" s="59"/>
    </row>
    <row r="164" spans="1:19" ht="13.2">
      <c r="A164" s="1"/>
      <c r="B164" s="1"/>
      <c r="C164" s="58"/>
      <c r="D164" s="1"/>
      <c r="E164" s="1"/>
      <c r="F164" s="1"/>
      <c r="G164" s="1"/>
      <c r="H164" s="1"/>
      <c r="I164" s="1"/>
      <c r="J164" s="59"/>
      <c r="K164" s="1"/>
      <c r="L164" s="1"/>
      <c r="M164" s="4"/>
      <c r="N164" s="59"/>
      <c r="O164" s="76"/>
      <c r="P164" s="59"/>
      <c r="Q164" s="76"/>
      <c r="R164" s="59"/>
      <c r="S164" s="59"/>
    </row>
    <row r="165" spans="1:19" ht="13.2">
      <c r="A165" s="1"/>
      <c r="B165" s="1"/>
      <c r="C165" s="58"/>
      <c r="D165" s="1"/>
      <c r="E165" s="1"/>
      <c r="F165" s="1"/>
      <c r="G165" s="1"/>
      <c r="H165" s="1"/>
      <c r="I165" s="1"/>
      <c r="J165" s="59"/>
      <c r="K165" s="1"/>
      <c r="L165" s="1"/>
      <c r="M165" s="4"/>
      <c r="N165" s="59"/>
      <c r="O165" s="76"/>
      <c r="P165" s="59"/>
      <c r="Q165" s="76"/>
      <c r="R165" s="59"/>
      <c r="S165" s="59"/>
    </row>
    <row r="166" spans="1:19" ht="13.2">
      <c r="A166" s="1"/>
      <c r="B166" s="1"/>
      <c r="C166" s="58"/>
      <c r="D166" s="1"/>
      <c r="E166" s="1"/>
      <c r="F166" s="1"/>
      <c r="G166" s="1"/>
      <c r="H166" s="1"/>
      <c r="I166" s="1"/>
      <c r="J166" s="59"/>
      <c r="K166" s="1"/>
      <c r="L166" s="1"/>
      <c r="M166" s="4"/>
      <c r="N166" s="59"/>
      <c r="O166" s="76"/>
      <c r="P166" s="59"/>
      <c r="Q166" s="76"/>
      <c r="R166" s="59"/>
      <c r="S166" s="59"/>
    </row>
    <row r="167" spans="1:19" ht="13.2">
      <c r="A167" s="1"/>
      <c r="B167" s="1"/>
      <c r="C167" s="58"/>
      <c r="D167" s="1"/>
      <c r="E167" s="1"/>
      <c r="F167" s="1"/>
      <c r="G167" s="1"/>
      <c r="H167" s="1"/>
      <c r="I167" s="1"/>
      <c r="J167" s="59"/>
      <c r="K167" s="1"/>
      <c r="L167" s="1"/>
      <c r="M167" s="4"/>
      <c r="N167" s="59"/>
      <c r="O167" s="76"/>
      <c r="P167" s="59"/>
      <c r="Q167" s="76"/>
      <c r="R167" s="59"/>
      <c r="S167" s="59"/>
    </row>
    <row r="168" spans="1:19" ht="13.2">
      <c r="A168" s="1"/>
      <c r="B168" s="1"/>
      <c r="C168" s="58"/>
      <c r="D168" s="1"/>
      <c r="E168" s="1"/>
      <c r="F168" s="1"/>
      <c r="G168" s="1"/>
      <c r="H168" s="1"/>
      <c r="I168" s="1"/>
      <c r="J168" s="59"/>
      <c r="K168" s="1"/>
      <c r="L168" s="1"/>
      <c r="M168" s="4"/>
      <c r="N168" s="59"/>
      <c r="O168" s="76"/>
      <c r="P168" s="59"/>
      <c r="Q168" s="76"/>
      <c r="R168" s="59"/>
      <c r="S168" s="59"/>
    </row>
    <row r="169" spans="1:19" ht="13.2">
      <c r="A169" s="1"/>
      <c r="B169" s="1"/>
      <c r="C169" s="58"/>
      <c r="D169" s="1"/>
      <c r="E169" s="1"/>
      <c r="F169" s="1"/>
      <c r="G169" s="1"/>
      <c r="H169" s="1"/>
      <c r="I169" s="1"/>
      <c r="J169" s="59"/>
      <c r="K169" s="1"/>
      <c r="L169" s="1"/>
      <c r="M169" s="4"/>
      <c r="N169" s="59"/>
      <c r="O169" s="76"/>
      <c r="P169" s="59"/>
      <c r="Q169" s="76"/>
      <c r="R169" s="59"/>
      <c r="S169" s="59"/>
    </row>
    <row r="170" spans="1:19" ht="13.2">
      <c r="A170" s="1"/>
      <c r="B170" s="1"/>
      <c r="C170" s="58"/>
      <c r="D170" s="1"/>
      <c r="E170" s="1"/>
      <c r="F170" s="1"/>
      <c r="G170" s="1"/>
      <c r="H170" s="1"/>
      <c r="I170" s="1"/>
      <c r="J170" s="59"/>
      <c r="K170" s="1"/>
      <c r="L170" s="1"/>
      <c r="M170" s="4"/>
      <c r="N170" s="59"/>
      <c r="O170" s="76"/>
      <c r="P170" s="59"/>
      <c r="Q170" s="76"/>
      <c r="R170" s="59"/>
      <c r="S170" s="59"/>
    </row>
    <row r="171" spans="1:19" ht="13.2">
      <c r="A171" s="1"/>
      <c r="B171" s="1"/>
      <c r="C171" s="58"/>
      <c r="D171" s="1"/>
      <c r="E171" s="1"/>
      <c r="F171" s="1"/>
      <c r="G171" s="1"/>
      <c r="H171" s="1"/>
      <c r="I171" s="1"/>
      <c r="J171" s="59"/>
      <c r="K171" s="1"/>
      <c r="L171" s="1"/>
      <c r="M171" s="4"/>
      <c r="N171" s="59"/>
      <c r="O171" s="76"/>
      <c r="P171" s="59"/>
      <c r="Q171" s="76"/>
      <c r="R171" s="59"/>
      <c r="S171" s="59"/>
    </row>
    <row r="172" spans="1:19" ht="13.2">
      <c r="A172" s="1"/>
      <c r="B172" s="1"/>
      <c r="C172" s="58"/>
      <c r="D172" s="1"/>
      <c r="E172" s="1"/>
      <c r="F172" s="1"/>
      <c r="G172" s="1"/>
      <c r="H172" s="1"/>
      <c r="I172" s="1"/>
      <c r="J172" s="59"/>
      <c r="K172" s="1"/>
      <c r="L172" s="1"/>
      <c r="M172" s="4"/>
      <c r="N172" s="59"/>
      <c r="O172" s="76"/>
      <c r="P172" s="59"/>
      <c r="Q172" s="76"/>
      <c r="R172" s="59"/>
      <c r="S172" s="59"/>
    </row>
    <row r="173" spans="1:19" ht="13.2">
      <c r="A173" s="1"/>
      <c r="B173" s="1"/>
      <c r="C173" s="58"/>
      <c r="D173" s="1"/>
      <c r="E173" s="1"/>
      <c r="F173" s="1"/>
      <c r="G173" s="1"/>
      <c r="H173" s="1"/>
      <c r="I173" s="1"/>
      <c r="J173" s="59"/>
      <c r="K173" s="1"/>
      <c r="L173" s="1"/>
      <c r="M173" s="4"/>
      <c r="N173" s="59"/>
      <c r="O173" s="76"/>
      <c r="P173" s="59"/>
      <c r="Q173" s="76"/>
      <c r="R173" s="59"/>
      <c r="S173" s="59"/>
    </row>
    <row r="174" spans="1:19" ht="13.2">
      <c r="A174" s="1"/>
      <c r="B174" s="1"/>
      <c r="C174" s="58"/>
      <c r="D174" s="1"/>
      <c r="E174" s="1"/>
      <c r="F174" s="1"/>
      <c r="G174" s="1"/>
      <c r="H174" s="1"/>
      <c r="I174" s="1"/>
      <c r="J174" s="59"/>
      <c r="K174" s="1"/>
      <c r="L174" s="1"/>
      <c r="M174" s="4"/>
      <c r="N174" s="59"/>
      <c r="O174" s="76"/>
      <c r="P174" s="59"/>
      <c r="Q174" s="76"/>
      <c r="R174" s="59"/>
      <c r="S174" s="59"/>
    </row>
    <row r="175" spans="1:19" ht="13.2">
      <c r="A175" s="1"/>
      <c r="B175" s="1"/>
      <c r="C175" s="58"/>
      <c r="D175" s="1"/>
      <c r="E175" s="1"/>
      <c r="F175" s="1"/>
      <c r="G175" s="1"/>
      <c r="H175" s="1"/>
      <c r="I175" s="1"/>
      <c r="J175" s="59"/>
      <c r="K175" s="1"/>
      <c r="L175" s="1"/>
      <c r="M175" s="4"/>
      <c r="N175" s="59"/>
      <c r="O175" s="76"/>
      <c r="P175" s="59"/>
      <c r="Q175" s="76"/>
      <c r="R175" s="59"/>
      <c r="S175" s="59"/>
    </row>
    <row r="176" spans="1:19" ht="13.2">
      <c r="A176" s="1"/>
      <c r="B176" s="1"/>
      <c r="C176" s="58"/>
      <c r="D176" s="1"/>
      <c r="E176" s="1"/>
      <c r="F176" s="1"/>
      <c r="G176" s="1"/>
      <c r="H176" s="1"/>
      <c r="I176" s="1"/>
      <c r="J176" s="59"/>
      <c r="K176" s="1"/>
      <c r="L176" s="1"/>
      <c r="M176" s="4"/>
      <c r="N176" s="59"/>
      <c r="O176" s="76"/>
      <c r="P176" s="59"/>
      <c r="Q176" s="76"/>
      <c r="R176" s="59"/>
      <c r="S176" s="59"/>
    </row>
    <row r="177" spans="1:19" ht="13.2">
      <c r="A177" s="1"/>
      <c r="B177" s="1"/>
      <c r="C177" s="58"/>
      <c r="D177" s="1"/>
      <c r="E177" s="1"/>
      <c r="F177" s="1"/>
      <c r="G177" s="1"/>
      <c r="H177" s="1"/>
      <c r="I177" s="1"/>
      <c r="J177" s="59"/>
      <c r="K177" s="1"/>
      <c r="L177" s="1"/>
      <c r="M177" s="4"/>
      <c r="N177" s="59"/>
      <c r="O177" s="76"/>
      <c r="P177" s="59"/>
      <c r="Q177" s="76"/>
      <c r="R177" s="59"/>
      <c r="S177" s="59"/>
    </row>
    <row r="178" spans="1:19" ht="13.2">
      <c r="A178" s="1"/>
      <c r="B178" s="1"/>
      <c r="C178" s="58"/>
      <c r="D178" s="1"/>
      <c r="E178" s="1"/>
      <c r="F178" s="1"/>
      <c r="G178" s="1"/>
      <c r="H178" s="1"/>
      <c r="I178" s="1"/>
      <c r="J178" s="59"/>
      <c r="K178" s="1"/>
      <c r="L178" s="1"/>
      <c r="M178" s="4"/>
      <c r="N178" s="59"/>
      <c r="O178" s="76"/>
      <c r="P178" s="59"/>
      <c r="Q178" s="76"/>
      <c r="R178" s="59"/>
      <c r="S178" s="59"/>
    </row>
    <row r="179" spans="1:19" ht="13.2">
      <c r="A179" s="1"/>
      <c r="B179" s="1"/>
      <c r="C179" s="58"/>
      <c r="D179" s="1"/>
      <c r="E179" s="1"/>
      <c r="F179" s="1"/>
      <c r="G179" s="1"/>
      <c r="H179" s="1"/>
      <c r="I179" s="1"/>
      <c r="J179" s="59"/>
      <c r="K179" s="1"/>
      <c r="L179" s="1"/>
      <c r="M179" s="4"/>
      <c r="N179" s="59"/>
      <c r="O179" s="76"/>
      <c r="P179" s="59"/>
      <c r="Q179" s="76"/>
      <c r="R179" s="59"/>
      <c r="S179" s="59"/>
    </row>
    <row r="180" spans="1:19" ht="13.2">
      <c r="A180" s="1"/>
      <c r="B180" s="1"/>
      <c r="C180" s="58"/>
      <c r="D180" s="1"/>
      <c r="E180" s="1"/>
      <c r="F180" s="1"/>
      <c r="G180" s="1"/>
      <c r="H180" s="1"/>
      <c r="I180" s="1"/>
      <c r="J180" s="59"/>
      <c r="K180" s="1"/>
      <c r="L180" s="1"/>
      <c r="M180" s="4"/>
      <c r="N180" s="59"/>
      <c r="O180" s="76"/>
      <c r="P180" s="59"/>
      <c r="Q180" s="76"/>
      <c r="R180" s="59"/>
      <c r="S180" s="59"/>
    </row>
    <row r="181" spans="1:19" ht="13.2">
      <c r="A181" s="1"/>
      <c r="B181" s="1"/>
      <c r="C181" s="58"/>
      <c r="D181" s="1"/>
      <c r="E181" s="1"/>
      <c r="F181" s="1"/>
      <c r="G181" s="1"/>
      <c r="H181" s="1"/>
      <c r="I181" s="1"/>
      <c r="J181" s="59"/>
      <c r="K181" s="1"/>
      <c r="L181" s="1"/>
      <c r="M181" s="4"/>
      <c r="N181" s="59"/>
      <c r="O181" s="76"/>
      <c r="P181" s="59"/>
      <c r="Q181" s="76"/>
      <c r="R181" s="59"/>
      <c r="S181" s="59"/>
    </row>
    <row r="182" spans="1:19" ht="13.2">
      <c r="A182" s="1"/>
      <c r="B182" s="1"/>
      <c r="C182" s="58"/>
      <c r="D182" s="1"/>
      <c r="E182" s="1"/>
      <c r="F182" s="1"/>
      <c r="G182" s="1"/>
      <c r="H182" s="1"/>
      <c r="I182" s="1"/>
      <c r="J182" s="59"/>
      <c r="K182" s="1"/>
      <c r="L182" s="1"/>
      <c r="M182" s="4"/>
      <c r="N182" s="59"/>
      <c r="O182" s="76"/>
      <c r="P182" s="59"/>
      <c r="Q182" s="76"/>
      <c r="R182" s="59"/>
      <c r="S182" s="59"/>
    </row>
    <row r="183" spans="1:19" ht="13.2">
      <c r="A183" s="1"/>
      <c r="B183" s="1"/>
      <c r="C183" s="58"/>
      <c r="D183" s="1"/>
      <c r="E183" s="1"/>
      <c r="F183" s="1"/>
      <c r="G183" s="1"/>
      <c r="H183" s="1"/>
      <c r="I183" s="1"/>
      <c r="J183" s="59"/>
      <c r="K183" s="1"/>
      <c r="L183" s="1"/>
      <c r="M183" s="4"/>
      <c r="N183" s="59"/>
      <c r="O183" s="76"/>
      <c r="P183" s="59"/>
      <c r="Q183" s="76"/>
      <c r="R183" s="59"/>
      <c r="S183" s="59"/>
    </row>
    <row r="184" spans="1:19" ht="13.2">
      <c r="A184" s="1"/>
      <c r="B184" s="1"/>
      <c r="C184" s="58"/>
      <c r="D184" s="1"/>
      <c r="E184" s="1"/>
      <c r="F184" s="1"/>
      <c r="G184" s="1"/>
      <c r="H184" s="1"/>
      <c r="I184" s="1"/>
      <c r="J184" s="59"/>
      <c r="K184" s="1"/>
      <c r="L184" s="1"/>
      <c r="M184" s="4"/>
      <c r="N184" s="59"/>
      <c r="O184" s="76"/>
      <c r="P184" s="59"/>
      <c r="Q184" s="76"/>
      <c r="R184" s="59"/>
      <c r="S184" s="59"/>
    </row>
    <row r="185" spans="1:19" ht="13.2">
      <c r="A185" s="1"/>
      <c r="B185" s="1"/>
      <c r="C185" s="58"/>
      <c r="D185" s="1"/>
      <c r="E185" s="1"/>
      <c r="F185" s="1"/>
      <c r="G185" s="1"/>
      <c r="H185" s="1"/>
      <c r="I185" s="1"/>
      <c r="J185" s="59"/>
      <c r="K185" s="1"/>
      <c r="L185" s="1"/>
      <c r="M185" s="4"/>
      <c r="N185" s="59"/>
      <c r="O185" s="76"/>
      <c r="P185" s="59"/>
      <c r="Q185" s="76"/>
      <c r="R185" s="59"/>
      <c r="S185" s="59"/>
    </row>
    <row r="186" spans="1:19" ht="13.2">
      <c r="A186" s="1"/>
      <c r="B186" s="1"/>
      <c r="C186" s="58"/>
      <c r="D186" s="1"/>
      <c r="E186" s="1"/>
      <c r="F186" s="1"/>
      <c r="G186" s="1"/>
      <c r="H186" s="1"/>
      <c r="I186" s="1"/>
      <c r="J186" s="59"/>
      <c r="K186" s="1"/>
      <c r="L186" s="1"/>
      <c r="M186" s="4"/>
      <c r="N186" s="4"/>
      <c r="O186" s="107"/>
      <c r="P186" s="4"/>
      <c r="Q186" s="107"/>
      <c r="R186" s="4"/>
      <c r="S186" s="4"/>
    </row>
    <row r="187" spans="1:19" ht="15.6">
      <c r="A187" s="1"/>
      <c r="B187" s="84"/>
      <c r="C187" s="74"/>
      <c r="D187" s="211" t="s">
        <v>273</v>
      </c>
      <c r="E187" s="194"/>
      <c r="F187" s="194"/>
      <c r="G187" s="194"/>
      <c r="H187" s="23" t="s">
        <v>250</v>
      </c>
      <c r="I187" s="199">
        <v>45480</v>
      </c>
      <c r="J187" s="194"/>
      <c r="K187" s="85"/>
      <c r="L187" s="75"/>
      <c r="M187" s="4"/>
      <c r="N187" s="59"/>
      <c r="O187" s="76"/>
      <c r="P187" s="59"/>
      <c r="Q187" s="76"/>
      <c r="R187" s="59"/>
      <c r="S187" s="59"/>
    </row>
    <row r="188" spans="1:19" ht="15.6">
      <c r="A188" s="1"/>
      <c r="B188" s="86"/>
      <c r="C188" s="73"/>
      <c r="D188" s="208"/>
      <c r="E188" s="194"/>
      <c r="F188" s="194"/>
      <c r="G188" s="23"/>
      <c r="H188" s="23" t="s">
        <v>108</v>
      </c>
      <c r="I188" s="85" t="s">
        <v>109</v>
      </c>
      <c r="J188" s="87"/>
      <c r="K188" s="85"/>
      <c r="L188" s="88"/>
      <c r="M188" s="4"/>
      <c r="N188" s="59"/>
      <c r="O188" s="76"/>
      <c r="P188" s="59"/>
      <c r="Q188" s="76"/>
      <c r="R188" s="59"/>
      <c r="S188" s="59"/>
    </row>
    <row r="189" spans="1:19" ht="15.6">
      <c r="A189" s="1"/>
      <c r="B189" s="20"/>
      <c r="C189" s="89"/>
      <c r="D189" s="216" t="s">
        <v>251</v>
      </c>
      <c r="E189" s="194"/>
      <c r="F189" s="194"/>
      <c r="G189" s="194"/>
      <c r="H189" s="194"/>
      <c r="I189" s="194"/>
      <c r="J189" s="194"/>
      <c r="K189" s="194"/>
      <c r="L189" s="88"/>
      <c r="M189" s="4"/>
      <c r="N189" s="59"/>
      <c r="O189" s="90"/>
      <c r="P189" s="91"/>
      <c r="Q189" s="90"/>
      <c r="R189" s="92"/>
      <c r="S189" s="91"/>
    </row>
    <row r="190" spans="1:19" ht="15.6">
      <c r="A190" s="1"/>
      <c r="B190" s="27"/>
      <c r="C190" s="209" t="s">
        <v>32</v>
      </c>
      <c r="D190" s="201"/>
      <c r="E190" s="200" t="s">
        <v>9</v>
      </c>
      <c r="F190" s="201"/>
      <c r="G190" s="201"/>
      <c r="H190" s="201"/>
      <c r="I190" s="201"/>
      <c r="J190" s="201"/>
      <c r="K190" s="201"/>
      <c r="L190" s="27"/>
      <c r="M190" s="4"/>
      <c r="N190" s="93"/>
      <c r="O190" s="76"/>
      <c r="P190" s="92"/>
      <c r="Q190" s="210"/>
      <c r="R190" s="194"/>
      <c r="S190" s="92"/>
    </row>
    <row r="191" spans="1:19" ht="15.6">
      <c r="A191" s="1"/>
      <c r="B191" s="94"/>
      <c r="C191" s="212" t="s">
        <v>252</v>
      </c>
      <c r="D191" s="188"/>
      <c r="E191" s="213">
        <v>23</v>
      </c>
      <c r="F191" s="201"/>
      <c r="G191" s="201"/>
      <c r="H191" s="201"/>
      <c r="I191" s="201"/>
      <c r="J191" s="201"/>
      <c r="K191" s="201"/>
      <c r="L191" s="27"/>
      <c r="M191" s="4"/>
      <c r="N191" s="93"/>
      <c r="O191" s="90"/>
      <c r="P191" s="92"/>
      <c r="Q191" s="210"/>
      <c r="R191" s="194"/>
      <c r="S191" s="59"/>
    </row>
    <row r="192" spans="1:19" ht="13.2">
      <c r="A192" s="1"/>
      <c r="B192" s="95"/>
      <c r="C192" s="96" t="s">
        <v>253</v>
      </c>
      <c r="D192" s="214" t="s">
        <v>33</v>
      </c>
      <c r="E192" s="188"/>
      <c r="F192" s="97" t="s">
        <v>254</v>
      </c>
      <c r="G192" s="214" t="s">
        <v>35</v>
      </c>
      <c r="H192" s="188"/>
      <c r="I192" s="98" t="s">
        <v>254</v>
      </c>
      <c r="J192" s="99" t="s">
        <v>37</v>
      </c>
      <c r="K192" s="98"/>
      <c r="L192" s="100"/>
      <c r="M192" s="4"/>
      <c r="N192" s="93" t="s">
        <v>253</v>
      </c>
      <c r="O192" s="92" t="s">
        <v>255</v>
      </c>
      <c r="P192" s="92" t="s">
        <v>256</v>
      </c>
      <c r="Q192" s="92" t="s">
        <v>257</v>
      </c>
      <c r="R192" s="92" t="s">
        <v>258</v>
      </c>
      <c r="S192" s="93" t="s">
        <v>37</v>
      </c>
    </row>
    <row r="193" spans="1:19" ht="13.2">
      <c r="A193" s="1"/>
      <c r="B193" s="101"/>
      <c r="C193" s="221" t="s">
        <v>4</v>
      </c>
      <c r="D193" s="215" t="s">
        <v>152</v>
      </c>
      <c r="E193" s="197"/>
      <c r="F193" s="103" t="s">
        <v>40</v>
      </c>
      <c r="G193" s="215" t="s">
        <v>153</v>
      </c>
      <c r="H193" s="198"/>
      <c r="I193" s="103" t="s">
        <v>154</v>
      </c>
      <c r="J193" s="104">
        <v>119.37</v>
      </c>
      <c r="K193" s="102"/>
      <c r="L193" s="105"/>
      <c r="M193" s="4"/>
      <c r="N193" s="106" t="e">
        <v>#NAME?</v>
      </c>
      <c r="O193" s="76" t="s">
        <v>152</v>
      </c>
      <c r="P193" s="91" t="s">
        <v>40</v>
      </c>
      <c r="Q193" s="76" t="s">
        <v>153</v>
      </c>
      <c r="R193" s="91" t="s">
        <v>154</v>
      </c>
      <c r="S193" s="59">
        <v>119.37</v>
      </c>
    </row>
    <row r="194" spans="1:19" ht="13.2">
      <c r="A194" s="1"/>
      <c r="B194" s="101"/>
      <c r="C194" s="221" t="s">
        <v>6</v>
      </c>
      <c r="D194" s="215" t="s">
        <v>171</v>
      </c>
      <c r="E194" s="197"/>
      <c r="F194" s="103" t="s">
        <v>74</v>
      </c>
      <c r="G194" s="215" t="s">
        <v>172</v>
      </c>
      <c r="H194" s="198"/>
      <c r="I194" s="103" t="s">
        <v>74</v>
      </c>
      <c r="J194" s="104">
        <v>118.23</v>
      </c>
      <c r="K194" s="102"/>
      <c r="L194" s="105"/>
      <c r="M194" s="4"/>
      <c r="N194" s="106" t="e">
        <v>#NAME?</v>
      </c>
      <c r="O194" s="76" t="s">
        <v>171</v>
      </c>
      <c r="P194" s="91" t="s">
        <v>74</v>
      </c>
      <c r="Q194" s="76" t="s">
        <v>172</v>
      </c>
      <c r="R194" s="91" t="s">
        <v>74</v>
      </c>
      <c r="S194" s="59">
        <v>118.23</v>
      </c>
    </row>
    <row r="195" spans="1:19" ht="13.2">
      <c r="A195" s="1"/>
      <c r="B195" s="101"/>
      <c r="C195" s="221" t="s">
        <v>8</v>
      </c>
      <c r="D195" s="215" t="s">
        <v>178</v>
      </c>
      <c r="E195" s="197"/>
      <c r="F195" s="103" t="s">
        <v>176</v>
      </c>
      <c r="G195" s="215" t="s">
        <v>179</v>
      </c>
      <c r="H195" s="198"/>
      <c r="I195" s="103" t="s">
        <v>176</v>
      </c>
      <c r="J195" s="104">
        <v>107.28</v>
      </c>
      <c r="K195" s="102"/>
      <c r="L195" s="105"/>
      <c r="M195" s="4"/>
      <c r="N195" s="106" t="e">
        <v>#NAME?</v>
      </c>
      <c r="O195" s="76" t="s">
        <v>178</v>
      </c>
      <c r="P195" s="91" t="s">
        <v>176</v>
      </c>
      <c r="Q195" s="76" t="s">
        <v>179</v>
      </c>
      <c r="R195" s="91" t="s">
        <v>176</v>
      </c>
      <c r="S195" s="59">
        <v>107.28</v>
      </c>
    </row>
    <row r="196" spans="1:19" ht="13.2">
      <c r="A196" s="1"/>
      <c r="B196" s="101"/>
      <c r="C196" s="221" t="s">
        <v>11</v>
      </c>
      <c r="D196" s="215" t="s">
        <v>175</v>
      </c>
      <c r="E196" s="197"/>
      <c r="F196" s="103" t="s">
        <v>176</v>
      </c>
      <c r="G196" s="215" t="s">
        <v>177</v>
      </c>
      <c r="H196" s="198"/>
      <c r="I196" s="103" t="s">
        <v>176</v>
      </c>
      <c r="J196" s="104">
        <v>101.88</v>
      </c>
      <c r="K196" s="102"/>
      <c r="L196" s="105"/>
      <c r="M196" s="4"/>
      <c r="N196" s="106" t="e">
        <v>#NAME?</v>
      </c>
      <c r="O196" s="76" t="s">
        <v>175</v>
      </c>
      <c r="P196" s="91" t="s">
        <v>176</v>
      </c>
      <c r="Q196" s="76" t="s">
        <v>177</v>
      </c>
      <c r="R196" s="91" t="s">
        <v>176</v>
      </c>
      <c r="S196" s="59">
        <v>101.88</v>
      </c>
    </row>
    <row r="197" spans="1:19" ht="13.2">
      <c r="A197" s="1"/>
      <c r="B197" s="101"/>
      <c r="C197" s="221" t="s">
        <v>275</v>
      </c>
      <c r="D197" s="215" t="s">
        <v>197</v>
      </c>
      <c r="E197" s="197"/>
      <c r="F197" s="103" t="s">
        <v>198</v>
      </c>
      <c r="G197" s="215" t="s">
        <v>199</v>
      </c>
      <c r="H197" s="198"/>
      <c r="I197" s="103" t="s">
        <v>198</v>
      </c>
      <c r="J197" s="104">
        <v>100.98</v>
      </c>
      <c r="K197" s="102"/>
      <c r="L197" s="105"/>
      <c r="M197" s="4"/>
      <c r="N197" s="106" t="e">
        <v>#NAME?</v>
      </c>
      <c r="O197" s="76" t="s">
        <v>197</v>
      </c>
      <c r="P197" s="91" t="s">
        <v>198</v>
      </c>
      <c r="Q197" s="76" t="s">
        <v>199</v>
      </c>
      <c r="R197" s="91" t="s">
        <v>198</v>
      </c>
      <c r="S197" s="59">
        <v>100.98</v>
      </c>
    </row>
    <row r="198" spans="1:19" ht="13.2">
      <c r="A198" s="1"/>
      <c r="B198" s="101"/>
      <c r="C198" s="221" t="s">
        <v>276</v>
      </c>
      <c r="D198" s="215" t="s">
        <v>185</v>
      </c>
      <c r="E198" s="197"/>
      <c r="F198" s="103" t="s">
        <v>81</v>
      </c>
      <c r="G198" s="215" t="s">
        <v>186</v>
      </c>
      <c r="H198" s="198"/>
      <c r="I198" s="103" t="s">
        <v>81</v>
      </c>
      <c r="J198" s="104">
        <v>99.57</v>
      </c>
      <c r="K198" s="102"/>
      <c r="L198" s="105"/>
      <c r="M198" s="4"/>
      <c r="N198" s="106" t="e">
        <v>#NAME?</v>
      </c>
      <c r="O198" s="76" t="s">
        <v>185</v>
      </c>
      <c r="P198" s="91" t="s">
        <v>81</v>
      </c>
      <c r="Q198" s="76" t="s">
        <v>186</v>
      </c>
      <c r="R198" s="91" t="s">
        <v>81</v>
      </c>
      <c r="S198" s="59">
        <v>99.57</v>
      </c>
    </row>
    <row r="199" spans="1:19" ht="13.2">
      <c r="A199" s="1"/>
      <c r="B199" s="101"/>
      <c r="C199" s="221" t="s">
        <v>277</v>
      </c>
      <c r="D199" s="215" t="s">
        <v>180</v>
      </c>
      <c r="E199" s="197"/>
      <c r="F199" s="103" t="s">
        <v>181</v>
      </c>
      <c r="G199" s="215" t="s">
        <v>182</v>
      </c>
      <c r="H199" s="198"/>
      <c r="I199" s="103" t="s">
        <v>81</v>
      </c>
      <c r="J199" s="104">
        <v>98.79</v>
      </c>
      <c r="K199" s="102"/>
      <c r="L199" s="105"/>
      <c r="M199" s="4"/>
      <c r="N199" s="106" t="e">
        <v>#NAME?</v>
      </c>
      <c r="O199" s="76" t="s">
        <v>180</v>
      </c>
      <c r="P199" s="91" t="s">
        <v>181</v>
      </c>
      <c r="Q199" s="76" t="s">
        <v>182</v>
      </c>
      <c r="R199" s="91" t="s">
        <v>81</v>
      </c>
      <c r="S199" s="59">
        <v>98.79</v>
      </c>
    </row>
    <row r="200" spans="1:19" ht="13.2">
      <c r="A200" s="1"/>
      <c r="B200" s="101"/>
      <c r="C200" s="221" t="s">
        <v>15</v>
      </c>
      <c r="D200" s="215" t="s">
        <v>183</v>
      </c>
      <c r="E200" s="197"/>
      <c r="F200" s="103" t="s">
        <v>81</v>
      </c>
      <c r="G200" s="215" t="s">
        <v>184</v>
      </c>
      <c r="H200" s="198"/>
      <c r="I200" s="103" t="s">
        <v>81</v>
      </c>
      <c r="J200" s="104">
        <v>94.53</v>
      </c>
      <c r="K200" s="102"/>
      <c r="L200" s="105"/>
      <c r="M200" s="4"/>
      <c r="N200" s="106" t="e">
        <v>#NAME?</v>
      </c>
      <c r="O200" s="76" t="s">
        <v>183</v>
      </c>
      <c r="P200" s="91" t="s">
        <v>81</v>
      </c>
      <c r="Q200" s="76" t="s">
        <v>184</v>
      </c>
      <c r="R200" s="91" t="s">
        <v>81</v>
      </c>
      <c r="S200" s="59">
        <v>94.53</v>
      </c>
    </row>
    <row r="201" spans="1:19" ht="13.2">
      <c r="A201" s="1"/>
      <c r="B201" s="101"/>
      <c r="C201" s="221" t="s">
        <v>278</v>
      </c>
      <c r="D201" s="215" t="s">
        <v>204</v>
      </c>
      <c r="E201" s="197"/>
      <c r="F201" s="103" t="s">
        <v>188</v>
      </c>
      <c r="G201" s="215" t="s">
        <v>205</v>
      </c>
      <c r="H201" s="198"/>
      <c r="I201" s="103" t="s">
        <v>188</v>
      </c>
      <c r="J201" s="104">
        <v>93.99</v>
      </c>
      <c r="K201" s="102"/>
      <c r="L201" s="105"/>
      <c r="M201" s="4"/>
      <c r="N201" s="106" t="e">
        <v>#NAME?</v>
      </c>
      <c r="O201" s="76" t="s">
        <v>204</v>
      </c>
      <c r="P201" s="91" t="s">
        <v>188</v>
      </c>
      <c r="Q201" s="76" t="s">
        <v>205</v>
      </c>
      <c r="R201" s="91" t="s">
        <v>188</v>
      </c>
      <c r="S201" s="59">
        <v>93.99</v>
      </c>
    </row>
    <row r="202" spans="1:19" ht="13.2">
      <c r="A202" s="1"/>
      <c r="B202" s="101"/>
      <c r="C202" s="221" t="s">
        <v>279</v>
      </c>
      <c r="D202" s="215" t="s">
        <v>155</v>
      </c>
      <c r="E202" s="197"/>
      <c r="F202" s="103" t="s">
        <v>43</v>
      </c>
      <c r="G202" s="215" t="s">
        <v>156</v>
      </c>
      <c r="H202" s="198"/>
      <c r="I202" s="103" t="s">
        <v>43</v>
      </c>
      <c r="J202" s="104">
        <v>92.97</v>
      </c>
      <c r="K202" s="102"/>
      <c r="L202" s="105"/>
      <c r="M202" s="4"/>
      <c r="N202" s="106" t="e">
        <v>#NAME?</v>
      </c>
      <c r="O202" s="76" t="s">
        <v>155</v>
      </c>
      <c r="P202" s="91" t="s">
        <v>43</v>
      </c>
      <c r="Q202" s="76" t="s">
        <v>156</v>
      </c>
      <c r="R202" s="91" t="s">
        <v>43</v>
      </c>
      <c r="S202" s="59">
        <v>92.97</v>
      </c>
    </row>
    <row r="203" spans="1:19" ht="13.2">
      <c r="A203" s="1"/>
      <c r="B203" s="101"/>
      <c r="C203" s="221" t="s">
        <v>280</v>
      </c>
      <c r="D203" s="215" t="s">
        <v>202</v>
      </c>
      <c r="E203" s="197"/>
      <c r="F203" s="103" t="s">
        <v>58</v>
      </c>
      <c r="G203" s="215" t="s">
        <v>203</v>
      </c>
      <c r="H203" s="198"/>
      <c r="I203" s="103" t="s">
        <v>58</v>
      </c>
      <c r="J203" s="104">
        <v>91.14</v>
      </c>
      <c r="K203" s="102"/>
      <c r="L203" s="105"/>
      <c r="M203" s="4"/>
      <c r="N203" s="106" t="e">
        <v>#NAME?</v>
      </c>
      <c r="O203" s="76" t="s">
        <v>202</v>
      </c>
      <c r="P203" s="91" t="s">
        <v>58</v>
      </c>
      <c r="Q203" s="76" t="s">
        <v>203</v>
      </c>
      <c r="R203" s="91" t="s">
        <v>58</v>
      </c>
      <c r="S203" s="59">
        <v>91.14</v>
      </c>
    </row>
    <row r="204" spans="1:19" ht="13.2">
      <c r="A204" s="1"/>
      <c r="B204" s="101"/>
      <c r="C204" s="221" t="s">
        <v>281</v>
      </c>
      <c r="D204" s="215" t="s">
        <v>159</v>
      </c>
      <c r="E204" s="197"/>
      <c r="F204" s="103" t="s">
        <v>160</v>
      </c>
      <c r="G204" s="215" t="s">
        <v>161</v>
      </c>
      <c r="H204" s="198"/>
      <c r="I204" s="103" t="s">
        <v>160</v>
      </c>
      <c r="J204" s="104">
        <v>90.48</v>
      </c>
      <c r="K204" s="102"/>
      <c r="L204" s="105"/>
      <c r="M204" s="4"/>
      <c r="N204" s="106" t="e">
        <v>#NAME?</v>
      </c>
      <c r="O204" s="76" t="s">
        <v>159</v>
      </c>
      <c r="P204" s="91" t="s">
        <v>160</v>
      </c>
      <c r="Q204" s="76" t="s">
        <v>161</v>
      </c>
      <c r="R204" s="91" t="s">
        <v>160</v>
      </c>
      <c r="S204" s="59">
        <v>90.48</v>
      </c>
    </row>
    <row r="205" spans="1:19" ht="13.2">
      <c r="A205" s="1"/>
      <c r="B205" s="101"/>
      <c r="C205" s="221" t="s">
        <v>282</v>
      </c>
      <c r="D205" s="215" t="s">
        <v>167</v>
      </c>
      <c r="E205" s="197"/>
      <c r="F205" s="103" t="s">
        <v>71</v>
      </c>
      <c r="G205" s="215" t="s">
        <v>168</v>
      </c>
      <c r="H205" s="198"/>
      <c r="I205" s="103" t="s">
        <v>71</v>
      </c>
      <c r="J205" s="104">
        <v>90.15</v>
      </c>
      <c r="K205" s="102"/>
      <c r="L205" s="105"/>
      <c r="M205" s="4"/>
      <c r="N205" s="106" t="e">
        <v>#NAME?</v>
      </c>
      <c r="O205" s="76" t="s">
        <v>167</v>
      </c>
      <c r="P205" s="91" t="s">
        <v>71</v>
      </c>
      <c r="Q205" s="76" t="s">
        <v>168</v>
      </c>
      <c r="R205" s="91" t="s">
        <v>71</v>
      </c>
      <c r="S205" s="59">
        <v>90.15</v>
      </c>
    </row>
    <row r="206" spans="1:19" ht="13.2">
      <c r="A206" s="1"/>
      <c r="B206" s="101"/>
      <c r="C206" s="221" t="s">
        <v>283</v>
      </c>
      <c r="D206" s="215" t="s">
        <v>157</v>
      </c>
      <c r="E206" s="197"/>
      <c r="F206" s="103" t="s">
        <v>92</v>
      </c>
      <c r="G206" s="215" t="s">
        <v>158</v>
      </c>
      <c r="H206" s="198"/>
      <c r="I206" s="103" t="s">
        <v>92</v>
      </c>
      <c r="J206" s="104">
        <v>89.07</v>
      </c>
      <c r="K206" s="102"/>
      <c r="L206" s="105"/>
      <c r="M206" s="4"/>
      <c r="N206" s="106" t="e">
        <v>#NAME?</v>
      </c>
      <c r="O206" s="76" t="s">
        <v>157</v>
      </c>
      <c r="P206" s="91" t="s">
        <v>92</v>
      </c>
      <c r="Q206" s="76" t="s">
        <v>158</v>
      </c>
      <c r="R206" s="91" t="s">
        <v>92</v>
      </c>
      <c r="S206" s="59">
        <v>89.07</v>
      </c>
    </row>
    <row r="207" spans="1:19" ht="13.2">
      <c r="A207" s="1"/>
      <c r="B207" s="101"/>
      <c r="C207" s="221" t="s">
        <v>284</v>
      </c>
      <c r="D207" s="215" t="s">
        <v>195</v>
      </c>
      <c r="E207" s="197"/>
      <c r="F207" s="103" t="s">
        <v>95</v>
      </c>
      <c r="G207" s="215" t="s">
        <v>196</v>
      </c>
      <c r="H207" s="198"/>
      <c r="I207" s="103" t="s">
        <v>95</v>
      </c>
      <c r="J207" s="104">
        <v>88.8</v>
      </c>
      <c r="K207" s="102"/>
      <c r="L207" s="105"/>
      <c r="M207" s="4"/>
      <c r="N207" s="106" t="e">
        <v>#NAME?</v>
      </c>
      <c r="O207" s="76" t="s">
        <v>195</v>
      </c>
      <c r="P207" s="91" t="s">
        <v>95</v>
      </c>
      <c r="Q207" s="76" t="s">
        <v>196</v>
      </c>
      <c r="R207" s="91" t="s">
        <v>95</v>
      </c>
      <c r="S207" s="59">
        <v>88.8</v>
      </c>
    </row>
    <row r="208" spans="1:19" ht="13.2">
      <c r="A208" s="1"/>
      <c r="B208" s="101"/>
      <c r="C208" s="221" t="s">
        <v>285</v>
      </c>
      <c r="D208" s="215" t="s">
        <v>200</v>
      </c>
      <c r="E208" s="197"/>
      <c r="F208" s="103" t="s">
        <v>198</v>
      </c>
      <c r="G208" s="215" t="s">
        <v>201</v>
      </c>
      <c r="H208" s="198"/>
      <c r="I208" s="103" t="s">
        <v>198</v>
      </c>
      <c r="J208" s="104">
        <v>81.33</v>
      </c>
      <c r="K208" s="102"/>
      <c r="L208" s="105"/>
      <c r="M208" s="4"/>
      <c r="N208" s="106" t="e">
        <v>#NAME?</v>
      </c>
      <c r="O208" s="76" t="s">
        <v>200</v>
      </c>
      <c r="P208" s="91" t="s">
        <v>198</v>
      </c>
      <c r="Q208" s="76" t="s">
        <v>201</v>
      </c>
      <c r="R208" s="91" t="s">
        <v>198</v>
      </c>
      <c r="S208" s="59">
        <v>81.33</v>
      </c>
    </row>
    <row r="209" spans="1:19" ht="13.2">
      <c r="A209" s="1"/>
      <c r="B209" s="101"/>
      <c r="C209" s="221" t="s">
        <v>286</v>
      </c>
      <c r="D209" s="215" t="s">
        <v>193</v>
      </c>
      <c r="E209" s="197"/>
      <c r="F209" s="103" t="s">
        <v>86</v>
      </c>
      <c r="G209" s="215" t="s">
        <v>194</v>
      </c>
      <c r="H209" s="198"/>
      <c r="I209" s="103" t="s">
        <v>86</v>
      </c>
      <c r="J209" s="104">
        <v>78.12</v>
      </c>
      <c r="K209" s="102"/>
      <c r="L209" s="105"/>
      <c r="M209" s="4"/>
      <c r="N209" s="106" t="e">
        <v>#NAME?</v>
      </c>
      <c r="O209" s="76" t="s">
        <v>193</v>
      </c>
      <c r="P209" s="91" t="s">
        <v>86</v>
      </c>
      <c r="Q209" s="76" t="s">
        <v>194</v>
      </c>
      <c r="R209" s="91" t="s">
        <v>86</v>
      </c>
      <c r="S209" s="59">
        <v>78.12</v>
      </c>
    </row>
    <row r="210" spans="1:19" ht="13.2">
      <c r="A210" s="1"/>
      <c r="B210" s="101"/>
      <c r="C210" s="221" t="s">
        <v>287</v>
      </c>
      <c r="D210" s="215" t="s">
        <v>187</v>
      </c>
      <c r="E210" s="197"/>
      <c r="F210" s="103" t="s">
        <v>188</v>
      </c>
      <c r="G210" s="215" t="s">
        <v>189</v>
      </c>
      <c r="H210" s="198"/>
      <c r="I210" s="103" t="s">
        <v>81</v>
      </c>
      <c r="J210" s="104">
        <v>75.989999999999995</v>
      </c>
      <c r="K210" s="102"/>
      <c r="L210" s="105"/>
      <c r="M210" s="4"/>
      <c r="N210" s="106" t="e">
        <v>#NAME?</v>
      </c>
      <c r="O210" s="76" t="s">
        <v>187</v>
      </c>
      <c r="P210" s="91" t="s">
        <v>188</v>
      </c>
      <c r="Q210" s="76" t="s">
        <v>189</v>
      </c>
      <c r="R210" s="91" t="s">
        <v>81</v>
      </c>
      <c r="S210" s="59">
        <v>75.989999999999995</v>
      </c>
    </row>
    <row r="211" spans="1:19" ht="13.2">
      <c r="A211" s="1"/>
      <c r="B211" s="101"/>
      <c r="C211" s="221" t="s">
        <v>288</v>
      </c>
      <c r="D211" s="215" t="s">
        <v>169</v>
      </c>
      <c r="E211" s="197"/>
      <c r="F211" s="103" t="s">
        <v>74</v>
      </c>
      <c r="G211" s="215" t="s">
        <v>170</v>
      </c>
      <c r="H211" s="198"/>
      <c r="I211" s="103" t="s">
        <v>86</v>
      </c>
      <c r="J211" s="104">
        <v>68.069999999999993</v>
      </c>
      <c r="K211" s="102"/>
      <c r="L211" s="105"/>
      <c r="M211" s="4"/>
      <c r="N211" s="106" t="e">
        <v>#NAME?</v>
      </c>
      <c r="O211" s="76" t="s">
        <v>169</v>
      </c>
      <c r="P211" s="91" t="s">
        <v>74</v>
      </c>
      <c r="Q211" s="76" t="s">
        <v>170</v>
      </c>
      <c r="R211" s="91" t="s">
        <v>86</v>
      </c>
      <c r="S211" s="59">
        <v>68.069999999999993</v>
      </c>
    </row>
    <row r="212" spans="1:19" ht="13.2">
      <c r="A212" s="1"/>
      <c r="B212" s="101"/>
      <c r="C212" s="221" t="s">
        <v>289</v>
      </c>
      <c r="D212" s="215" t="s">
        <v>173</v>
      </c>
      <c r="E212" s="197"/>
      <c r="F212" s="103" t="s">
        <v>74</v>
      </c>
      <c r="G212" s="215" t="s">
        <v>174</v>
      </c>
      <c r="H212" s="198"/>
      <c r="I212" s="103" t="s">
        <v>74</v>
      </c>
      <c r="J212" s="104">
        <v>67.709999999999994</v>
      </c>
      <c r="K212" s="102"/>
      <c r="L212" s="105"/>
      <c r="M212" s="4"/>
      <c r="N212" s="106" t="e">
        <v>#NAME?</v>
      </c>
      <c r="O212" s="76" t="s">
        <v>173</v>
      </c>
      <c r="P212" s="91" t="s">
        <v>74</v>
      </c>
      <c r="Q212" s="76" t="s">
        <v>174</v>
      </c>
      <c r="R212" s="91" t="s">
        <v>74</v>
      </c>
      <c r="S212" s="59">
        <v>67.709999999999994</v>
      </c>
    </row>
    <row r="213" spans="1:19" ht="13.2">
      <c r="A213" s="1"/>
      <c r="B213" s="101"/>
      <c r="C213" s="221" t="s">
        <v>290</v>
      </c>
      <c r="D213" s="215" t="s">
        <v>163</v>
      </c>
      <c r="E213" s="197"/>
      <c r="F213" s="103" t="s">
        <v>68</v>
      </c>
      <c r="G213" s="215" t="s">
        <v>164</v>
      </c>
      <c r="H213" s="198"/>
      <c r="I213" s="103" t="s">
        <v>68</v>
      </c>
      <c r="J213" s="104">
        <v>60.42</v>
      </c>
      <c r="K213" s="102"/>
      <c r="L213" s="105"/>
      <c r="M213" s="4"/>
      <c r="N213" s="106" t="e">
        <v>#NAME?</v>
      </c>
      <c r="O213" s="76" t="s">
        <v>163</v>
      </c>
      <c r="P213" s="91" t="s">
        <v>68</v>
      </c>
      <c r="Q213" s="76" t="s">
        <v>164</v>
      </c>
      <c r="R213" s="91" t="s">
        <v>68</v>
      </c>
      <c r="S213" s="59">
        <v>60.42</v>
      </c>
    </row>
    <row r="214" spans="1:19" ht="13.2">
      <c r="A214" s="1"/>
      <c r="B214" s="101"/>
      <c r="C214" s="221" t="s">
        <v>291</v>
      </c>
      <c r="D214" s="215" t="s">
        <v>165</v>
      </c>
      <c r="E214" s="197"/>
      <c r="F214" s="103" t="s">
        <v>68</v>
      </c>
      <c r="G214" s="215" t="s">
        <v>166</v>
      </c>
      <c r="H214" s="198"/>
      <c r="I214" s="103" t="s">
        <v>68</v>
      </c>
      <c r="J214" s="104">
        <v>57.42</v>
      </c>
      <c r="K214" s="102"/>
      <c r="L214" s="105"/>
      <c r="M214" s="4"/>
      <c r="N214" s="106" t="e">
        <v>#NAME?</v>
      </c>
      <c r="O214" s="76" t="s">
        <v>165</v>
      </c>
      <c r="P214" s="91" t="s">
        <v>68</v>
      </c>
      <c r="Q214" s="76" t="s">
        <v>166</v>
      </c>
      <c r="R214" s="91" t="s">
        <v>68</v>
      </c>
      <c r="S214" s="59">
        <v>57.42</v>
      </c>
    </row>
    <row r="215" spans="1:19" ht="13.2">
      <c r="A215" s="1"/>
      <c r="B215" s="101"/>
      <c r="C215" s="221" t="s">
        <v>292</v>
      </c>
      <c r="D215" s="215" t="s">
        <v>191</v>
      </c>
      <c r="E215" s="197"/>
      <c r="F215" s="103" t="s">
        <v>86</v>
      </c>
      <c r="G215" s="215" t="s">
        <v>192</v>
      </c>
      <c r="H215" s="198"/>
      <c r="I215" s="103" t="s">
        <v>86</v>
      </c>
      <c r="J215" s="104">
        <v>49.11</v>
      </c>
      <c r="K215" s="102"/>
      <c r="L215" s="105"/>
      <c r="M215" s="4"/>
      <c r="N215" s="106" t="e">
        <v>#NAME?</v>
      </c>
      <c r="O215" s="76" t="s">
        <v>191</v>
      </c>
      <c r="P215" s="91" t="s">
        <v>86</v>
      </c>
      <c r="Q215" s="76" t="s">
        <v>192</v>
      </c>
      <c r="R215" s="91" t="s">
        <v>86</v>
      </c>
      <c r="S215" s="59">
        <v>49.11</v>
      </c>
    </row>
    <row r="216" spans="1:19" ht="13.2">
      <c r="A216" s="1"/>
      <c r="B216" s="101"/>
      <c r="C216" s="102" t="s">
        <v>38</v>
      </c>
      <c r="D216" s="215">
        <v>0</v>
      </c>
      <c r="E216" s="197"/>
      <c r="F216" s="103">
        <v>0</v>
      </c>
      <c r="G216" s="215">
        <v>0</v>
      </c>
      <c r="H216" s="198"/>
      <c r="I216" s="103">
        <v>0</v>
      </c>
      <c r="J216" s="104" t="s">
        <v>38</v>
      </c>
      <c r="K216" s="102"/>
      <c r="L216" s="105"/>
      <c r="M216" s="4"/>
      <c r="N216" s="106" t="e">
        <v>#NAME?</v>
      </c>
      <c r="O216" s="76"/>
      <c r="P216" s="91"/>
      <c r="Q216" s="76"/>
      <c r="R216" s="91"/>
      <c r="S216" s="59"/>
    </row>
    <row r="217" spans="1:19" ht="13.2">
      <c r="A217" s="1"/>
      <c r="B217" s="101"/>
      <c r="C217" s="102" t="s">
        <v>38</v>
      </c>
      <c r="D217" s="215">
        <v>0</v>
      </c>
      <c r="E217" s="197"/>
      <c r="F217" s="103">
        <v>0</v>
      </c>
      <c r="G217" s="215">
        <v>0</v>
      </c>
      <c r="H217" s="198"/>
      <c r="I217" s="103">
        <v>0</v>
      </c>
      <c r="J217" s="104" t="s">
        <v>38</v>
      </c>
      <c r="K217" s="102"/>
      <c r="L217" s="105"/>
      <c r="M217" s="4"/>
      <c r="N217" s="106" t="e">
        <v>#NAME?</v>
      </c>
      <c r="O217" s="76"/>
      <c r="P217" s="91"/>
      <c r="Q217" s="76"/>
      <c r="R217" s="91"/>
      <c r="S217" s="59"/>
    </row>
    <row r="218" spans="1:19" ht="13.2">
      <c r="A218" s="1"/>
      <c r="B218" s="101"/>
      <c r="C218" s="102" t="s">
        <v>38</v>
      </c>
      <c r="D218" s="215">
        <v>0</v>
      </c>
      <c r="E218" s="197"/>
      <c r="F218" s="103">
        <v>0</v>
      </c>
      <c r="G218" s="215">
        <v>0</v>
      </c>
      <c r="H218" s="198"/>
      <c r="I218" s="103">
        <v>0</v>
      </c>
      <c r="J218" s="104" t="s">
        <v>38</v>
      </c>
      <c r="K218" s="102"/>
      <c r="L218" s="105"/>
      <c r="M218" s="4"/>
      <c r="N218" s="106" t="e">
        <v>#NAME?</v>
      </c>
      <c r="O218" s="76"/>
      <c r="P218" s="91"/>
      <c r="Q218" s="76"/>
      <c r="R218" s="91"/>
      <c r="S218" s="59"/>
    </row>
    <row r="219" spans="1:19" ht="13.2">
      <c r="A219" s="1"/>
      <c r="B219" s="101"/>
      <c r="C219" s="102" t="s">
        <v>38</v>
      </c>
      <c r="D219" s="215">
        <v>0</v>
      </c>
      <c r="E219" s="197"/>
      <c r="F219" s="103">
        <v>0</v>
      </c>
      <c r="G219" s="215">
        <v>0</v>
      </c>
      <c r="H219" s="198"/>
      <c r="I219" s="103">
        <v>0</v>
      </c>
      <c r="J219" s="104" t="s">
        <v>38</v>
      </c>
      <c r="K219" s="102"/>
      <c r="L219" s="105"/>
      <c r="M219" s="4"/>
      <c r="N219" s="106" t="e">
        <v>#NAME?</v>
      </c>
      <c r="O219" s="76"/>
      <c r="P219" s="91"/>
      <c r="Q219" s="76"/>
      <c r="R219" s="91"/>
      <c r="S219" s="59"/>
    </row>
    <row r="220" spans="1:19" ht="13.2">
      <c r="A220" s="1"/>
      <c r="B220" s="101"/>
      <c r="C220" s="102" t="s">
        <v>38</v>
      </c>
      <c r="D220" s="215">
        <v>0</v>
      </c>
      <c r="E220" s="197"/>
      <c r="F220" s="103">
        <v>0</v>
      </c>
      <c r="G220" s="215">
        <v>0</v>
      </c>
      <c r="H220" s="198"/>
      <c r="I220" s="103">
        <v>0</v>
      </c>
      <c r="J220" s="104" t="s">
        <v>38</v>
      </c>
      <c r="K220" s="102"/>
      <c r="L220" s="105"/>
      <c r="M220" s="4"/>
      <c r="N220" s="106" t="e">
        <v>#NAME?</v>
      </c>
      <c r="O220" s="76"/>
      <c r="P220" s="91"/>
      <c r="Q220" s="76"/>
      <c r="R220" s="91"/>
      <c r="S220" s="59"/>
    </row>
    <row r="221" spans="1:19" ht="13.2">
      <c r="A221" s="1"/>
      <c r="B221" s="101"/>
      <c r="C221" s="102" t="s">
        <v>38</v>
      </c>
      <c r="D221" s="215">
        <v>0</v>
      </c>
      <c r="E221" s="197"/>
      <c r="F221" s="103">
        <v>0</v>
      </c>
      <c r="G221" s="215">
        <v>0</v>
      </c>
      <c r="H221" s="198"/>
      <c r="I221" s="103">
        <v>0</v>
      </c>
      <c r="J221" s="104" t="s">
        <v>38</v>
      </c>
      <c r="K221" s="102"/>
      <c r="L221" s="105"/>
      <c r="M221" s="4"/>
      <c r="N221" s="106" t="e">
        <v>#NAME?</v>
      </c>
      <c r="O221" s="76"/>
      <c r="P221" s="91"/>
      <c r="Q221" s="76"/>
      <c r="R221" s="91"/>
      <c r="S221" s="59"/>
    </row>
    <row r="222" spans="1:19" ht="13.2">
      <c r="A222" s="1"/>
      <c r="B222" s="101"/>
      <c r="C222" s="102" t="s">
        <v>38</v>
      </c>
      <c r="D222" s="215">
        <v>0</v>
      </c>
      <c r="E222" s="197"/>
      <c r="F222" s="103">
        <v>0</v>
      </c>
      <c r="G222" s="215">
        <v>0</v>
      </c>
      <c r="H222" s="198"/>
      <c r="I222" s="103">
        <v>0</v>
      </c>
      <c r="J222" s="104" t="s">
        <v>38</v>
      </c>
      <c r="K222" s="102"/>
      <c r="L222" s="105"/>
      <c r="M222" s="4"/>
      <c r="N222" s="106" t="e">
        <v>#NAME?</v>
      </c>
      <c r="O222" s="76"/>
      <c r="P222" s="91"/>
      <c r="Q222" s="76"/>
      <c r="R222" s="91"/>
      <c r="S222" s="59"/>
    </row>
    <row r="223" spans="1:19" ht="13.2">
      <c r="A223" s="1"/>
      <c r="B223" s="101"/>
      <c r="C223" s="102" t="s">
        <v>38</v>
      </c>
      <c r="D223" s="215">
        <v>0</v>
      </c>
      <c r="E223" s="197"/>
      <c r="F223" s="103">
        <v>0</v>
      </c>
      <c r="G223" s="215">
        <v>0</v>
      </c>
      <c r="H223" s="198"/>
      <c r="I223" s="103">
        <v>0</v>
      </c>
      <c r="J223" s="104" t="s">
        <v>38</v>
      </c>
      <c r="K223" s="102"/>
      <c r="L223" s="105"/>
      <c r="M223" s="4"/>
      <c r="N223" s="106" t="e">
        <v>#NAME?</v>
      </c>
      <c r="O223" s="76"/>
      <c r="P223" s="91"/>
      <c r="Q223" s="76"/>
      <c r="R223" s="91"/>
      <c r="S223" s="59"/>
    </row>
    <row r="224" spans="1:19" ht="13.2">
      <c r="A224" s="1"/>
      <c r="B224" s="101"/>
      <c r="C224" s="102" t="s">
        <v>38</v>
      </c>
      <c r="D224" s="215">
        <v>0</v>
      </c>
      <c r="E224" s="197"/>
      <c r="F224" s="103">
        <v>0</v>
      </c>
      <c r="G224" s="215">
        <v>0</v>
      </c>
      <c r="H224" s="198"/>
      <c r="I224" s="103">
        <v>0</v>
      </c>
      <c r="J224" s="104" t="s">
        <v>38</v>
      </c>
      <c r="K224" s="102"/>
      <c r="L224" s="105"/>
      <c r="M224" s="4"/>
      <c r="N224" s="106" t="e">
        <v>#NAME?</v>
      </c>
      <c r="O224" s="76"/>
      <c r="P224" s="91"/>
      <c r="Q224" s="76"/>
      <c r="R224" s="91"/>
      <c r="S224" s="59"/>
    </row>
    <row r="225" spans="1:19" ht="13.2">
      <c r="A225" s="1"/>
      <c r="B225" s="101"/>
      <c r="C225" s="102" t="s">
        <v>38</v>
      </c>
      <c r="D225" s="215">
        <v>0</v>
      </c>
      <c r="E225" s="197"/>
      <c r="F225" s="103">
        <v>0</v>
      </c>
      <c r="G225" s="215">
        <v>0</v>
      </c>
      <c r="H225" s="198"/>
      <c r="I225" s="103">
        <v>0</v>
      </c>
      <c r="J225" s="104" t="s">
        <v>38</v>
      </c>
      <c r="K225" s="102"/>
      <c r="L225" s="105"/>
      <c r="M225" s="4"/>
      <c r="N225" s="106" t="e">
        <v>#NAME?</v>
      </c>
      <c r="O225" s="76"/>
      <c r="P225" s="91"/>
      <c r="Q225" s="76"/>
      <c r="R225" s="91"/>
      <c r="S225" s="59"/>
    </row>
    <row r="226" spans="1:19" ht="13.2">
      <c r="A226" s="1"/>
      <c r="B226" s="101"/>
      <c r="C226" s="102" t="s">
        <v>38</v>
      </c>
      <c r="D226" s="215">
        <v>0</v>
      </c>
      <c r="E226" s="197"/>
      <c r="F226" s="103">
        <v>0</v>
      </c>
      <c r="G226" s="215">
        <v>0</v>
      </c>
      <c r="H226" s="198"/>
      <c r="I226" s="103">
        <v>0</v>
      </c>
      <c r="J226" s="104" t="s">
        <v>38</v>
      </c>
      <c r="K226" s="102"/>
      <c r="L226" s="105"/>
      <c r="M226" s="4"/>
      <c r="N226" s="106" t="e">
        <v>#NAME?</v>
      </c>
      <c r="O226" s="76"/>
      <c r="P226" s="91"/>
      <c r="Q226" s="76"/>
      <c r="R226" s="91"/>
      <c r="S226" s="59"/>
    </row>
    <row r="227" spans="1:19" ht="13.2">
      <c r="A227" s="1"/>
      <c r="B227" s="101"/>
      <c r="C227" s="102" t="s">
        <v>38</v>
      </c>
      <c r="D227" s="215">
        <v>0</v>
      </c>
      <c r="E227" s="197"/>
      <c r="F227" s="103">
        <v>0</v>
      </c>
      <c r="G227" s="215">
        <v>0</v>
      </c>
      <c r="H227" s="198"/>
      <c r="I227" s="103">
        <v>0</v>
      </c>
      <c r="J227" s="104" t="s">
        <v>38</v>
      </c>
      <c r="K227" s="102"/>
      <c r="L227" s="105"/>
      <c r="M227" s="4"/>
      <c r="N227" s="106" t="e">
        <v>#NAME?</v>
      </c>
      <c r="O227" s="76"/>
      <c r="P227" s="91"/>
      <c r="Q227" s="76"/>
      <c r="R227" s="91"/>
      <c r="S227" s="59"/>
    </row>
    <row r="228" spans="1:19" ht="13.2">
      <c r="A228" s="1"/>
      <c r="B228" s="101"/>
      <c r="C228" s="102" t="s">
        <v>38</v>
      </c>
      <c r="D228" s="215">
        <v>0</v>
      </c>
      <c r="E228" s="197"/>
      <c r="F228" s="103">
        <v>0</v>
      </c>
      <c r="G228" s="215">
        <v>0</v>
      </c>
      <c r="H228" s="198"/>
      <c r="I228" s="103">
        <v>0</v>
      </c>
      <c r="J228" s="104" t="s">
        <v>38</v>
      </c>
      <c r="K228" s="102"/>
      <c r="L228" s="105"/>
      <c r="M228" s="4"/>
      <c r="N228" s="106" t="e">
        <v>#NAME?</v>
      </c>
      <c r="O228" s="76"/>
      <c r="P228" s="91"/>
      <c r="Q228" s="76"/>
      <c r="R228" s="91"/>
      <c r="S228" s="59"/>
    </row>
    <row r="229" spans="1:19" ht="13.2">
      <c r="A229" s="1"/>
      <c r="B229" s="101"/>
      <c r="C229" s="102" t="s">
        <v>38</v>
      </c>
      <c r="D229" s="215">
        <v>0</v>
      </c>
      <c r="E229" s="197"/>
      <c r="F229" s="103">
        <v>0</v>
      </c>
      <c r="G229" s="215">
        <v>0</v>
      </c>
      <c r="H229" s="198"/>
      <c r="I229" s="103">
        <v>0</v>
      </c>
      <c r="J229" s="104" t="s">
        <v>38</v>
      </c>
      <c r="K229" s="102"/>
      <c r="L229" s="105"/>
      <c r="M229" s="4"/>
      <c r="N229" s="106" t="e">
        <v>#NAME?</v>
      </c>
      <c r="O229" s="76"/>
      <c r="P229" s="91"/>
      <c r="Q229" s="76"/>
      <c r="R229" s="91"/>
      <c r="S229" s="59"/>
    </row>
    <row r="230" spans="1:19" ht="13.2">
      <c r="A230" s="1"/>
      <c r="B230" s="101"/>
      <c r="C230" s="102" t="s">
        <v>38</v>
      </c>
      <c r="D230" s="215">
        <v>0</v>
      </c>
      <c r="E230" s="197"/>
      <c r="F230" s="103">
        <v>0</v>
      </c>
      <c r="G230" s="215">
        <v>0</v>
      </c>
      <c r="H230" s="198"/>
      <c r="I230" s="103">
        <v>0</v>
      </c>
      <c r="J230" s="104" t="s">
        <v>38</v>
      </c>
      <c r="K230" s="102"/>
      <c r="L230" s="105"/>
      <c r="M230" s="4"/>
      <c r="N230" s="106" t="e">
        <v>#NAME?</v>
      </c>
      <c r="O230" s="76"/>
      <c r="P230" s="91"/>
      <c r="Q230" s="76"/>
      <c r="R230" s="91"/>
      <c r="S230" s="59"/>
    </row>
    <row r="231" spans="1:19" ht="13.2">
      <c r="A231" s="1"/>
      <c r="B231" s="101"/>
      <c r="C231" s="102" t="s">
        <v>38</v>
      </c>
      <c r="D231" s="215">
        <v>0</v>
      </c>
      <c r="E231" s="197"/>
      <c r="F231" s="103">
        <v>0</v>
      </c>
      <c r="G231" s="215">
        <v>0</v>
      </c>
      <c r="H231" s="198"/>
      <c r="I231" s="103">
        <v>0</v>
      </c>
      <c r="J231" s="104" t="s">
        <v>38</v>
      </c>
      <c r="K231" s="102"/>
      <c r="L231" s="105"/>
      <c r="M231" s="4"/>
      <c r="N231" s="106" t="e">
        <v>#NAME?</v>
      </c>
      <c r="O231" s="76"/>
      <c r="P231" s="91"/>
      <c r="Q231" s="76"/>
      <c r="R231" s="91"/>
      <c r="S231" s="59"/>
    </row>
    <row r="232" spans="1:19" ht="13.2">
      <c r="A232" s="1"/>
      <c r="B232" s="101"/>
      <c r="C232" s="102" t="s">
        <v>38</v>
      </c>
      <c r="D232" s="215">
        <v>0</v>
      </c>
      <c r="E232" s="197"/>
      <c r="F232" s="103">
        <v>0</v>
      </c>
      <c r="G232" s="215">
        <v>0</v>
      </c>
      <c r="H232" s="198"/>
      <c r="I232" s="103">
        <v>0</v>
      </c>
      <c r="J232" s="104" t="s">
        <v>38</v>
      </c>
      <c r="K232" s="102"/>
      <c r="L232" s="105"/>
      <c r="M232" s="4"/>
      <c r="N232" s="106" t="e">
        <v>#NAME?</v>
      </c>
      <c r="O232" s="76"/>
      <c r="P232" s="91"/>
      <c r="Q232" s="76"/>
      <c r="R232" s="91"/>
      <c r="S232" s="59"/>
    </row>
    <row r="233" spans="1:19" ht="13.2">
      <c r="A233" s="1"/>
      <c r="B233" s="101"/>
      <c r="C233" s="102" t="s">
        <v>38</v>
      </c>
      <c r="D233" s="215">
        <v>0</v>
      </c>
      <c r="E233" s="197"/>
      <c r="F233" s="103">
        <v>0</v>
      </c>
      <c r="G233" s="215">
        <v>0</v>
      </c>
      <c r="H233" s="198"/>
      <c r="I233" s="103">
        <v>0</v>
      </c>
      <c r="J233" s="104" t="s">
        <v>38</v>
      </c>
      <c r="K233" s="102"/>
      <c r="L233" s="105"/>
      <c r="M233" s="4"/>
      <c r="N233" s="106" t="e">
        <v>#NAME?</v>
      </c>
      <c r="O233" s="76"/>
      <c r="P233" s="91"/>
      <c r="Q233" s="76"/>
      <c r="R233" s="91"/>
      <c r="S233" s="59"/>
    </row>
    <row r="234" spans="1:19" ht="13.2">
      <c r="A234" s="1"/>
      <c r="B234" s="101"/>
      <c r="C234" s="102" t="s">
        <v>38</v>
      </c>
      <c r="D234" s="215">
        <v>0</v>
      </c>
      <c r="E234" s="197"/>
      <c r="F234" s="103">
        <v>0</v>
      </c>
      <c r="G234" s="215">
        <v>0</v>
      </c>
      <c r="H234" s="198"/>
      <c r="I234" s="103">
        <v>0</v>
      </c>
      <c r="J234" s="104" t="s">
        <v>38</v>
      </c>
      <c r="K234" s="102"/>
      <c r="L234" s="105"/>
      <c r="M234" s="4"/>
      <c r="N234" s="106" t="e">
        <v>#NAME?</v>
      </c>
      <c r="O234" s="76"/>
      <c r="P234" s="91"/>
      <c r="Q234" s="76"/>
      <c r="R234" s="91"/>
      <c r="S234" s="59"/>
    </row>
    <row r="235" spans="1:19" ht="13.2">
      <c r="A235" s="1"/>
      <c r="B235" s="101"/>
      <c r="C235" s="102" t="s">
        <v>38</v>
      </c>
      <c r="D235" s="215">
        <v>0</v>
      </c>
      <c r="E235" s="197"/>
      <c r="F235" s="103">
        <v>0</v>
      </c>
      <c r="G235" s="215">
        <v>0</v>
      </c>
      <c r="H235" s="198"/>
      <c r="I235" s="103">
        <v>0</v>
      </c>
      <c r="J235" s="104" t="s">
        <v>38</v>
      </c>
      <c r="K235" s="102"/>
      <c r="L235" s="105"/>
      <c r="M235" s="4"/>
      <c r="N235" s="106" t="e">
        <v>#NAME?</v>
      </c>
      <c r="O235" s="76"/>
      <c r="P235" s="91"/>
      <c r="Q235" s="76"/>
      <c r="R235" s="91"/>
      <c r="S235" s="59"/>
    </row>
    <row r="236" spans="1:19" ht="13.2">
      <c r="A236" s="1"/>
      <c r="B236" s="101"/>
      <c r="C236" s="102" t="s">
        <v>38</v>
      </c>
      <c r="D236" s="215">
        <v>0</v>
      </c>
      <c r="E236" s="197"/>
      <c r="F236" s="103">
        <v>0</v>
      </c>
      <c r="G236" s="215">
        <v>0</v>
      </c>
      <c r="H236" s="198"/>
      <c r="I236" s="103">
        <v>0</v>
      </c>
      <c r="J236" s="104" t="s">
        <v>38</v>
      </c>
      <c r="K236" s="102"/>
      <c r="L236" s="105"/>
      <c r="M236" s="4"/>
      <c r="N236" s="106" t="e">
        <v>#NAME?</v>
      </c>
      <c r="O236" s="76"/>
      <c r="P236" s="91"/>
      <c r="Q236" s="76"/>
      <c r="R236" s="91"/>
      <c r="S236" s="59"/>
    </row>
    <row r="237" spans="1:19" ht="13.2">
      <c r="A237" s="1"/>
      <c r="B237" s="101"/>
      <c r="C237" s="102" t="s">
        <v>38</v>
      </c>
      <c r="D237" s="215">
        <v>0</v>
      </c>
      <c r="E237" s="197"/>
      <c r="F237" s="103">
        <v>0</v>
      </c>
      <c r="G237" s="215">
        <v>0</v>
      </c>
      <c r="H237" s="198"/>
      <c r="I237" s="103">
        <v>0</v>
      </c>
      <c r="J237" s="104" t="s">
        <v>38</v>
      </c>
      <c r="K237" s="102"/>
      <c r="L237" s="105"/>
      <c r="M237" s="4"/>
      <c r="N237" s="106" t="e">
        <v>#NAME?</v>
      </c>
      <c r="O237" s="76"/>
      <c r="P237" s="91"/>
      <c r="Q237" s="76"/>
      <c r="R237" s="91"/>
      <c r="S237" s="59"/>
    </row>
    <row r="238" spans="1:19" ht="13.2">
      <c r="A238" s="1"/>
      <c r="B238" s="101"/>
      <c r="C238" s="102" t="s">
        <v>38</v>
      </c>
      <c r="D238" s="215">
        <v>0</v>
      </c>
      <c r="E238" s="197"/>
      <c r="F238" s="103">
        <v>0</v>
      </c>
      <c r="G238" s="215">
        <v>0</v>
      </c>
      <c r="H238" s="198"/>
      <c r="I238" s="103">
        <v>0</v>
      </c>
      <c r="J238" s="104" t="s">
        <v>38</v>
      </c>
      <c r="K238" s="102"/>
      <c r="L238" s="105"/>
      <c r="M238" s="4"/>
      <c r="N238" s="106" t="e">
        <v>#NAME?</v>
      </c>
      <c r="O238" s="76"/>
      <c r="P238" s="91"/>
      <c r="Q238" s="76"/>
      <c r="R238" s="91"/>
      <c r="S238" s="59"/>
    </row>
    <row r="239" spans="1:19" ht="13.2">
      <c r="A239" s="1"/>
      <c r="B239" s="101"/>
      <c r="C239" s="102" t="s">
        <v>38</v>
      </c>
      <c r="D239" s="215">
        <v>0</v>
      </c>
      <c r="E239" s="197"/>
      <c r="F239" s="103">
        <v>0</v>
      </c>
      <c r="G239" s="215">
        <v>0</v>
      </c>
      <c r="H239" s="198"/>
      <c r="I239" s="103">
        <v>0</v>
      </c>
      <c r="J239" s="104" t="s">
        <v>38</v>
      </c>
      <c r="K239" s="102"/>
      <c r="L239" s="105"/>
      <c r="M239" s="4"/>
      <c r="N239" s="106" t="e">
        <v>#NAME?</v>
      </c>
      <c r="O239" s="76"/>
      <c r="P239" s="91"/>
      <c r="Q239" s="76"/>
      <c r="R239" s="91"/>
      <c r="S239" s="59"/>
    </row>
    <row r="240" spans="1:19" ht="13.2">
      <c r="A240" s="1"/>
      <c r="B240" s="101"/>
      <c r="C240" s="102" t="s">
        <v>38</v>
      </c>
      <c r="D240" s="215">
        <v>0</v>
      </c>
      <c r="E240" s="197"/>
      <c r="F240" s="103">
        <v>0</v>
      </c>
      <c r="G240" s="215">
        <v>0</v>
      </c>
      <c r="H240" s="198"/>
      <c r="I240" s="103">
        <v>0</v>
      </c>
      <c r="J240" s="104" t="s">
        <v>38</v>
      </c>
      <c r="K240" s="102"/>
      <c r="L240" s="105"/>
      <c r="M240" s="4"/>
      <c r="N240" s="106" t="e">
        <v>#NAME?</v>
      </c>
      <c r="O240" s="76"/>
      <c r="P240" s="91"/>
      <c r="Q240" s="76"/>
      <c r="R240" s="91"/>
      <c r="S240" s="59"/>
    </row>
    <row r="241" spans="1:19" ht="13.2">
      <c r="A241" s="1"/>
      <c r="B241" s="101"/>
      <c r="C241" s="102" t="s">
        <v>38</v>
      </c>
      <c r="D241" s="215">
        <v>0</v>
      </c>
      <c r="E241" s="197"/>
      <c r="F241" s="103">
        <v>0</v>
      </c>
      <c r="G241" s="215">
        <v>0</v>
      </c>
      <c r="H241" s="198"/>
      <c r="I241" s="103">
        <v>0</v>
      </c>
      <c r="J241" s="104" t="s">
        <v>38</v>
      </c>
      <c r="K241" s="102"/>
      <c r="L241" s="105"/>
      <c r="M241" s="4"/>
      <c r="N241" s="106" t="e">
        <v>#NAME?</v>
      </c>
      <c r="O241" s="76"/>
      <c r="P241" s="91"/>
      <c r="Q241" s="76"/>
      <c r="R241" s="91"/>
      <c r="S241" s="59"/>
    </row>
    <row r="242" spans="1:19" ht="13.2">
      <c r="A242" s="1"/>
      <c r="B242" s="101"/>
      <c r="C242" s="102" t="s">
        <v>38</v>
      </c>
      <c r="D242" s="215">
        <v>0</v>
      </c>
      <c r="E242" s="197"/>
      <c r="F242" s="103">
        <v>0</v>
      </c>
      <c r="G242" s="215">
        <v>0</v>
      </c>
      <c r="H242" s="198"/>
      <c r="I242" s="103">
        <v>0</v>
      </c>
      <c r="J242" s="104" t="s">
        <v>38</v>
      </c>
      <c r="K242" s="102"/>
      <c r="L242" s="105"/>
      <c r="M242" s="4"/>
      <c r="N242" s="106" t="e">
        <v>#NAME?</v>
      </c>
      <c r="O242" s="76"/>
      <c r="P242" s="91"/>
      <c r="Q242" s="76"/>
      <c r="R242" s="91"/>
      <c r="S242" s="59"/>
    </row>
    <row r="243" spans="1:19" ht="13.2">
      <c r="A243" s="1"/>
      <c r="B243" s="1"/>
      <c r="C243" s="58"/>
      <c r="D243" s="1"/>
      <c r="E243" s="1"/>
      <c r="F243" s="1"/>
      <c r="G243" s="1"/>
      <c r="H243" s="1"/>
      <c r="I243" s="1"/>
      <c r="J243" s="59"/>
      <c r="K243" s="1"/>
      <c r="L243" s="1"/>
      <c r="M243" s="4"/>
      <c r="N243" s="106"/>
      <c r="O243" s="76"/>
      <c r="P243" s="59"/>
      <c r="Q243" s="76"/>
      <c r="R243" s="59"/>
      <c r="S243" s="59"/>
    </row>
    <row r="244" spans="1:19" ht="13.2">
      <c r="A244" s="1"/>
      <c r="B244" s="1"/>
      <c r="C244" s="68" t="s">
        <v>117</v>
      </c>
      <c r="D244" s="68"/>
      <c r="E244" s="68"/>
      <c r="F244" s="68"/>
      <c r="G244" s="68"/>
      <c r="H244" s="68"/>
      <c r="I244" s="68"/>
      <c r="J244" s="69"/>
      <c r="K244" s="68"/>
      <c r="L244" s="1"/>
      <c r="M244" s="4"/>
      <c r="N244" s="59"/>
      <c r="O244" s="76"/>
      <c r="P244" s="59"/>
      <c r="Q244" s="76"/>
      <c r="R244" s="59"/>
      <c r="S244" s="59"/>
    </row>
    <row r="245" spans="1:19" ht="13.2">
      <c r="A245" s="1"/>
      <c r="B245" s="1"/>
      <c r="C245" s="190">
        <v>0</v>
      </c>
      <c r="D245" s="191"/>
      <c r="E245" s="191"/>
      <c r="F245" s="191"/>
      <c r="G245" s="191"/>
      <c r="H245" s="191"/>
      <c r="I245" s="191"/>
      <c r="J245" s="191"/>
      <c r="K245" s="192"/>
      <c r="L245" s="1"/>
      <c r="M245" s="4"/>
      <c r="N245" s="59"/>
      <c r="O245" s="76"/>
      <c r="P245" s="59"/>
      <c r="Q245" s="76"/>
      <c r="R245" s="59"/>
      <c r="S245" s="59"/>
    </row>
    <row r="246" spans="1:19" ht="13.2">
      <c r="A246" s="1"/>
      <c r="B246" s="1"/>
      <c r="C246" s="193"/>
      <c r="D246" s="194"/>
      <c r="E246" s="194"/>
      <c r="F246" s="194"/>
      <c r="G246" s="194"/>
      <c r="H246" s="194"/>
      <c r="I246" s="194"/>
      <c r="J246" s="194"/>
      <c r="K246" s="195"/>
      <c r="L246" s="1"/>
      <c r="M246" s="4"/>
      <c r="N246" s="59"/>
      <c r="O246" s="76"/>
      <c r="P246" s="59"/>
      <c r="Q246" s="76"/>
      <c r="R246" s="59"/>
      <c r="S246" s="59"/>
    </row>
    <row r="247" spans="1:19" ht="13.2">
      <c r="A247" s="1"/>
      <c r="B247" s="1"/>
      <c r="C247" s="193"/>
      <c r="D247" s="194"/>
      <c r="E247" s="194"/>
      <c r="F247" s="194"/>
      <c r="G247" s="194"/>
      <c r="H247" s="194"/>
      <c r="I247" s="194"/>
      <c r="J247" s="194"/>
      <c r="K247" s="195"/>
      <c r="L247" s="1"/>
      <c r="M247" s="4"/>
      <c r="N247" s="59"/>
      <c r="O247" s="76"/>
      <c r="P247" s="59"/>
      <c r="Q247" s="76"/>
      <c r="R247" s="59"/>
      <c r="S247" s="59"/>
    </row>
    <row r="248" spans="1:19" ht="13.2">
      <c r="A248" s="1"/>
      <c r="B248" s="1"/>
      <c r="C248" s="196"/>
      <c r="D248" s="197"/>
      <c r="E248" s="197"/>
      <c r="F248" s="197"/>
      <c r="G248" s="197"/>
      <c r="H248" s="197"/>
      <c r="I248" s="197"/>
      <c r="J248" s="197"/>
      <c r="K248" s="198"/>
      <c r="L248" s="1"/>
      <c r="M248" s="4"/>
      <c r="N248" s="59"/>
      <c r="O248" s="76"/>
      <c r="P248" s="59"/>
      <c r="Q248" s="76"/>
      <c r="R248" s="59"/>
      <c r="S248" s="59"/>
    </row>
    <row r="249" spans="1:19" ht="13.2">
      <c r="A249" s="1"/>
      <c r="B249" s="1"/>
      <c r="C249" s="58"/>
      <c r="D249" s="1"/>
      <c r="E249" s="1"/>
      <c r="F249" s="1"/>
      <c r="G249" s="1"/>
      <c r="H249" s="1"/>
      <c r="I249" s="1"/>
      <c r="J249" s="59"/>
      <c r="K249" s="1"/>
      <c r="L249" s="1"/>
      <c r="M249" s="4"/>
      <c r="N249" s="59"/>
      <c r="O249" s="76"/>
      <c r="P249" s="59"/>
      <c r="Q249" s="76"/>
      <c r="R249" s="59"/>
      <c r="S249" s="59"/>
    </row>
    <row r="250" spans="1:19" ht="13.2">
      <c r="A250" s="1"/>
      <c r="B250" s="1"/>
      <c r="C250" s="58"/>
      <c r="D250" s="1"/>
      <c r="E250" s="1"/>
      <c r="F250" s="1"/>
      <c r="G250" s="1"/>
      <c r="H250" s="1"/>
      <c r="I250" s="1"/>
      <c r="J250" s="59"/>
      <c r="K250" s="1"/>
      <c r="L250" s="1"/>
      <c r="M250" s="4"/>
      <c r="N250" s="59"/>
      <c r="O250" s="76"/>
      <c r="P250" s="59"/>
      <c r="Q250" s="76"/>
      <c r="R250" s="59"/>
      <c r="S250" s="59"/>
    </row>
    <row r="251" spans="1:19" ht="13.2">
      <c r="A251" s="1"/>
      <c r="B251" s="1"/>
      <c r="C251" s="58"/>
      <c r="D251" s="1"/>
      <c r="E251" s="1"/>
      <c r="F251" s="1"/>
      <c r="G251" s="1"/>
      <c r="H251" s="1"/>
      <c r="I251" s="1"/>
      <c r="J251" s="59"/>
      <c r="K251" s="1"/>
      <c r="L251" s="1"/>
      <c r="M251" s="4"/>
      <c r="N251" s="59"/>
      <c r="O251" s="76"/>
      <c r="P251" s="59"/>
      <c r="Q251" s="76"/>
      <c r="R251" s="59"/>
      <c r="S251" s="59"/>
    </row>
    <row r="252" spans="1:19" ht="13.2">
      <c r="A252" s="1"/>
      <c r="B252" s="1"/>
      <c r="C252" s="58"/>
      <c r="D252" s="1"/>
      <c r="E252" s="1"/>
      <c r="F252" s="1"/>
      <c r="G252" s="1"/>
      <c r="H252" s="1"/>
      <c r="I252" s="1"/>
      <c r="J252" s="59"/>
      <c r="K252" s="1"/>
      <c r="L252" s="1"/>
      <c r="M252" s="4"/>
      <c r="N252" s="59"/>
      <c r="O252" s="76"/>
      <c r="P252" s="59"/>
      <c r="Q252" s="76"/>
      <c r="R252" s="59"/>
      <c r="S252" s="59"/>
    </row>
    <row r="253" spans="1:19" ht="13.2">
      <c r="A253" s="1"/>
      <c r="B253" s="1"/>
      <c r="C253" s="58"/>
      <c r="D253" s="1"/>
      <c r="E253" s="1"/>
      <c r="F253" s="1"/>
      <c r="G253" s="1"/>
      <c r="H253" s="1"/>
      <c r="I253" s="1"/>
      <c r="J253" s="59"/>
      <c r="K253" s="1"/>
      <c r="L253" s="1"/>
      <c r="M253" s="4"/>
      <c r="N253" s="59"/>
      <c r="O253" s="76"/>
      <c r="P253" s="59"/>
      <c r="Q253" s="76"/>
      <c r="R253" s="59"/>
      <c r="S253" s="59"/>
    </row>
    <row r="254" spans="1:19" ht="13.2">
      <c r="A254" s="1"/>
      <c r="B254" s="1"/>
      <c r="C254" s="58"/>
      <c r="D254" s="1"/>
      <c r="E254" s="1"/>
      <c r="F254" s="1"/>
      <c r="G254" s="1"/>
      <c r="H254" s="1"/>
      <c r="I254" s="1"/>
      <c r="J254" s="59"/>
      <c r="K254" s="1"/>
      <c r="L254" s="1"/>
      <c r="M254" s="4"/>
      <c r="N254" s="59"/>
      <c r="O254" s="76"/>
      <c r="P254" s="59"/>
      <c r="Q254" s="76"/>
      <c r="R254" s="59"/>
      <c r="S254" s="59"/>
    </row>
    <row r="255" spans="1:19" ht="13.2">
      <c r="A255" s="1"/>
      <c r="B255" s="1"/>
      <c r="C255" s="58"/>
      <c r="D255" s="1"/>
      <c r="E255" s="1"/>
      <c r="F255" s="1"/>
      <c r="G255" s="1"/>
      <c r="H255" s="1"/>
      <c r="I255" s="1"/>
      <c r="J255" s="59"/>
      <c r="K255" s="1"/>
      <c r="L255" s="1"/>
      <c r="M255" s="4"/>
      <c r="N255" s="59"/>
      <c r="O255" s="76"/>
      <c r="P255" s="59"/>
      <c r="Q255" s="76"/>
      <c r="R255" s="59"/>
      <c r="S255" s="59"/>
    </row>
    <row r="256" spans="1:19" ht="13.2">
      <c r="A256" s="1"/>
      <c r="B256" s="1"/>
      <c r="C256" s="58"/>
      <c r="D256" s="1"/>
      <c r="E256" s="1"/>
      <c r="F256" s="1"/>
      <c r="G256" s="1"/>
      <c r="H256" s="1"/>
      <c r="I256" s="1"/>
      <c r="J256" s="59"/>
      <c r="K256" s="1"/>
      <c r="L256" s="1"/>
      <c r="M256" s="4"/>
      <c r="N256" s="59"/>
      <c r="O256" s="76"/>
      <c r="P256" s="59"/>
      <c r="Q256" s="76"/>
      <c r="R256" s="59"/>
      <c r="S256" s="59"/>
    </row>
    <row r="257" spans="1:19" ht="13.2">
      <c r="A257" s="1"/>
      <c r="B257" s="1"/>
      <c r="C257" s="58"/>
      <c r="D257" s="1"/>
      <c r="E257" s="1"/>
      <c r="F257" s="1"/>
      <c r="G257" s="1"/>
      <c r="H257" s="1"/>
      <c r="I257" s="1"/>
      <c r="J257" s="59"/>
      <c r="K257" s="1"/>
      <c r="L257" s="1"/>
      <c r="M257" s="4"/>
      <c r="N257" s="59"/>
      <c r="O257" s="76"/>
      <c r="P257" s="59"/>
      <c r="Q257" s="76"/>
      <c r="R257" s="59"/>
      <c r="S257" s="59"/>
    </row>
    <row r="258" spans="1:19" ht="13.2">
      <c r="A258" s="1"/>
      <c r="B258" s="1"/>
      <c r="C258" s="58"/>
      <c r="D258" s="1"/>
      <c r="E258" s="1"/>
      <c r="F258" s="1"/>
      <c r="G258" s="1"/>
      <c r="H258" s="1"/>
      <c r="I258" s="1"/>
      <c r="J258" s="59"/>
      <c r="K258" s="1"/>
      <c r="L258" s="1"/>
      <c r="M258" s="4"/>
      <c r="N258" s="59"/>
      <c r="O258" s="76"/>
      <c r="P258" s="59"/>
      <c r="Q258" s="76"/>
      <c r="R258" s="59"/>
      <c r="S258" s="59"/>
    </row>
    <row r="259" spans="1:19" ht="13.2">
      <c r="A259" s="1"/>
      <c r="B259" s="1"/>
      <c r="C259" s="58"/>
      <c r="D259" s="1"/>
      <c r="E259" s="1"/>
      <c r="F259" s="1"/>
      <c r="G259" s="1"/>
      <c r="H259" s="1"/>
      <c r="I259" s="1"/>
      <c r="J259" s="59"/>
      <c r="K259" s="1"/>
      <c r="L259" s="1"/>
      <c r="M259" s="4"/>
      <c r="N259" s="59"/>
      <c r="O259" s="76"/>
      <c r="P259" s="59"/>
      <c r="Q259" s="76"/>
      <c r="R259" s="59"/>
      <c r="S259" s="59"/>
    </row>
    <row r="260" spans="1:19" ht="13.2">
      <c r="A260" s="1"/>
      <c r="B260" s="1"/>
      <c r="C260" s="58"/>
      <c r="D260" s="1"/>
      <c r="E260" s="1"/>
      <c r="F260" s="1"/>
      <c r="G260" s="1"/>
      <c r="H260" s="1"/>
      <c r="I260" s="1"/>
      <c r="J260" s="59"/>
      <c r="K260" s="1"/>
      <c r="L260" s="1"/>
      <c r="M260" s="4"/>
      <c r="N260" s="59"/>
      <c r="O260" s="76"/>
      <c r="P260" s="59"/>
      <c r="Q260" s="76"/>
      <c r="R260" s="59"/>
      <c r="S260" s="59"/>
    </row>
    <row r="261" spans="1:19" ht="13.2">
      <c r="A261" s="1"/>
      <c r="B261" s="1"/>
      <c r="C261" s="58"/>
      <c r="D261" s="1"/>
      <c r="E261" s="1"/>
      <c r="F261" s="1"/>
      <c r="G261" s="1"/>
      <c r="H261" s="1"/>
      <c r="I261" s="1"/>
      <c r="J261" s="59"/>
      <c r="K261" s="1"/>
      <c r="L261" s="1"/>
      <c r="M261" s="4"/>
      <c r="N261" s="59"/>
      <c r="O261" s="76"/>
      <c r="P261" s="59"/>
      <c r="Q261" s="76"/>
      <c r="R261" s="59"/>
      <c r="S261" s="59"/>
    </row>
    <row r="262" spans="1:19" ht="13.2">
      <c r="A262" s="1"/>
      <c r="B262" s="1"/>
      <c r="C262" s="58"/>
      <c r="D262" s="1"/>
      <c r="E262" s="1"/>
      <c r="F262" s="1"/>
      <c r="G262" s="1"/>
      <c r="H262" s="1"/>
      <c r="I262" s="1"/>
      <c r="J262" s="59"/>
      <c r="K262" s="1"/>
      <c r="L262" s="1"/>
      <c r="M262" s="4"/>
      <c r="N262" s="59"/>
      <c r="O262" s="76"/>
      <c r="P262" s="59"/>
      <c r="Q262" s="76"/>
      <c r="R262" s="59"/>
      <c r="S262" s="59"/>
    </row>
    <row r="263" spans="1:19" ht="13.2">
      <c r="A263" s="1"/>
      <c r="B263" s="1"/>
      <c r="C263" s="58"/>
      <c r="D263" s="1"/>
      <c r="E263" s="1"/>
      <c r="F263" s="1"/>
      <c r="G263" s="1"/>
      <c r="H263" s="1"/>
      <c r="I263" s="1"/>
      <c r="J263" s="59"/>
      <c r="K263" s="1"/>
      <c r="L263" s="1"/>
      <c r="M263" s="4"/>
      <c r="N263" s="59"/>
      <c r="O263" s="76"/>
      <c r="P263" s="59"/>
      <c r="Q263" s="76"/>
      <c r="R263" s="59"/>
      <c r="S263" s="59"/>
    </row>
    <row r="264" spans="1:19" ht="13.2">
      <c r="A264" s="1"/>
      <c r="B264" s="1"/>
      <c r="C264" s="58"/>
      <c r="D264" s="1"/>
      <c r="E264" s="1"/>
      <c r="F264" s="1"/>
      <c r="G264" s="1"/>
      <c r="H264" s="1"/>
      <c r="I264" s="1"/>
      <c r="J264" s="59"/>
      <c r="K264" s="1"/>
      <c r="L264" s="1"/>
      <c r="M264" s="4"/>
      <c r="N264" s="59"/>
      <c r="O264" s="76"/>
      <c r="P264" s="59"/>
      <c r="Q264" s="76"/>
      <c r="R264" s="59"/>
      <c r="S264" s="59"/>
    </row>
    <row r="265" spans="1:19" ht="13.2">
      <c r="A265" s="1"/>
      <c r="B265" s="1"/>
      <c r="C265" s="58"/>
      <c r="D265" s="1"/>
      <c r="E265" s="1"/>
      <c r="F265" s="1"/>
      <c r="G265" s="1"/>
      <c r="H265" s="1"/>
      <c r="I265" s="1"/>
      <c r="J265" s="59"/>
      <c r="K265" s="1"/>
      <c r="L265" s="1"/>
      <c r="M265" s="4"/>
      <c r="N265" s="59"/>
      <c r="O265" s="76"/>
      <c r="P265" s="59"/>
      <c r="Q265" s="76"/>
      <c r="R265" s="59"/>
      <c r="S265" s="59"/>
    </row>
    <row r="266" spans="1:19" ht="13.2">
      <c r="A266" s="1"/>
      <c r="B266" s="1"/>
      <c r="C266" s="58"/>
      <c r="D266" s="1"/>
      <c r="E266" s="1"/>
      <c r="F266" s="1"/>
      <c r="G266" s="1"/>
      <c r="H266" s="1"/>
      <c r="I266" s="1"/>
      <c r="J266" s="59"/>
      <c r="K266" s="1"/>
      <c r="L266" s="1"/>
      <c r="M266" s="4"/>
      <c r="N266" s="59"/>
      <c r="O266" s="76"/>
      <c r="P266" s="59"/>
      <c r="Q266" s="76"/>
      <c r="R266" s="59"/>
      <c r="S266" s="59"/>
    </row>
    <row r="267" spans="1:19" ht="13.2">
      <c r="A267" s="1"/>
      <c r="B267" s="1"/>
      <c r="C267" s="58"/>
      <c r="D267" s="1"/>
      <c r="E267" s="1"/>
      <c r="F267" s="1"/>
      <c r="G267" s="1"/>
      <c r="H267" s="1"/>
      <c r="I267" s="1"/>
      <c r="J267" s="59"/>
      <c r="K267" s="1"/>
      <c r="L267" s="1"/>
      <c r="M267" s="4"/>
      <c r="N267" s="59"/>
      <c r="O267" s="76"/>
      <c r="P267" s="59"/>
      <c r="Q267" s="76"/>
      <c r="R267" s="59"/>
      <c r="S267" s="59"/>
    </row>
    <row r="268" spans="1:19" ht="13.2">
      <c r="A268" s="1"/>
      <c r="B268" s="1"/>
      <c r="C268" s="58"/>
      <c r="D268" s="1"/>
      <c r="E268" s="1"/>
      <c r="F268" s="1"/>
      <c r="G268" s="1"/>
      <c r="H268" s="1"/>
      <c r="I268" s="1"/>
      <c r="J268" s="59"/>
      <c r="K268" s="1"/>
      <c r="L268" s="1"/>
      <c r="M268" s="4"/>
      <c r="N268" s="59"/>
      <c r="O268" s="76"/>
      <c r="P268" s="59"/>
      <c r="Q268" s="76"/>
      <c r="R268" s="59"/>
      <c r="S268" s="59"/>
    </row>
    <row r="269" spans="1:19" ht="13.2">
      <c r="A269" s="1"/>
      <c r="B269" s="1"/>
      <c r="C269" s="58"/>
      <c r="D269" s="1"/>
      <c r="E269" s="1"/>
      <c r="F269" s="1"/>
      <c r="G269" s="1"/>
      <c r="H269" s="1"/>
      <c r="I269" s="1"/>
      <c r="J269" s="59"/>
      <c r="K269" s="1"/>
      <c r="L269" s="1"/>
      <c r="M269" s="4"/>
      <c r="N269" s="59"/>
      <c r="O269" s="76"/>
      <c r="P269" s="59"/>
      <c r="Q269" s="76"/>
      <c r="R269" s="59"/>
      <c r="S269" s="59"/>
    </row>
    <row r="270" spans="1:19" ht="13.2">
      <c r="A270" s="1"/>
      <c r="B270" s="1"/>
      <c r="C270" s="58"/>
      <c r="D270" s="1"/>
      <c r="E270" s="1"/>
      <c r="F270" s="1"/>
      <c r="G270" s="1"/>
      <c r="H270" s="1"/>
      <c r="I270" s="1"/>
      <c r="J270" s="59"/>
      <c r="K270" s="1"/>
      <c r="L270" s="1"/>
      <c r="M270" s="4"/>
      <c r="N270" s="59"/>
      <c r="O270" s="76"/>
      <c r="P270" s="59"/>
      <c r="Q270" s="76"/>
      <c r="R270" s="59"/>
      <c r="S270" s="59"/>
    </row>
    <row r="271" spans="1:19" ht="13.2">
      <c r="A271" s="1"/>
      <c r="B271" s="1"/>
      <c r="C271" s="58"/>
      <c r="D271" s="1"/>
      <c r="E271" s="1"/>
      <c r="F271" s="1"/>
      <c r="G271" s="1"/>
      <c r="H271" s="1"/>
      <c r="I271" s="1"/>
      <c r="J271" s="59"/>
      <c r="K271" s="1"/>
      <c r="L271" s="1"/>
      <c r="M271" s="4"/>
      <c r="N271" s="59"/>
      <c r="O271" s="76"/>
      <c r="P271" s="59"/>
      <c r="Q271" s="76"/>
      <c r="R271" s="59"/>
      <c r="S271" s="59"/>
    </row>
    <row r="272" spans="1:19" ht="13.2">
      <c r="A272" s="1"/>
      <c r="B272" s="1"/>
      <c r="C272" s="58"/>
      <c r="D272" s="1"/>
      <c r="E272" s="1"/>
      <c r="F272" s="1"/>
      <c r="G272" s="1"/>
      <c r="H272" s="1"/>
      <c r="I272" s="1"/>
      <c r="J272" s="59"/>
      <c r="K272" s="1"/>
      <c r="L272" s="1"/>
      <c r="M272" s="4"/>
      <c r="N272" s="59"/>
      <c r="O272" s="76"/>
      <c r="P272" s="59"/>
      <c r="Q272" s="76"/>
      <c r="R272" s="59"/>
      <c r="S272" s="59"/>
    </row>
    <row r="273" spans="1:19" ht="13.2">
      <c r="A273" s="1"/>
      <c r="B273" s="1"/>
      <c r="C273" s="58"/>
      <c r="D273" s="1"/>
      <c r="E273" s="1"/>
      <c r="F273" s="1"/>
      <c r="G273" s="1"/>
      <c r="H273" s="1"/>
      <c r="I273" s="1"/>
      <c r="J273" s="59"/>
      <c r="K273" s="1"/>
      <c r="L273" s="1"/>
      <c r="M273" s="4"/>
      <c r="N273" s="59"/>
      <c r="O273" s="76"/>
      <c r="P273" s="59"/>
      <c r="Q273" s="76"/>
      <c r="R273" s="59"/>
      <c r="S273" s="59"/>
    </row>
    <row r="274" spans="1:19" ht="13.2">
      <c r="A274" s="1"/>
      <c r="B274" s="1"/>
      <c r="C274" s="58"/>
      <c r="D274" s="1"/>
      <c r="E274" s="1"/>
      <c r="F274" s="1"/>
      <c r="G274" s="1"/>
      <c r="H274" s="1"/>
      <c r="I274" s="1"/>
      <c r="J274" s="59"/>
      <c r="K274" s="1"/>
      <c r="L274" s="1"/>
      <c r="M274" s="4"/>
      <c r="N274" s="59"/>
      <c r="O274" s="76"/>
      <c r="P274" s="59"/>
      <c r="Q274" s="76"/>
      <c r="R274" s="59"/>
      <c r="S274" s="59"/>
    </row>
    <row r="275" spans="1:19" ht="13.2">
      <c r="A275" s="1"/>
      <c r="B275" s="1"/>
      <c r="C275" s="58"/>
      <c r="D275" s="1"/>
      <c r="E275" s="1"/>
      <c r="F275" s="1"/>
      <c r="G275" s="1"/>
      <c r="H275" s="1"/>
      <c r="I275" s="1"/>
      <c r="J275" s="59"/>
      <c r="K275" s="1"/>
      <c r="L275" s="1"/>
      <c r="M275" s="4"/>
      <c r="N275" s="59"/>
      <c r="O275" s="76"/>
      <c r="P275" s="59"/>
      <c r="Q275" s="76"/>
      <c r="R275" s="59"/>
      <c r="S275" s="59"/>
    </row>
    <row r="276" spans="1:19" ht="13.2">
      <c r="A276" s="1"/>
      <c r="B276" s="1"/>
      <c r="C276" s="58"/>
      <c r="D276" s="1"/>
      <c r="E276" s="1"/>
      <c r="F276" s="1"/>
      <c r="G276" s="1"/>
      <c r="H276" s="1"/>
      <c r="I276" s="1"/>
      <c r="J276" s="59"/>
      <c r="K276" s="1"/>
      <c r="L276" s="1"/>
      <c r="M276" s="4"/>
      <c r="N276" s="59"/>
      <c r="O276" s="76"/>
      <c r="P276" s="59"/>
      <c r="Q276" s="76"/>
      <c r="R276" s="59"/>
      <c r="S276" s="59"/>
    </row>
    <row r="277" spans="1:19" ht="13.2">
      <c r="A277" s="1"/>
      <c r="B277" s="1"/>
      <c r="C277" s="58"/>
      <c r="D277" s="1"/>
      <c r="E277" s="1"/>
      <c r="F277" s="1"/>
      <c r="G277" s="1"/>
      <c r="H277" s="1"/>
      <c r="I277" s="1"/>
      <c r="J277" s="59"/>
      <c r="K277" s="1"/>
      <c r="L277" s="1"/>
      <c r="M277" s="4"/>
      <c r="N277" s="59"/>
      <c r="O277" s="76"/>
      <c r="P277" s="59"/>
      <c r="Q277" s="76"/>
      <c r="R277" s="59"/>
      <c r="S277" s="59"/>
    </row>
    <row r="278" spans="1:19" ht="13.2">
      <c r="A278" s="1"/>
      <c r="B278" s="1"/>
      <c r="C278" s="58"/>
      <c r="D278" s="1"/>
      <c r="E278" s="1"/>
      <c r="F278" s="1"/>
      <c r="G278" s="1"/>
      <c r="H278" s="1"/>
      <c r="I278" s="1"/>
      <c r="J278" s="59"/>
      <c r="K278" s="1"/>
      <c r="L278" s="1"/>
      <c r="M278" s="4"/>
      <c r="N278" s="59"/>
      <c r="O278" s="76"/>
      <c r="P278" s="59"/>
      <c r="Q278" s="76"/>
      <c r="R278" s="59"/>
      <c r="S278" s="59"/>
    </row>
    <row r="279" spans="1:19" ht="13.2">
      <c r="A279" s="1"/>
      <c r="B279" s="1"/>
      <c r="C279" s="58"/>
      <c r="D279" s="1"/>
      <c r="E279" s="1"/>
      <c r="F279" s="1"/>
      <c r="G279" s="1"/>
      <c r="H279" s="1"/>
      <c r="I279" s="1"/>
      <c r="J279" s="59"/>
      <c r="K279" s="1"/>
      <c r="L279" s="1"/>
      <c r="M279" s="4"/>
      <c r="N279" s="59"/>
      <c r="O279" s="76"/>
      <c r="P279" s="59"/>
      <c r="Q279" s="76"/>
      <c r="R279" s="59"/>
      <c r="S279" s="59"/>
    </row>
    <row r="280" spans="1:19" ht="13.2">
      <c r="A280" s="1"/>
      <c r="B280" s="1"/>
      <c r="C280" s="58"/>
      <c r="D280" s="1"/>
      <c r="E280" s="1"/>
      <c r="F280" s="1"/>
      <c r="G280" s="1"/>
      <c r="H280" s="1"/>
      <c r="I280" s="1"/>
      <c r="J280" s="59"/>
      <c r="K280" s="1"/>
      <c r="L280" s="1"/>
      <c r="M280" s="4"/>
      <c r="N280" s="59"/>
      <c r="O280" s="76"/>
      <c r="P280" s="59"/>
      <c r="Q280" s="76"/>
      <c r="R280" s="59"/>
      <c r="S280" s="59"/>
    </row>
    <row r="281" spans="1:19" ht="13.2">
      <c r="A281" s="1"/>
      <c r="B281" s="1"/>
      <c r="C281" s="58"/>
      <c r="D281" s="1"/>
      <c r="E281" s="1"/>
      <c r="F281" s="1"/>
      <c r="G281" s="1"/>
      <c r="H281" s="1"/>
      <c r="I281" s="1"/>
      <c r="J281" s="59"/>
      <c r="K281" s="1"/>
      <c r="L281" s="1"/>
      <c r="M281" s="4"/>
      <c r="N281" s="59"/>
      <c r="O281" s="76"/>
      <c r="P281" s="59"/>
      <c r="Q281" s="76"/>
      <c r="R281" s="59"/>
      <c r="S281" s="59"/>
    </row>
    <row r="282" spans="1:19" ht="13.2">
      <c r="A282" s="1"/>
      <c r="B282" s="1"/>
      <c r="C282" s="58"/>
      <c r="D282" s="1"/>
      <c r="E282" s="1"/>
      <c r="F282" s="1"/>
      <c r="G282" s="1"/>
      <c r="H282" s="1"/>
      <c r="I282" s="1"/>
      <c r="J282" s="59"/>
      <c r="K282" s="1"/>
      <c r="L282" s="1"/>
      <c r="M282" s="4"/>
      <c r="N282" s="59"/>
      <c r="O282" s="76"/>
      <c r="P282" s="59"/>
      <c r="Q282" s="76"/>
      <c r="R282" s="59"/>
      <c r="S282" s="59"/>
    </row>
    <row r="283" spans="1:19" ht="13.2">
      <c r="A283" s="1"/>
      <c r="B283" s="1"/>
      <c r="C283" s="58"/>
      <c r="D283" s="1"/>
      <c r="E283" s="1"/>
      <c r="F283" s="1"/>
      <c r="G283" s="1"/>
      <c r="H283" s="1"/>
      <c r="I283" s="1"/>
      <c r="J283" s="59"/>
      <c r="K283" s="1"/>
      <c r="L283" s="1"/>
      <c r="M283" s="4"/>
      <c r="N283" s="59"/>
      <c r="O283" s="76"/>
      <c r="P283" s="59"/>
      <c r="Q283" s="76"/>
      <c r="R283" s="59"/>
      <c r="S283" s="59"/>
    </row>
    <row r="284" spans="1:19" ht="13.2">
      <c r="A284" s="1"/>
      <c r="B284" s="1"/>
      <c r="C284" s="58"/>
      <c r="D284" s="1"/>
      <c r="E284" s="1"/>
      <c r="F284" s="1"/>
      <c r="G284" s="1"/>
      <c r="H284" s="1"/>
      <c r="I284" s="1"/>
      <c r="J284" s="59"/>
      <c r="K284" s="1"/>
      <c r="L284" s="1"/>
      <c r="M284" s="4"/>
      <c r="N284" s="59"/>
      <c r="O284" s="76"/>
      <c r="P284" s="59"/>
      <c r="Q284" s="76"/>
      <c r="R284" s="59"/>
      <c r="S284" s="59"/>
    </row>
    <row r="285" spans="1:19" ht="13.2">
      <c r="A285" s="1"/>
      <c r="B285" s="1"/>
      <c r="C285" s="58"/>
      <c r="D285" s="1"/>
      <c r="E285" s="1"/>
      <c r="F285" s="1"/>
      <c r="G285" s="1"/>
      <c r="H285" s="1"/>
      <c r="I285" s="1"/>
      <c r="J285" s="59"/>
      <c r="K285" s="1"/>
      <c r="L285" s="1"/>
      <c r="M285" s="4"/>
      <c r="N285" s="59"/>
      <c r="O285" s="76"/>
      <c r="P285" s="59"/>
      <c r="Q285" s="76"/>
      <c r="R285" s="59"/>
      <c r="S285" s="59"/>
    </row>
    <row r="286" spans="1:19" ht="13.2">
      <c r="A286" s="1"/>
      <c r="B286" s="1"/>
      <c r="C286" s="58"/>
      <c r="D286" s="1"/>
      <c r="E286" s="1"/>
      <c r="F286" s="1"/>
      <c r="G286" s="1"/>
      <c r="H286" s="1"/>
      <c r="I286" s="1"/>
      <c r="J286" s="59"/>
      <c r="K286" s="1"/>
      <c r="L286" s="1"/>
      <c r="M286" s="4"/>
      <c r="N286" s="4"/>
      <c r="O286" s="107"/>
      <c r="P286" s="4"/>
      <c r="Q286" s="107"/>
      <c r="R286" s="4"/>
      <c r="S286" s="4"/>
    </row>
    <row r="287" spans="1:19" ht="15.6">
      <c r="A287" s="1"/>
      <c r="B287" s="84"/>
      <c r="C287" s="74"/>
      <c r="D287" s="211" t="s">
        <v>274</v>
      </c>
      <c r="E287" s="194"/>
      <c r="F287" s="194"/>
      <c r="G287" s="194"/>
      <c r="H287" s="23" t="s">
        <v>250</v>
      </c>
      <c r="I287" s="199">
        <v>45480</v>
      </c>
      <c r="J287" s="194"/>
      <c r="K287" s="85"/>
      <c r="L287" s="75"/>
      <c r="M287" s="4"/>
      <c r="N287" s="59"/>
      <c r="O287" s="76"/>
      <c r="P287" s="59"/>
      <c r="Q287" s="76"/>
      <c r="R287" s="59"/>
      <c r="S287" s="59"/>
    </row>
    <row r="288" spans="1:19" ht="15.6">
      <c r="A288" s="1"/>
      <c r="B288" s="86"/>
      <c r="C288" s="73"/>
      <c r="D288" s="208"/>
      <c r="E288" s="194"/>
      <c r="F288" s="194"/>
      <c r="G288" s="23"/>
      <c r="H288" s="23" t="s">
        <v>108</v>
      </c>
      <c r="I288" s="85" t="s">
        <v>109</v>
      </c>
      <c r="J288" s="87"/>
      <c r="K288" s="85"/>
      <c r="L288" s="88"/>
      <c r="M288" s="4"/>
      <c r="N288" s="59"/>
      <c r="O288" s="76"/>
      <c r="P288" s="59"/>
      <c r="Q288" s="76"/>
      <c r="R288" s="59"/>
      <c r="S288" s="59"/>
    </row>
    <row r="289" spans="1:19" ht="15.6">
      <c r="A289" s="1"/>
      <c r="B289" s="20"/>
      <c r="C289" s="89"/>
      <c r="D289" s="216" t="s">
        <v>251</v>
      </c>
      <c r="E289" s="194"/>
      <c r="F289" s="194"/>
      <c r="G289" s="194"/>
      <c r="H289" s="194"/>
      <c r="I289" s="194"/>
      <c r="J289" s="194"/>
      <c r="K289" s="194"/>
      <c r="L289" s="88"/>
      <c r="M289" s="4"/>
      <c r="N289" s="59"/>
      <c r="O289" s="90"/>
      <c r="P289" s="91"/>
      <c r="Q289" s="90"/>
      <c r="R289" s="92"/>
      <c r="S289" s="91"/>
    </row>
    <row r="290" spans="1:19" ht="15.6">
      <c r="A290" s="1"/>
      <c r="B290" s="27"/>
      <c r="C290" s="209" t="s">
        <v>32</v>
      </c>
      <c r="D290" s="201"/>
      <c r="E290" s="200" t="s">
        <v>12</v>
      </c>
      <c r="F290" s="201"/>
      <c r="G290" s="201"/>
      <c r="H290" s="201"/>
      <c r="I290" s="201"/>
      <c r="J290" s="201"/>
      <c r="K290" s="201"/>
      <c r="L290" s="27"/>
      <c r="M290" s="4"/>
      <c r="N290" s="93"/>
      <c r="O290" s="76"/>
      <c r="P290" s="92"/>
      <c r="Q290" s="210"/>
      <c r="R290" s="194"/>
      <c r="S290" s="92"/>
    </row>
    <row r="291" spans="1:19" ht="15.6">
      <c r="A291" s="1"/>
      <c r="B291" s="94"/>
      <c r="C291" s="212" t="s">
        <v>252</v>
      </c>
      <c r="D291" s="188"/>
      <c r="E291" s="213">
        <v>19</v>
      </c>
      <c r="F291" s="201"/>
      <c r="G291" s="201"/>
      <c r="H291" s="201"/>
      <c r="I291" s="201"/>
      <c r="J291" s="201"/>
      <c r="K291" s="201"/>
      <c r="L291" s="27"/>
      <c r="M291" s="4"/>
      <c r="N291" s="93"/>
      <c r="O291" s="90"/>
      <c r="P291" s="92"/>
      <c r="Q291" s="210"/>
      <c r="R291" s="194"/>
      <c r="S291" s="59"/>
    </row>
    <row r="292" spans="1:19" ht="13.2">
      <c r="A292" s="1"/>
      <c r="B292" s="95"/>
      <c r="C292" s="96" t="s">
        <v>253</v>
      </c>
      <c r="D292" s="214" t="s">
        <v>33</v>
      </c>
      <c r="E292" s="188"/>
      <c r="F292" s="97" t="s">
        <v>254</v>
      </c>
      <c r="G292" s="214" t="s">
        <v>35</v>
      </c>
      <c r="H292" s="188"/>
      <c r="I292" s="98" t="s">
        <v>254</v>
      </c>
      <c r="J292" s="99" t="s">
        <v>37</v>
      </c>
      <c r="K292" s="98"/>
      <c r="L292" s="100"/>
      <c r="M292" s="4"/>
      <c r="N292" s="93" t="s">
        <v>253</v>
      </c>
      <c r="O292" s="92" t="s">
        <v>255</v>
      </c>
      <c r="P292" s="92" t="s">
        <v>256</v>
      </c>
      <c r="Q292" s="92" t="s">
        <v>257</v>
      </c>
      <c r="R292" s="92" t="s">
        <v>258</v>
      </c>
      <c r="S292" s="93" t="s">
        <v>37</v>
      </c>
    </row>
    <row r="293" spans="1:19" ht="13.2">
      <c r="A293" s="1"/>
      <c r="B293" s="101"/>
      <c r="C293" s="221" t="s">
        <v>4</v>
      </c>
      <c r="D293" s="215" t="s">
        <v>246</v>
      </c>
      <c r="E293" s="197"/>
      <c r="F293" s="103" t="s">
        <v>125</v>
      </c>
      <c r="G293" s="215" t="s">
        <v>247</v>
      </c>
      <c r="H293" s="198"/>
      <c r="I293" s="103" t="s">
        <v>242</v>
      </c>
      <c r="J293" s="104">
        <v>174.39</v>
      </c>
      <c r="K293" s="102"/>
      <c r="L293" s="105"/>
      <c r="M293" s="4"/>
      <c r="N293" s="106" t="e">
        <v>#NAME?</v>
      </c>
      <c r="O293" s="76" t="s">
        <v>246</v>
      </c>
      <c r="P293" s="91" t="s">
        <v>125</v>
      </c>
      <c r="Q293" s="76" t="s">
        <v>247</v>
      </c>
      <c r="R293" s="91" t="s">
        <v>242</v>
      </c>
      <c r="S293" s="59">
        <v>174.39</v>
      </c>
    </row>
    <row r="294" spans="1:19" ht="13.2">
      <c r="A294" s="1"/>
      <c r="B294" s="101"/>
      <c r="C294" s="221" t="s">
        <v>6</v>
      </c>
      <c r="D294" s="215" t="s">
        <v>222</v>
      </c>
      <c r="E294" s="197"/>
      <c r="F294" s="103" t="s">
        <v>74</v>
      </c>
      <c r="G294" s="215" t="s">
        <v>223</v>
      </c>
      <c r="H294" s="198"/>
      <c r="I294" s="103" t="s">
        <v>74</v>
      </c>
      <c r="J294" s="104">
        <v>133.77000000000001</v>
      </c>
      <c r="K294" s="102"/>
      <c r="L294" s="105"/>
      <c r="M294" s="4"/>
      <c r="N294" s="106" t="e">
        <v>#NAME?</v>
      </c>
      <c r="O294" s="76" t="s">
        <v>222</v>
      </c>
      <c r="P294" s="91" t="s">
        <v>74</v>
      </c>
      <c r="Q294" s="76" t="s">
        <v>223</v>
      </c>
      <c r="R294" s="91" t="s">
        <v>74</v>
      </c>
      <c r="S294" s="59">
        <v>133.77000000000001</v>
      </c>
    </row>
    <row r="295" spans="1:19" ht="13.2">
      <c r="A295" s="1"/>
      <c r="B295" s="101"/>
      <c r="C295" s="221" t="s">
        <v>8</v>
      </c>
      <c r="D295" s="215" t="s">
        <v>211</v>
      </c>
      <c r="E295" s="197"/>
      <c r="F295" s="103" t="s">
        <v>154</v>
      </c>
      <c r="G295" s="215" t="s">
        <v>212</v>
      </c>
      <c r="H295" s="198"/>
      <c r="I295" s="103" t="s">
        <v>213</v>
      </c>
      <c r="J295" s="104">
        <v>132.66</v>
      </c>
      <c r="K295" s="102"/>
      <c r="L295" s="105"/>
      <c r="M295" s="4"/>
      <c r="N295" s="106" t="e">
        <v>#NAME?</v>
      </c>
      <c r="O295" s="76" t="s">
        <v>211</v>
      </c>
      <c r="P295" s="91" t="s">
        <v>154</v>
      </c>
      <c r="Q295" s="76" t="s">
        <v>212</v>
      </c>
      <c r="R295" s="91" t="s">
        <v>213</v>
      </c>
      <c r="S295" s="59">
        <v>132.66</v>
      </c>
    </row>
    <row r="296" spans="1:19" ht="13.2">
      <c r="A296" s="1"/>
      <c r="B296" s="101"/>
      <c r="C296" s="221" t="s">
        <v>11</v>
      </c>
      <c r="D296" s="215" t="s">
        <v>237</v>
      </c>
      <c r="E296" s="197"/>
      <c r="F296" s="103" t="s">
        <v>40</v>
      </c>
      <c r="G296" s="215" t="s">
        <v>238</v>
      </c>
      <c r="H296" s="198"/>
      <c r="I296" s="103" t="s">
        <v>86</v>
      </c>
      <c r="J296" s="104">
        <v>120</v>
      </c>
      <c r="K296" s="102"/>
      <c r="L296" s="105"/>
      <c r="M296" s="4"/>
      <c r="N296" s="106" t="e">
        <v>#NAME?</v>
      </c>
      <c r="O296" s="76" t="s">
        <v>237</v>
      </c>
      <c r="P296" s="91" t="s">
        <v>40</v>
      </c>
      <c r="Q296" s="76" t="s">
        <v>238</v>
      </c>
      <c r="R296" s="91" t="s">
        <v>86</v>
      </c>
      <c r="S296" s="59">
        <v>120</v>
      </c>
    </row>
    <row r="297" spans="1:19" ht="13.2">
      <c r="A297" s="1"/>
      <c r="B297" s="101"/>
      <c r="C297" s="221" t="s">
        <v>275</v>
      </c>
      <c r="D297" s="215" t="s">
        <v>220</v>
      </c>
      <c r="E297" s="197"/>
      <c r="F297" s="103" t="s">
        <v>74</v>
      </c>
      <c r="G297" s="215" t="s">
        <v>221</v>
      </c>
      <c r="H297" s="198"/>
      <c r="I297" s="103" t="s">
        <v>74</v>
      </c>
      <c r="J297" s="104">
        <v>110.64</v>
      </c>
      <c r="K297" s="102"/>
      <c r="L297" s="105"/>
      <c r="M297" s="4"/>
      <c r="N297" s="106" t="e">
        <v>#NAME?</v>
      </c>
      <c r="O297" s="76" t="s">
        <v>220</v>
      </c>
      <c r="P297" s="91" t="s">
        <v>74</v>
      </c>
      <c r="Q297" s="76" t="s">
        <v>221</v>
      </c>
      <c r="R297" s="91" t="s">
        <v>74</v>
      </c>
      <c r="S297" s="59">
        <v>110.64</v>
      </c>
    </row>
    <row r="298" spans="1:19" ht="13.2">
      <c r="A298" s="1"/>
      <c r="B298" s="101"/>
      <c r="C298" s="221" t="s">
        <v>276</v>
      </c>
      <c r="D298" s="215" t="s">
        <v>228</v>
      </c>
      <c r="E298" s="197"/>
      <c r="F298" s="103" t="s">
        <v>176</v>
      </c>
      <c r="G298" s="215" t="s">
        <v>229</v>
      </c>
      <c r="H298" s="198"/>
      <c r="I298" s="103" t="s">
        <v>176</v>
      </c>
      <c r="J298" s="104">
        <v>108.3</v>
      </c>
      <c r="K298" s="102"/>
      <c r="L298" s="105"/>
      <c r="M298" s="4"/>
      <c r="N298" s="106" t="e">
        <v>#NAME?</v>
      </c>
      <c r="O298" s="76" t="s">
        <v>228</v>
      </c>
      <c r="P298" s="91" t="s">
        <v>176</v>
      </c>
      <c r="Q298" s="76" t="s">
        <v>229</v>
      </c>
      <c r="R298" s="91" t="s">
        <v>176</v>
      </c>
      <c r="S298" s="59">
        <v>108.3</v>
      </c>
    </row>
    <row r="299" spans="1:19" ht="13.2">
      <c r="A299" s="1"/>
      <c r="B299" s="101"/>
      <c r="C299" s="221" t="s">
        <v>277</v>
      </c>
      <c r="D299" s="215" t="s">
        <v>244</v>
      </c>
      <c r="E299" s="197"/>
      <c r="F299" s="103" t="s">
        <v>139</v>
      </c>
      <c r="G299" s="215" t="s">
        <v>245</v>
      </c>
      <c r="H299" s="198"/>
      <c r="I299" s="103" t="s">
        <v>217</v>
      </c>
      <c r="J299" s="104">
        <v>97.32</v>
      </c>
      <c r="K299" s="102"/>
      <c r="L299" s="105"/>
      <c r="M299" s="4"/>
      <c r="N299" s="106" t="e">
        <v>#NAME?</v>
      </c>
      <c r="O299" s="76" t="s">
        <v>244</v>
      </c>
      <c r="P299" s="91" t="s">
        <v>139</v>
      </c>
      <c r="Q299" s="76" t="s">
        <v>245</v>
      </c>
      <c r="R299" s="91" t="s">
        <v>217</v>
      </c>
      <c r="S299" s="59">
        <v>97.32</v>
      </c>
    </row>
    <row r="300" spans="1:19" ht="13.2">
      <c r="A300" s="1"/>
      <c r="B300" s="101"/>
      <c r="C300" s="221" t="s">
        <v>15</v>
      </c>
      <c r="D300" s="215" t="s">
        <v>248</v>
      </c>
      <c r="E300" s="197"/>
      <c r="F300" s="103" t="s">
        <v>154</v>
      </c>
      <c r="G300" s="215" t="s">
        <v>249</v>
      </c>
      <c r="H300" s="198"/>
      <c r="I300" s="103" t="s">
        <v>154</v>
      </c>
      <c r="J300" s="104">
        <v>93.51</v>
      </c>
      <c r="K300" s="102"/>
      <c r="L300" s="105"/>
      <c r="M300" s="4"/>
      <c r="N300" s="106" t="e">
        <v>#NAME?</v>
      </c>
      <c r="O300" s="76" t="s">
        <v>248</v>
      </c>
      <c r="P300" s="91" t="s">
        <v>154</v>
      </c>
      <c r="Q300" s="76" t="s">
        <v>249</v>
      </c>
      <c r="R300" s="91" t="s">
        <v>154</v>
      </c>
      <c r="S300" s="59">
        <v>93.51</v>
      </c>
    </row>
    <row r="301" spans="1:19" ht="13.2">
      <c r="A301" s="1"/>
      <c r="B301" s="101"/>
      <c r="C301" s="221" t="s">
        <v>278</v>
      </c>
      <c r="D301" s="215" t="s">
        <v>226</v>
      </c>
      <c r="E301" s="197"/>
      <c r="F301" s="103" t="s">
        <v>71</v>
      </c>
      <c r="G301" s="215" t="s">
        <v>227</v>
      </c>
      <c r="H301" s="198"/>
      <c r="I301" s="103" t="s">
        <v>71</v>
      </c>
      <c r="J301" s="104">
        <v>89.37</v>
      </c>
      <c r="K301" s="102"/>
      <c r="L301" s="105"/>
      <c r="M301" s="4"/>
      <c r="N301" s="106" t="e">
        <v>#NAME?</v>
      </c>
      <c r="O301" s="76" t="s">
        <v>226</v>
      </c>
      <c r="P301" s="91" t="s">
        <v>71</v>
      </c>
      <c r="Q301" s="76" t="s">
        <v>227</v>
      </c>
      <c r="R301" s="91" t="s">
        <v>71</v>
      </c>
      <c r="S301" s="59">
        <v>89.37</v>
      </c>
    </row>
    <row r="302" spans="1:19" ht="13.2">
      <c r="A302" s="1"/>
      <c r="B302" s="101"/>
      <c r="C302" s="221" t="s">
        <v>279</v>
      </c>
      <c r="D302" s="215" t="s">
        <v>241</v>
      </c>
      <c r="E302" s="197"/>
      <c r="F302" s="103" t="s">
        <v>242</v>
      </c>
      <c r="G302" s="215" t="s">
        <v>243</v>
      </c>
      <c r="H302" s="198"/>
      <c r="I302" s="103" t="s">
        <v>242</v>
      </c>
      <c r="J302" s="104">
        <v>88.14</v>
      </c>
      <c r="K302" s="102"/>
      <c r="L302" s="105"/>
      <c r="M302" s="4"/>
      <c r="N302" s="106" t="e">
        <v>#NAME?</v>
      </c>
      <c r="O302" s="76" t="s">
        <v>241</v>
      </c>
      <c r="P302" s="91" t="s">
        <v>242</v>
      </c>
      <c r="Q302" s="76" t="s">
        <v>243</v>
      </c>
      <c r="R302" s="91" t="s">
        <v>242</v>
      </c>
      <c r="S302" s="59">
        <v>88.14</v>
      </c>
    </row>
    <row r="303" spans="1:19" ht="13.2">
      <c r="A303" s="1"/>
      <c r="B303" s="101"/>
      <c r="C303" s="221" t="s">
        <v>280</v>
      </c>
      <c r="D303" s="215" t="s">
        <v>208</v>
      </c>
      <c r="E303" s="197"/>
      <c r="F303" s="103" t="s">
        <v>209</v>
      </c>
      <c r="G303" s="215" t="s">
        <v>210</v>
      </c>
      <c r="H303" s="198"/>
      <c r="I303" s="103" t="s">
        <v>209</v>
      </c>
      <c r="J303" s="104">
        <v>85.77</v>
      </c>
      <c r="K303" s="102"/>
      <c r="L303" s="105"/>
      <c r="M303" s="4"/>
      <c r="N303" s="106" t="e">
        <v>#NAME?</v>
      </c>
      <c r="O303" s="76" t="s">
        <v>208</v>
      </c>
      <c r="P303" s="91" t="s">
        <v>209</v>
      </c>
      <c r="Q303" s="76" t="s">
        <v>210</v>
      </c>
      <c r="R303" s="91" t="s">
        <v>209</v>
      </c>
      <c r="S303" s="59">
        <v>85.77</v>
      </c>
    </row>
    <row r="304" spans="1:19" ht="13.2">
      <c r="A304" s="1"/>
      <c r="B304" s="101"/>
      <c r="C304" s="221" t="s">
        <v>281</v>
      </c>
      <c r="D304" s="215" t="s">
        <v>224</v>
      </c>
      <c r="E304" s="197"/>
      <c r="F304" s="103" t="s">
        <v>209</v>
      </c>
      <c r="G304" s="215" t="s">
        <v>225</v>
      </c>
      <c r="H304" s="198"/>
      <c r="I304" s="103" t="s">
        <v>209</v>
      </c>
      <c r="J304" s="104">
        <v>84.45</v>
      </c>
      <c r="K304" s="102"/>
      <c r="L304" s="105"/>
      <c r="M304" s="4"/>
      <c r="N304" s="106" t="e">
        <v>#NAME?</v>
      </c>
      <c r="O304" s="76" t="s">
        <v>224</v>
      </c>
      <c r="P304" s="91" t="s">
        <v>209</v>
      </c>
      <c r="Q304" s="76" t="s">
        <v>225</v>
      </c>
      <c r="R304" s="91" t="s">
        <v>209</v>
      </c>
      <c r="S304" s="59">
        <v>84.45</v>
      </c>
    </row>
    <row r="305" spans="1:19" ht="13.2">
      <c r="A305" s="1"/>
      <c r="B305" s="101"/>
      <c r="C305" s="221" t="s">
        <v>282</v>
      </c>
      <c r="D305" s="215" t="s">
        <v>206</v>
      </c>
      <c r="E305" s="197"/>
      <c r="F305" s="103" t="s">
        <v>43</v>
      </c>
      <c r="G305" s="215" t="s">
        <v>207</v>
      </c>
      <c r="H305" s="198"/>
      <c r="I305" s="103" t="s">
        <v>43</v>
      </c>
      <c r="J305" s="104">
        <v>81.39</v>
      </c>
      <c r="K305" s="102"/>
      <c r="L305" s="105"/>
      <c r="M305" s="4"/>
      <c r="N305" s="106" t="e">
        <v>#NAME?</v>
      </c>
      <c r="O305" s="76" t="s">
        <v>206</v>
      </c>
      <c r="P305" s="91" t="s">
        <v>43</v>
      </c>
      <c r="Q305" s="76" t="s">
        <v>207</v>
      </c>
      <c r="R305" s="91" t="s">
        <v>43</v>
      </c>
      <c r="S305" s="59">
        <v>81.39</v>
      </c>
    </row>
    <row r="306" spans="1:19" ht="13.2">
      <c r="A306" s="1"/>
      <c r="B306" s="101"/>
      <c r="C306" s="221" t="s">
        <v>283</v>
      </c>
      <c r="D306" s="215" t="s">
        <v>232</v>
      </c>
      <c r="E306" s="197"/>
      <c r="F306" s="103" t="s">
        <v>81</v>
      </c>
      <c r="G306" s="215" t="s">
        <v>233</v>
      </c>
      <c r="H306" s="198"/>
      <c r="I306" s="103" t="s">
        <v>81</v>
      </c>
      <c r="J306" s="104">
        <v>79.349999999999994</v>
      </c>
      <c r="K306" s="102"/>
      <c r="L306" s="105"/>
      <c r="M306" s="4"/>
      <c r="N306" s="106" t="e">
        <v>#NAME?</v>
      </c>
      <c r="O306" s="76" t="s">
        <v>232</v>
      </c>
      <c r="P306" s="91" t="s">
        <v>81</v>
      </c>
      <c r="Q306" s="76" t="s">
        <v>233</v>
      </c>
      <c r="R306" s="91" t="s">
        <v>81</v>
      </c>
      <c r="S306" s="59">
        <v>79.349999999999994</v>
      </c>
    </row>
    <row r="307" spans="1:19" ht="13.2">
      <c r="A307" s="1"/>
      <c r="B307" s="101"/>
      <c r="C307" s="221" t="s">
        <v>284</v>
      </c>
      <c r="D307" s="215" t="s">
        <v>234</v>
      </c>
      <c r="E307" s="197"/>
      <c r="F307" s="103" t="s">
        <v>235</v>
      </c>
      <c r="G307" s="215" t="s">
        <v>236</v>
      </c>
      <c r="H307" s="198"/>
      <c r="I307" s="103" t="s">
        <v>235</v>
      </c>
      <c r="J307" s="104">
        <v>77.400000000000006</v>
      </c>
      <c r="K307" s="102"/>
      <c r="L307" s="105"/>
      <c r="M307" s="4"/>
      <c r="N307" s="106" t="e">
        <v>#NAME?</v>
      </c>
      <c r="O307" s="76" t="s">
        <v>234</v>
      </c>
      <c r="P307" s="91" t="s">
        <v>235</v>
      </c>
      <c r="Q307" s="76" t="s">
        <v>236</v>
      </c>
      <c r="R307" s="91" t="s">
        <v>235</v>
      </c>
      <c r="S307" s="59">
        <v>77.400000000000006</v>
      </c>
    </row>
    <row r="308" spans="1:19" ht="13.2">
      <c r="A308" s="1"/>
      <c r="B308" s="101"/>
      <c r="C308" s="221" t="s">
        <v>285</v>
      </c>
      <c r="D308" s="215" t="s">
        <v>218</v>
      </c>
      <c r="E308" s="197"/>
      <c r="F308" s="103" t="s">
        <v>61</v>
      </c>
      <c r="G308" s="215" t="s">
        <v>219</v>
      </c>
      <c r="H308" s="198"/>
      <c r="I308" s="103" t="s">
        <v>61</v>
      </c>
      <c r="J308" s="104">
        <v>70.11</v>
      </c>
      <c r="K308" s="102"/>
      <c r="L308" s="105"/>
      <c r="M308" s="4"/>
      <c r="N308" s="106" t="e">
        <v>#NAME?</v>
      </c>
      <c r="O308" s="76" t="s">
        <v>218</v>
      </c>
      <c r="P308" s="91" t="s">
        <v>61</v>
      </c>
      <c r="Q308" s="76" t="s">
        <v>219</v>
      </c>
      <c r="R308" s="91" t="s">
        <v>61</v>
      </c>
      <c r="S308" s="59">
        <v>70.11</v>
      </c>
    </row>
    <row r="309" spans="1:19" ht="13.2">
      <c r="A309" s="1"/>
      <c r="B309" s="101"/>
      <c r="C309" s="221" t="s">
        <v>286</v>
      </c>
      <c r="D309" s="215" t="s">
        <v>239</v>
      </c>
      <c r="E309" s="197"/>
      <c r="F309" s="103" t="s">
        <v>40</v>
      </c>
      <c r="G309" s="215" t="s">
        <v>240</v>
      </c>
      <c r="H309" s="198"/>
      <c r="I309" s="103" t="s">
        <v>40</v>
      </c>
      <c r="J309" s="104">
        <v>69.06</v>
      </c>
      <c r="K309" s="102"/>
      <c r="L309" s="105"/>
      <c r="M309" s="4"/>
      <c r="N309" s="106" t="e">
        <v>#NAME?</v>
      </c>
      <c r="O309" s="76" t="s">
        <v>239</v>
      </c>
      <c r="P309" s="91" t="s">
        <v>40</v>
      </c>
      <c r="Q309" s="76" t="s">
        <v>240</v>
      </c>
      <c r="R309" s="91" t="s">
        <v>40</v>
      </c>
      <c r="S309" s="59">
        <v>69.06</v>
      </c>
    </row>
    <row r="310" spans="1:19" ht="13.2">
      <c r="A310" s="1"/>
      <c r="B310" s="101"/>
      <c r="C310" s="221" t="s">
        <v>287</v>
      </c>
      <c r="D310" s="215" t="s">
        <v>214</v>
      </c>
      <c r="E310" s="197"/>
      <c r="F310" s="103" t="s">
        <v>215</v>
      </c>
      <c r="G310" s="215" t="s">
        <v>216</v>
      </c>
      <c r="H310" s="198"/>
      <c r="I310" s="103" t="s">
        <v>217</v>
      </c>
      <c r="J310" s="104">
        <v>68.64</v>
      </c>
      <c r="K310" s="102"/>
      <c r="L310" s="105"/>
      <c r="M310" s="4"/>
      <c r="N310" s="106" t="e">
        <v>#NAME?</v>
      </c>
      <c r="O310" s="76" t="s">
        <v>214</v>
      </c>
      <c r="P310" s="91" t="s">
        <v>215</v>
      </c>
      <c r="Q310" s="76" t="s">
        <v>216</v>
      </c>
      <c r="R310" s="91" t="s">
        <v>217</v>
      </c>
      <c r="S310" s="59">
        <v>68.64</v>
      </c>
    </row>
    <row r="311" spans="1:19" ht="13.2">
      <c r="A311" s="1"/>
      <c r="B311" s="101"/>
      <c r="C311" s="221" t="s">
        <v>288</v>
      </c>
      <c r="D311" s="215" t="s">
        <v>230</v>
      </c>
      <c r="E311" s="197"/>
      <c r="F311" s="103" t="s">
        <v>81</v>
      </c>
      <c r="G311" s="215" t="s">
        <v>231</v>
      </c>
      <c r="H311" s="198"/>
      <c r="I311" s="103" t="s">
        <v>81</v>
      </c>
      <c r="J311" s="104">
        <v>60.93</v>
      </c>
      <c r="K311" s="102"/>
      <c r="L311" s="105"/>
      <c r="M311" s="4"/>
      <c r="N311" s="106" t="e">
        <v>#NAME?</v>
      </c>
      <c r="O311" s="76" t="s">
        <v>230</v>
      </c>
      <c r="P311" s="91" t="s">
        <v>81</v>
      </c>
      <c r="Q311" s="76" t="s">
        <v>231</v>
      </c>
      <c r="R311" s="91" t="s">
        <v>81</v>
      </c>
      <c r="S311" s="59">
        <v>60.93</v>
      </c>
    </row>
    <row r="312" spans="1:19" ht="13.2">
      <c r="A312" s="1"/>
      <c r="B312" s="101"/>
      <c r="C312" s="102" t="s">
        <v>38</v>
      </c>
      <c r="D312" s="215">
        <v>0</v>
      </c>
      <c r="E312" s="197"/>
      <c r="F312" s="103">
        <v>0</v>
      </c>
      <c r="G312" s="215">
        <v>0</v>
      </c>
      <c r="H312" s="198"/>
      <c r="I312" s="103">
        <v>0</v>
      </c>
      <c r="J312" s="104" t="s">
        <v>38</v>
      </c>
      <c r="K312" s="102"/>
      <c r="L312" s="105"/>
      <c r="M312" s="4"/>
      <c r="N312" s="106" t="e">
        <v>#NAME?</v>
      </c>
      <c r="O312" s="76"/>
      <c r="P312" s="91"/>
      <c r="Q312" s="76"/>
      <c r="R312" s="91"/>
      <c r="S312" s="59"/>
    </row>
    <row r="313" spans="1:19" ht="13.2">
      <c r="A313" s="1"/>
      <c r="B313" s="101"/>
      <c r="C313" s="102" t="s">
        <v>38</v>
      </c>
      <c r="D313" s="215">
        <v>0</v>
      </c>
      <c r="E313" s="197"/>
      <c r="F313" s="103">
        <v>0</v>
      </c>
      <c r="G313" s="215">
        <v>0</v>
      </c>
      <c r="H313" s="198"/>
      <c r="I313" s="103">
        <v>0</v>
      </c>
      <c r="J313" s="104" t="s">
        <v>38</v>
      </c>
      <c r="K313" s="102"/>
      <c r="L313" s="105"/>
      <c r="M313" s="4"/>
      <c r="N313" s="106" t="e">
        <v>#NAME?</v>
      </c>
      <c r="O313" s="76"/>
      <c r="P313" s="91"/>
      <c r="Q313" s="76"/>
      <c r="R313" s="91"/>
      <c r="S313" s="59"/>
    </row>
    <row r="314" spans="1:19" ht="13.2">
      <c r="A314" s="1"/>
      <c r="B314" s="101"/>
      <c r="C314" s="102" t="s">
        <v>38</v>
      </c>
      <c r="D314" s="215">
        <v>0</v>
      </c>
      <c r="E314" s="197"/>
      <c r="F314" s="103">
        <v>0</v>
      </c>
      <c r="G314" s="215">
        <v>0</v>
      </c>
      <c r="H314" s="198"/>
      <c r="I314" s="103">
        <v>0</v>
      </c>
      <c r="J314" s="104" t="s">
        <v>38</v>
      </c>
      <c r="K314" s="102"/>
      <c r="L314" s="105"/>
      <c r="M314" s="4"/>
      <c r="N314" s="106" t="e">
        <v>#NAME?</v>
      </c>
      <c r="O314" s="76"/>
      <c r="P314" s="91"/>
      <c r="Q314" s="76"/>
      <c r="R314" s="91"/>
      <c r="S314" s="59"/>
    </row>
    <row r="315" spans="1:19" ht="13.2">
      <c r="A315" s="1"/>
      <c r="B315" s="101"/>
      <c r="C315" s="102" t="s">
        <v>38</v>
      </c>
      <c r="D315" s="215">
        <v>0</v>
      </c>
      <c r="E315" s="197"/>
      <c r="F315" s="103">
        <v>0</v>
      </c>
      <c r="G315" s="215">
        <v>0</v>
      </c>
      <c r="H315" s="198"/>
      <c r="I315" s="103">
        <v>0</v>
      </c>
      <c r="J315" s="104" t="s">
        <v>38</v>
      </c>
      <c r="K315" s="102"/>
      <c r="L315" s="105"/>
      <c r="M315" s="4"/>
      <c r="N315" s="106" t="e">
        <v>#NAME?</v>
      </c>
      <c r="O315" s="76"/>
      <c r="P315" s="91"/>
      <c r="Q315" s="76"/>
      <c r="R315" s="91"/>
      <c r="S315" s="59"/>
    </row>
    <row r="316" spans="1:19" ht="13.2">
      <c r="A316" s="1"/>
      <c r="B316" s="101"/>
      <c r="C316" s="102" t="s">
        <v>38</v>
      </c>
      <c r="D316" s="215">
        <v>0</v>
      </c>
      <c r="E316" s="197"/>
      <c r="F316" s="103">
        <v>0</v>
      </c>
      <c r="G316" s="215">
        <v>0</v>
      </c>
      <c r="H316" s="198"/>
      <c r="I316" s="103">
        <v>0</v>
      </c>
      <c r="J316" s="104" t="s">
        <v>38</v>
      </c>
      <c r="K316" s="102"/>
      <c r="L316" s="105"/>
      <c r="M316" s="4"/>
      <c r="N316" s="106" t="e">
        <v>#NAME?</v>
      </c>
      <c r="O316" s="76"/>
      <c r="P316" s="91"/>
      <c r="Q316" s="76"/>
      <c r="R316" s="91"/>
      <c r="S316" s="59"/>
    </row>
    <row r="317" spans="1:19" ht="13.2">
      <c r="A317" s="1"/>
      <c r="B317" s="101"/>
      <c r="C317" s="102" t="s">
        <v>38</v>
      </c>
      <c r="D317" s="215">
        <v>0</v>
      </c>
      <c r="E317" s="197"/>
      <c r="F317" s="103">
        <v>0</v>
      </c>
      <c r="G317" s="215">
        <v>0</v>
      </c>
      <c r="H317" s="198"/>
      <c r="I317" s="103">
        <v>0</v>
      </c>
      <c r="J317" s="104" t="s">
        <v>38</v>
      </c>
      <c r="K317" s="102"/>
      <c r="L317" s="105"/>
      <c r="M317" s="4"/>
      <c r="N317" s="106" t="e">
        <v>#NAME?</v>
      </c>
      <c r="O317" s="76"/>
      <c r="P317" s="91"/>
      <c r="Q317" s="76"/>
      <c r="R317" s="91"/>
      <c r="S317" s="59"/>
    </row>
    <row r="318" spans="1:19" ht="13.2">
      <c r="A318" s="1"/>
      <c r="B318" s="101"/>
      <c r="C318" s="102" t="s">
        <v>38</v>
      </c>
      <c r="D318" s="215">
        <v>0</v>
      </c>
      <c r="E318" s="197"/>
      <c r="F318" s="103">
        <v>0</v>
      </c>
      <c r="G318" s="215">
        <v>0</v>
      </c>
      <c r="H318" s="198"/>
      <c r="I318" s="103">
        <v>0</v>
      </c>
      <c r="J318" s="104" t="s">
        <v>38</v>
      </c>
      <c r="K318" s="102"/>
      <c r="L318" s="105"/>
      <c r="M318" s="4"/>
      <c r="N318" s="106" t="e">
        <v>#NAME?</v>
      </c>
      <c r="O318" s="76"/>
      <c r="P318" s="91"/>
      <c r="Q318" s="76"/>
      <c r="R318" s="91"/>
      <c r="S318" s="59"/>
    </row>
    <row r="319" spans="1:19" ht="13.2">
      <c r="A319" s="1"/>
      <c r="B319" s="101"/>
      <c r="C319" s="102" t="s">
        <v>38</v>
      </c>
      <c r="D319" s="215">
        <v>0</v>
      </c>
      <c r="E319" s="197"/>
      <c r="F319" s="103">
        <v>0</v>
      </c>
      <c r="G319" s="215">
        <v>0</v>
      </c>
      <c r="H319" s="198"/>
      <c r="I319" s="103">
        <v>0</v>
      </c>
      <c r="J319" s="104" t="s">
        <v>38</v>
      </c>
      <c r="K319" s="102"/>
      <c r="L319" s="105"/>
      <c r="M319" s="4"/>
      <c r="N319" s="106" t="e">
        <v>#NAME?</v>
      </c>
      <c r="O319" s="76"/>
      <c r="P319" s="91"/>
      <c r="Q319" s="76"/>
      <c r="R319" s="91"/>
      <c r="S319" s="59"/>
    </row>
    <row r="320" spans="1:19" ht="13.2">
      <c r="A320" s="1"/>
      <c r="B320" s="101"/>
      <c r="C320" s="102" t="s">
        <v>38</v>
      </c>
      <c r="D320" s="215">
        <v>0</v>
      </c>
      <c r="E320" s="197"/>
      <c r="F320" s="103">
        <v>0</v>
      </c>
      <c r="G320" s="215">
        <v>0</v>
      </c>
      <c r="H320" s="198"/>
      <c r="I320" s="103">
        <v>0</v>
      </c>
      <c r="J320" s="104" t="s">
        <v>38</v>
      </c>
      <c r="K320" s="102"/>
      <c r="L320" s="105"/>
      <c r="M320" s="4"/>
      <c r="N320" s="106" t="e">
        <v>#NAME?</v>
      </c>
      <c r="O320" s="76"/>
      <c r="P320" s="91"/>
      <c r="Q320" s="76"/>
      <c r="R320" s="91"/>
      <c r="S320" s="59"/>
    </row>
    <row r="321" spans="1:19" ht="13.2">
      <c r="A321" s="1"/>
      <c r="B321" s="101"/>
      <c r="C321" s="102" t="s">
        <v>38</v>
      </c>
      <c r="D321" s="215">
        <v>0</v>
      </c>
      <c r="E321" s="197"/>
      <c r="F321" s="103">
        <v>0</v>
      </c>
      <c r="G321" s="215">
        <v>0</v>
      </c>
      <c r="H321" s="198"/>
      <c r="I321" s="103">
        <v>0</v>
      </c>
      <c r="J321" s="104" t="s">
        <v>38</v>
      </c>
      <c r="K321" s="102"/>
      <c r="L321" s="105"/>
      <c r="M321" s="4"/>
      <c r="N321" s="106" t="e">
        <v>#NAME?</v>
      </c>
      <c r="O321" s="76"/>
      <c r="P321" s="91"/>
      <c r="Q321" s="76"/>
      <c r="R321" s="91"/>
      <c r="S321" s="59"/>
    </row>
    <row r="322" spans="1:19" ht="13.2">
      <c r="A322" s="1"/>
      <c r="B322" s="101"/>
      <c r="C322" s="102" t="s">
        <v>38</v>
      </c>
      <c r="D322" s="215">
        <v>0</v>
      </c>
      <c r="E322" s="197"/>
      <c r="F322" s="103">
        <v>0</v>
      </c>
      <c r="G322" s="215">
        <v>0</v>
      </c>
      <c r="H322" s="198"/>
      <c r="I322" s="103">
        <v>0</v>
      </c>
      <c r="J322" s="104" t="s">
        <v>38</v>
      </c>
      <c r="K322" s="102"/>
      <c r="L322" s="105"/>
      <c r="M322" s="4"/>
      <c r="N322" s="106" t="e">
        <v>#NAME?</v>
      </c>
      <c r="O322" s="76"/>
      <c r="P322" s="91"/>
      <c r="Q322" s="76"/>
      <c r="R322" s="91"/>
      <c r="S322" s="59"/>
    </row>
    <row r="323" spans="1:19" ht="13.2">
      <c r="A323" s="1"/>
      <c r="B323" s="101"/>
      <c r="C323" s="102" t="s">
        <v>38</v>
      </c>
      <c r="D323" s="215">
        <v>0</v>
      </c>
      <c r="E323" s="197"/>
      <c r="F323" s="103">
        <v>0</v>
      </c>
      <c r="G323" s="215">
        <v>0</v>
      </c>
      <c r="H323" s="198"/>
      <c r="I323" s="103">
        <v>0</v>
      </c>
      <c r="J323" s="104" t="s">
        <v>38</v>
      </c>
      <c r="K323" s="102"/>
      <c r="L323" s="105"/>
      <c r="M323" s="4"/>
      <c r="N323" s="106" t="e">
        <v>#NAME?</v>
      </c>
      <c r="O323" s="76"/>
      <c r="P323" s="91"/>
      <c r="Q323" s="76"/>
      <c r="R323" s="91"/>
      <c r="S323" s="59"/>
    </row>
    <row r="324" spans="1:19" ht="13.2">
      <c r="A324" s="1"/>
      <c r="B324" s="101"/>
      <c r="C324" s="102" t="s">
        <v>38</v>
      </c>
      <c r="D324" s="215">
        <v>0</v>
      </c>
      <c r="E324" s="197"/>
      <c r="F324" s="103">
        <v>0</v>
      </c>
      <c r="G324" s="215">
        <v>0</v>
      </c>
      <c r="H324" s="198"/>
      <c r="I324" s="103">
        <v>0</v>
      </c>
      <c r="J324" s="104" t="s">
        <v>38</v>
      </c>
      <c r="K324" s="102"/>
      <c r="L324" s="105"/>
      <c r="M324" s="4"/>
      <c r="N324" s="106" t="e">
        <v>#NAME?</v>
      </c>
      <c r="O324" s="76"/>
      <c r="P324" s="91"/>
      <c r="Q324" s="76"/>
      <c r="R324" s="91"/>
      <c r="S324" s="59"/>
    </row>
    <row r="325" spans="1:19" ht="13.2">
      <c r="A325" s="1"/>
      <c r="B325" s="101"/>
      <c r="C325" s="102" t="s">
        <v>38</v>
      </c>
      <c r="D325" s="215">
        <v>0</v>
      </c>
      <c r="E325" s="197"/>
      <c r="F325" s="103">
        <v>0</v>
      </c>
      <c r="G325" s="215">
        <v>0</v>
      </c>
      <c r="H325" s="198"/>
      <c r="I325" s="103">
        <v>0</v>
      </c>
      <c r="J325" s="104" t="s">
        <v>38</v>
      </c>
      <c r="K325" s="102"/>
      <c r="L325" s="105"/>
      <c r="M325" s="4"/>
      <c r="N325" s="106" t="e">
        <v>#NAME?</v>
      </c>
      <c r="O325" s="76"/>
      <c r="P325" s="91"/>
      <c r="Q325" s="76"/>
      <c r="R325" s="91"/>
      <c r="S325" s="59"/>
    </row>
    <row r="326" spans="1:19" ht="13.2">
      <c r="A326" s="1"/>
      <c r="B326" s="101"/>
      <c r="C326" s="102" t="s">
        <v>38</v>
      </c>
      <c r="D326" s="215">
        <v>0</v>
      </c>
      <c r="E326" s="197"/>
      <c r="F326" s="103">
        <v>0</v>
      </c>
      <c r="G326" s="215">
        <v>0</v>
      </c>
      <c r="H326" s="198"/>
      <c r="I326" s="103">
        <v>0</v>
      </c>
      <c r="J326" s="104" t="s">
        <v>38</v>
      </c>
      <c r="K326" s="102"/>
      <c r="L326" s="105"/>
      <c r="M326" s="4"/>
      <c r="N326" s="106" t="e">
        <v>#NAME?</v>
      </c>
      <c r="O326" s="76"/>
      <c r="P326" s="91"/>
      <c r="Q326" s="76"/>
      <c r="R326" s="91"/>
      <c r="S326" s="59"/>
    </row>
    <row r="327" spans="1:19" ht="13.2">
      <c r="A327" s="1"/>
      <c r="B327" s="101"/>
      <c r="C327" s="102" t="s">
        <v>38</v>
      </c>
      <c r="D327" s="215">
        <v>0</v>
      </c>
      <c r="E327" s="197"/>
      <c r="F327" s="103">
        <v>0</v>
      </c>
      <c r="G327" s="215">
        <v>0</v>
      </c>
      <c r="H327" s="198"/>
      <c r="I327" s="103">
        <v>0</v>
      </c>
      <c r="J327" s="104" t="s">
        <v>38</v>
      </c>
      <c r="K327" s="102"/>
      <c r="L327" s="105"/>
      <c r="M327" s="4"/>
      <c r="N327" s="106" t="e">
        <v>#NAME?</v>
      </c>
      <c r="O327" s="76"/>
      <c r="P327" s="91"/>
      <c r="Q327" s="76"/>
      <c r="R327" s="91"/>
      <c r="S327" s="59"/>
    </row>
    <row r="328" spans="1:19" ht="13.2">
      <c r="A328" s="1"/>
      <c r="B328" s="101"/>
      <c r="C328" s="102" t="s">
        <v>38</v>
      </c>
      <c r="D328" s="215">
        <v>0</v>
      </c>
      <c r="E328" s="197"/>
      <c r="F328" s="103">
        <v>0</v>
      </c>
      <c r="G328" s="215">
        <v>0</v>
      </c>
      <c r="H328" s="198"/>
      <c r="I328" s="103">
        <v>0</v>
      </c>
      <c r="J328" s="104" t="s">
        <v>38</v>
      </c>
      <c r="K328" s="102"/>
      <c r="L328" s="105"/>
      <c r="M328" s="4"/>
      <c r="N328" s="106" t="e">
        <v>#NAME?</v>
      </c>
      <c r="O328" s="76"/>
      <c r="P328" s="91"/>
      <c r="Q328" s="76"/>
      <c r="R328" s="91"/>
      <c r="S328" s="59"/>
    </row>
    <row r="329" spans="1:19" ht="13.2">
      <c r="A329" s="1"/>
      <c r="B329" s="101"/>
      <c r="C329" s="102" t="s">
        <v>38</v>
      </c>
      <c r="D329" s="215">
        <v>0</v>
      </c>
      <c r="E329" s="197"/>
      <c r="F329" s="103">
        <v>0</v>
      </c>
      <c r="G329" s="215">
        <v>0</v>
      </c>
      <c r="H329" s="198"/>
      <c r="I329" s="103">
        <v>0</v>
      </c>
      <c r="J329" s="104" t="s">
        <v>38</v>
      </c>
      <c r="K329" s="102"/>
      <c r="L329" s="105"/>
      <c r="M329" s="4"/>
      <c r="N329" s="106" t="e">
        <v>#NAME?</v>
      </c>
      <c r="O329" s="76"/>
      <c r="P329" s="91"/>
      <c r="Q329" s="76"/>
      <c r="R329" s="91"/>
      <c r="S329" s="59"/>
    </row>
    <row r="330" spans="1:19" ht="13.2">
      <c r="A330" s="1"/>
      <c r="B330" s="101"/>
      <c r="C330" s="102" t="s">
        <v>38</v>
      </c>
      <c r="D330" s="215">
        <v>0</v>
      </c>
      <c r="E330" s="197"/>
      <c r="F330" s="103">
        <v>0</v>
      </c>
      <c r="G330" s="215">
        <v>0</v>
      </c>
      <c r="H330" s="198"/>
      <c r="I330" s="103">
        <v>0</v>
      </c>
      <c r="J330" s="104" t="s">
        <v>38</v>
      </c>
      <c r="K330" s="102"/>
      <c r="L330" s="105"/>
      <c r="M330" s="4"/>
      <c r="N330" s="106" t="e">
        <v>#NAME?</v>
      </c>
      <c r="O330" s="76"/>
      <c r="P330" s="91"/>
      <c r="Q330" s="76"/>
      <c r="R330" s="91"/>
      <c r="S330" s="59"/>
    </row>
    <row r="331" spans="1:19" ht="13.2">
      <c r="A331" s="1"/>
      <c r="B331" s="101"/>
      <c r="C331" s="102" t="s">
        <v>38</v>
      </c>
      <c r="D331" s="215">
        <v>0</v>
      </c>
      <c r="E331" s="197"/>
      <c r="F331" s="103">
        <v>0</v>
      </c>
      <c r="G331" s="215">
        <v>0</v>
      </c>
      <c r="H331" s="198"/>
      <c r="I331" s="103">
        <v>0</v>
      </c>
      <c r="J331" s="104" t="s">
        <v>38</v>
      </c>
      <c r="K331" s="102"/>
      <c r="L331" s="105"/>
      <c r="M331" s="4"/>
      <c r="N331" s="106" t="e">
        <v>#NAME?</v>
      </c>
      <c r="O331" s="76"/>
      <c r="P331" s="91"/>
      <c r="Q331" s="76"/>
      <c r="R331" s="91"/>
      <c r="S331" s="59"/>
    </row>
    <row r="332" spans="1:19" ht="13.2">
      <c r="A332" s="1"/>
      <c r="B332" s="101"/>
      <c r="C332" s="102" t="s">
        <v>38</v>
      </c>
      <c r="D332" s="215">
        <v>0</v>
      </c>
      <c r="E332" s="197"/>
      <c r="F332" s="103">
        <v>0</v>
      </c>
      <c r="G332" s="215">
        <v>0</v>
      </c>
      <c r="H332" s="198"/>
      <c r="I332" s="103">
        <v>0</v>
      </c>
      <c r="J332" s="104" t="s">
        <v>38</v>
      </c>
      <c r="K332" s="102"/>
      <c r="L332" s="105"/>
      <c r="M332" s="4"/>
      <c r="N332" s="106" t="e">
        <v>#NAME?</v>
      </c>
      <c r="O332" s="76"/>
      <c r="P332" s="91"/>
      <c r="Q332" s="76"/>
      <c r="R332" s="91"/>
      <c r="S332" s="59"/>
    </row>
    <row r="333" spans="1:19" ht="13.2">
      <c r="A333" s="1"/>
      <c r="B333" s="101"/>
      <c r="C333" s="102" t="s">
        <v>38</v>
      </c>
      <c r="D333" s="215">
        <v>0</v>
      </c>
      <c r="E333" s="197"/>
      <c r="F333" s="103">
        <v>0</v>
      </c>
      <c r="G333" s="215">
        <v>0</v>
      </c>
      <c r="H333" s="198"/>
      <c r="I333" s="103">
        <v>0</v>
      </c>
      <c r="J333" s="104" t="s">
        <v>38</v>
      </c>
      <c r="K333" s="102"/>
      <c r="L333" s="105"/>
      <c r="M333" s="4"/>
      <c r="N333" s="106" t="e">
        <v>#NAME?</v>
      </c>
      <c r="O333" s="76"/>
      <c r="P333" s="91"/>
      <c r="Q333" s="76"/>
      <c r="R333" s="91"/>
      <c r="S333" s="59"/>
    </row>
    <row r="334" spans="1:19" ht="13.2">
      <c r="A334" s="1"/>
      <c r="B334" s="101"/>
      <c r="C334" s="102" t="s">
        <v>38</v>
      </c>
      <c r="D334" s="215">
        <v>0</v>
      </c>
      <c r="E334" s="197"/>
      <c r="F334" s="103">
        <v>0</v>
      </c>
      <c r="G334" s="215">
        <v>0</v>
      </c>
      <c r="H334" s="198"/>
      <c r="I334" s="103">
        <v>0</v>
      </c>
      <c r="J334" s="104" t="s">
        <v>38</v>
      </c>
      <c r="K334" s="102"/>
      <c r="L334" s="105"/>
      <c r="M334" s="4"/>
      <c r="N334" s="106" t="e">
        <v>#NAME?</v>
      </c>
      <c r="O334" s="76"/>
      <c r="P334" s="91"/>
      <c r="Q334" s="76"/>
      <c r="R334" s="91"/>
      <c r="S334" s="59"/>
    </row>
    <row r="335" spans="1:19" ht="13.2">
      <c r="A335" s="1"/>
      <c r="B335" s="101"/>
      <c r="C335" s="102" t="s">
        <v>38</v>
      </c>
      <c r="D335" s="215">
        <v>0</v>
      </c>
      <c r="E335" s="197"/>
      <c r="F335" s="103">
        <v>0</v>
      </c>
      <c r="G335" s="215">
        <v>0</v>
      </c>
      <c r="H335" s="198"/>
      <c r="I335" s="103">
        <v>0</v>
      </c>
      <c r="J335" s="104" t="s">
        <v>38</v>
      </c>
      <c r="K335" s="102"/>
      <c r="L335" s="105"/>
      <c r="M335" s="4"/>
      <c r="N335" s="106" t="e">
        <v>#NAME?</v>
      </c>
      <c r="O335" s="76"/>
      <c r="P335" s="91"/>
      <c r="Q335" s="76"/>
      <c r="R335" s="91"/>
      <c r="S335" s="59"/>
    </row>
    <row r="336" spans="1:19" ht="13.2">
      <c r="A336" s="1"/>
      <c r="B336" s="101"/>
      <c r="C336" s="102" t="s">
        <v>38</v>
      </c>
      <c r="D336" s="215">
        <v>0</v>
      </c>
      <c r="E336" s="197"/>
      <c r="F336" s="103">
        <v>0</v>
      </c>
      <c r="G336" s="215">
        <v>0</v>
      </c>
      <c r="H336" s="198"/>
      <c r="I336" s="103">
        <v>0</v>
      </c>
      <c r="J336" s="104" t="s">
        <v>38</v>
      </c>
      <c r="K336" s="102"/>
      <c r="L336" s="105"/>
      <c r="M336" s="4"/>
      <c r="N336" s="106" t="e">
        <v>#NAME?</v>
      </c>
      <c r="O336" s="76"/>
      <c r="P336" s="91"/>
      <c r="Q336" s="76"/>
      <c r="R336" s="91"/>
      <c r="S336" s="59"/>
    </row>
    <row r="337" spans="1:19" ht="13.2">
      <c r="A337" s="1"/>
      <c r="B337" s="101"/>
      <c r="C337" s="102" t="s">
        <v>38</v>
      </c>
      <c r="D337" s="215">
        <v>0</v>
      </c>
      <c r="E337" s="197"/>
      <c r="F337" s="103">
        <v>0</v>
      </c>
      <c r="G337" s="215">
        <v>0</v>
      </c>
      <c r="H337" s="198"/>
      <c r="I337" s="103">
        <v>0</v>
      </c>
      <c r="J337" s="104" t="s">
        <v>38</v>
      </c>
      <c r="K337" s="102"/>
      <c r="L337" s="105"/>
      <c r="M337" s="4"/>
      <c r="N337" s="106" t="e">
        <v>#NAME?</v>
      </c>
      <c r="O337" s="76"/>
      <c r="P337" s="91"/>
      <c r="Q337" s="76"/>
      <c r="R337" s="91"/>
      <c r="S337" s="59"/>
    </row>
    <row r="338" spans="1:19" ht="13.2">
      <c r="A338" s="1"/>
      <c r="B338" s="101"/>
      <c r="C338" s="102" t="s">
        <v>38</v>
      </c>
      <c r="D338" s="215">
        <v>0</v>
      </c>
      <c r="E338" s="197"/>
      <c r="F338" s="103">
        <v>0</v>
      </c>
      <c r="G338" s="215">
        <v>0</v>
      </c>
      <c r="H338" s="198"/>
      <c r="I338" s="103">
        <v>0</v>
      </c>
      <c r="J338" s="104" t="s">
        <v>38</v>
      </c>
      <c r="K338" s="102"/>
      <c r="L338" s="105"/>
      <c r="M338" s="4"/>
      <c r="N338" s="106" t="e">
        <v>#NAME?</v>
      </c>
      <c r="O338" s="76"/>
      <c r="P338" s="91"/>
      <c r="Q338" s="76"/>
      <c r="R338" s="91"/>
      <c r="S338" s="59"/>
    </row>
    <row r="339" spans="1:19" ht="13.2">
      <c r="A339" s="1"/>
      <c r="B339" s="101"/>
      <c r="C339" s="102" t="s">
        <v>38</v>
      </c>
      <c r="D339" s="215">
        <v>0</v>
      </c>
      <c r="E339" s="197"/>
      <c r="F339" s="103">
        <v>0</v>
      </c>
      <c r="G339" s="215">
        <v>0</v>
      </c>
      <c r="H339" s="198"/>
      <c r="I339" s="103">
        <v>0</v>
      </c>
      <c r="J339" s="104" t="s">
        <v>38</v>
      </c>
      <c r="K339" s="102"/>
      <c r="L339" s="105"/>
      <c r="M339" s="4"/>
      <c r="N339" s="106" t="e">
        <v>#NAME?</v>
      </c>
      <c r="O339" s="76"/>
      <c r="P339" s="91"/>
      <c r="Q339" s="76"/>
      <c r="R339" s="91"/>
      <c r="S339" s="59"/>
    </row>
    <row r="340" spans="1:19" ht="13.2">
      <c r="A340" s="1"/>
      <c r="B340" s="101"/>
      <c r="C340" s="102" t="s">
        <v>38</v>
      </c>
      <c r="D340" s="215">
        <v>0</v>
      </c>
      <c r="E340" s="197"/>
      <c r="F340" s="103">
        <v>0</v>
      </c>
      <c r="G340" s="215">
        <v>0</v>
      </c>
      <c r="H340" s="198"/>
      <c r="I340" s="103">
        <v>0</v>
      </c>
      <c r="J340" s="104" t="s">
        <v>38</v>
      </c>
      <c r="K340" s="102"/>
      <c r="L340" s="105"/>
      <c r="M340" s="4"/>
      <c r="N340" s="106" t="e">
        <v>#NAME?</v>
      </c>
      <c r="O340" s="76"/>
      <c r="P340" s="91"/>
      <c r="Q340" s="76"/>
      <c r="R340" s="91"/>
      <c r="S340" s="59"/>
    </row>
    <row r="341" spans="1:19" ht="13.2">
      <c r="A341" s="1"/>
      <c r="B341" s="101"/>
      <c r="C341" s="102" t="s">
        <v>38</v>
      </c>
      <c r="D341" s="215">
        <v>0</v>
      </c>
      <c r="E341" s="197"/>
      <c r="F341" s="103">
        <v>0</v>
      </c>
      <c r="G341" s="215">
        <v>0</v>
      </c>
      <c r="H341" s="198"/>
      <c r="I341" s="103">
        <v>0</v>
      </c>
      <c r="J341" s="104" t="s">
        <v>38</v>
      </c>
      <c r="K341" s="102"/>
      <c r="L341" s="105"/>
      <c r="M341" s="4"/>
      <c r="N341" s="106" t="e">
        <v>#NAME?</v>
      </c>
      <c r="O341" s="76"/>
      <c r="P341" s="91"/>
      <c r="Q341" s="76"/>
      <c r="R341" s="91"/>
      <c r="S341" s="59"/>
    </row>
    <row r="342" spans="1:19" ht="13.2">
      <c r="A342" s="1"/>
      <c r="B342" s="101"/>
      <c r="C342" s="102" t="s">
        <v>38</v>
      </c>
      <c r="D342" s="215">
        <v>0</v>
      </c>
      <c r="E342" s="197"/>
      <c r="F342" s="103">
        <v>0</v>
      </c>
      <c r="G342" s="215">
        <v>0</v>
      </c>
      <c r="H342" s="198"/>
      <c r="I342" s="103">
        <v>0</v>
      </c>
      <c r="J342" s="104" t="s">
        <v>38</v>
      </c>
      <c r="K342" s="102"/>
      <c r="L342" s="105"/>
      <c r="M342" s="4"/>
      <c r="N342" s="106" t="e">
        <v>#NAME?</v>
      </c>
      <c r="O342" s="76"/>
      <c r="P342" s="91"/>
      <c r="Q342" s="76"/>
      <c r="R342" s="91"/>
      <c r="S342" s="59"/>
    </row>
    <row r="343" spans="1:19" ht="13.2">
      <c r="A343" s="1"/>
      <c r="B343" s="1"/>
      <c r="C343" s="58"/>
      <c r="D343" s="1"/>
      <c r="E343" s="1"/>
      <c r="F343" s="1"/>
      <c r="G343" s="1"/>
      <c r="H343" s="1"/>
      <c r="I343" s="1"/>
      <c r="J343" s="59"/>
      <c r="K343" s="1"/>
      <c r="L343" s="1"/>
      <c r="M343" s="4"/>
      <c r="N343" s="106"/>
      <c r="O343" s="76"/>
      <c r="P343" s="59"/>
      <c r="Q343" s="76"/>
      <c r="R343" s="59"/>
      <c r="S343" s="59"/>
    </row>
    <row r="344" spans="1:19" ht="13.2">
      <c r="A344" s="1"/>
      <c r="B344" s="1"/>
      <c r="C344" s="68" t="s">
        <v>117</v>
      </c>
      <c r="D344" s="68"/>
      <c r="E344" s="68"/>
      <c r="F344" s="68"/>
      <c r="G344" s="68"/>
      <c r="H344" s="68"/>
      <c r="I344" s="68"/>
      <c r="J344" s="69"/>
      <c r="K344" s="68"/>
      <c r="L344" s="1"/>
      <c r="M344" s="4"/>
      <c r="N344" s="59"/>
      <c r="O344" s="76"/>
      <c r="P344" s="59"/>
      <c r="Q344" s="76"/>
      <c r="R344" s="59"/>
      <c r="S344" s="59"/>
    </row>
    <row r="345" spans="1:19" ht="13.2">
      <c r="A345" s="1"/>
      <c r="B345" s="1"/>
      <c r="C345" s="190">
        <v>0</v>
      </c>
      <c r="D345" s="191"/>
      <c r="E345" s="191"/>
      <c r="F345" s="191"/>
      <c r="G345" s="191"/>
      <c r="H345" s="191"/>
      <c r="I345" s="191"/>
      <c r="J345" s="191"/>
      <c r="K345" s="192"/>
      <c r="L345" s="1"/>
      <c r="M345" s="4"/>
      <c r="N345" s="59"/>
      <c r="O345" s="76"/>
      <c r="P345" s="59"/>
      <c r="Q345" s="76"/>
      <c r="R345" s="59"/>
      <c r="S345" s="59"/>
    </row>
    <row r="346" spans="1:19" ht="13.2">
      <c r="A346" s="1"/>
      <c r="B346" s="1"/>
      <c r="C346" s="193"/>
      <c r="D346" s="194"/>
      <c r="E346" s="194"/>
      <c r="F346" s="194"/>
      <c r="G346" s="194"/>
      <c r="H346" s="194"/>
      <c r="I346" s="194"/>
      <c r="J346" s="194"/>
      <c r="K346" s="195"/>
      <c r="L346" s="1"/>
      <c r="M346" s="4"/>
      <c r="N346" s="59"/>
      <c r="O346" s="76"/>
      <c r="P346" s="59"/>
      <c r="Q346" s="76"/>
      <c r="R346" s="59"/>
      <c r="S346" s="59"/>
    </row>
    <row r="347" spans="1:19" ht="13.2">
      <c r="A347" s="1"/>
      <c r="B347" s="1"/>
      <c r="C347" s="193"/>
      <c r="D347" s="194"/>
      <c r="E347" s="194"/>
      <c r="F347" s="194"/>
      <c r="G347" s="194"/>
      <c r="H347" s="194"/>
      <c r="I347" s="194"/>
      <c r="J347" s="194"/>
      <c r="K347" s="195"/>
      <c r="L347" s="1"/>
      <c r="M347" s="4"/>
      <c r="N347" s="59"/>
      <c r="O347" s="76"/>
      <c r="P347" s="59"/>
      <c r="Q347" s="76"/>
      <c r="R347" s="59"/>
      <c r="S347" s="59"/>
    </row>
    <row r="348" spans="1:19" ht="13.2">
      <c r="A348" s="1"/>
      <c r="B348" s="1"/>
      <c r="C348" s="196"/>
      <c r="D348" s="197"/>
      <c r="E348" s="197"/>
      <c r="F348" s="197"/>
      <c r="G348" s="197"/>
      <c r="H348" s="197"/>
      <c r="I348" s="197"/>
      <c r="J348" s="197"/>
      <c r="K348" s="198"/>
      <c r="L348" s="1"/>
      <c r="M348" s="4"/>
      <c r="N348" s="59"/>
      <c r="O348" s="76"/>
      <c r="P348" s="59"/>
      <c r="Q348" s="76"/>
      <c r="R348" s="59"/>
      <c r="S348" s="59"/>
    </row>
    <row r="349" spans="1:19" ht="13.2">
      <c r="A349" s="1"/>
      <c r="B349" s="1"/>
      <c r="C349" s="58"/>
      <c r="D349" s="1"/>
      <c r="E349" s="1"/>
      <c r="F349" s="1"/>
      <c r="G349" s="1"/>
      <c r="H349" s="1"/>
      <c r="I349" s="1"/>
      <c r="J349" s="59"/>
      <c r="K349" s="1"/>
      <c r="L349" s="1"/>
      <c r="M349" s="4"/>
      <c r="N349" s="59"/>
      <c r="O349" s="76"/>
      <c r="P349" s="59"/>
      <c r="Q349" s="76"/>
      <c r="R349" s="59"/>
      <c r="S349" s="59"/>
    </row>
    <row r="350" spans="1:19" ht="13.2">
      <c r="A350" s="1"/>
      <c r="B350" s="1"/>
      <c r="C350" s="58"/>
      <c r="D350" s="1"/>
      <c r="E350" s="1"/>
      <c r="F350" s="1"/>
      <c r="G350" s="1"/>
      <c r="H350" s="1"/>
      <c r="I350" s="1"/>
      <c r="J350" s="59"/>
      <c r="K350" s="1"/>
      <c r="L350" s="1"/>
      <c r="M350" s="4"/>
      <c r="N350" s="59"/>
      <c r="O350" s="76"/>
      <c r="P350" s="59"/>
      <c r="Q350" s="76"/>
      <c r="R350" s="59"/>
      <c r="S350" s="59"/>
    </row>
    <row r="351" spans="1:19" ht="13.2">
      <c r="A351" s="1"/>
      <c r="B351" s="1"/>
      <c r="C351" s="58"/>
      <c r="D351" s="1"/>
      <c r="E351" s="1"/>
      <c r="F351" s="1"/>
      <c r="G351" s="1"/>
      <c r="H351" s="1"/>
      <c r="I351" s="1"/>
      <c r="J351" s="59"/>
      <c r="K351" s="1"/>
      <c r="L351" s="1"/>
      <c r="M351" s="4"/>
      <c r="N351" s="59"/>
      <c r="O351" s="76"/>
      <c r="P351" s="59"/>
      <c r="Q351" s="76"/>
      <c r="R351" s="59"/>
      <c r="S351" s="59"/>
    </row>
    <row r="352" spans="1:19" ht="13.2">
      <c r="A352" s="1"/>
      <c r="B352" s="1"/>
      <c r="C352" s="58"/>
      <c r="D352" s="1"/>
      <c r="E352" s="1"/>
      <c r="F352" s="1"/>
      <c r="G352" s="1"/>
      <c r="H352" s="1"/>
      <c r="I352" s="1"/>
      <c r="J352" s="59"/>
      <c r="K352" s="1"/>
      <c r="L352" s="1"/>
      <c r="M352" s="4"/>
      <c r="N352" s="59"/>
      <c r="O352" s="76"/>
      <c r="P352" s="59"/>
      <c r="Q352" s="76"/>
      <c r="R352" s="59"/>
      <c r="S352" s="59"/>
    </row>
    <row r="353" spans="1:19" ht="13.2">
      <c r="A353" s="1"/>
      <c r="B353" s="1"/>
      <c r="C353" s="58"/>
      <c r="D353" s="1"/>
      <c r="E353" s="1"/>
      <c r="F353" s="1"/>
      <c r="G353" s="1"/>
      <c r="H353" s="1"/>
      <c r="I353" s="1"/>
      <c r="J353" s="59"/>
      <c r="K353" s="1"/>
      <c r="L353" s="1"/>
      <c r="M353" s="4"/>
      <c r="N353" s="59"/>
      <c r="O353" s="76"/>
      <c r="P353" s="59"/>
      <c r="Q353" s="76"/>
      <c r="R353" s="59"/>
      <c r="S353" s="59"/>
    </row>
    <row r="354" spans="1:19" ht="13.2">
      <c r="A354" s="1"/>
      <c r="B354" s="1"/>
      <c r="C354" s="58"/>
      <c r="D354" s="1"/>
      <c r="E354" s="1"/>
      <c r="F354" s="1"/>
      <c r="G354" s="1"/>
      <c r="H354" s="1"/>
      <c r="I354" s="1"/>
      <c r="J354" s="59"/>
      <c r="K354" s="1"/>
      <c r="L354" s="1"/>
      <c r="M354" s="4"/>
      <c r="N354" s="59"/>
      <c r="O354" s="76"/>
      <c r="P354" s="59"/>
      <c r="Q354" s="76"/>
      <c r="R354" s="59"/>
      <c r="S354" s="59"/>
    </row>
    <row r="355" spans="1:19" ht="13.2">
      <c r="A355" s="1"/>
      <c r="B355" s="1"/>
      <c r="C355" s="58"/>
      <c r="D355" s="1"/>
      <c r="E355" s="1"/>
      <c r="F355" s="1"/>
      <c r="G355" s="1"/>
      <c r="H355" s="1"/>
      <c r="I355" s="1"/>
      <c r="J355" s="59"/>
      <c r="K355" s="1"/>
      <c r="L355" s="1"/>
      <c r="M355" s="4"/>
      <c r="N355" s="59"/>
      <c r="O355" s="76"/>
      <c r="P355" s="59"/>
      <c r="Q355" s="76"/>
      <c r="R355" s="59"/>
      <c r="S355" s="59"/>
    </row>
    <row r="356" spans="1:19" ht="13.2">
      <c r="A356" s="1"/>
      <c r="B356" s="1"/>
      <c r="C356" s="58"/>
      <c r="D356" s="1"/>
      <c r="E356" s="1"/>
      <c r="F356" s="1"/>
      <c r="G356" s="1"/>
      <c r="H356" s="1"/>
      <c r="I356" s="1"/>
      <c r="J356" s="59"/>
      <c r="K356" s="1"/>
      <c r="L356" s="1"/>
      <c r="M356" s="4"/>
      <c r="N356" s="59"/>
      <c r="O356" s="76"/>
      <c r="P356" s="59"/>
      <c r="Q356" s="76"/>
      <c r="R356" s="59"/>
      <c r="S356" s="59"/>
    </row>
    <row r="357" spans="1:19" ht="13.2">
      <c r="A357" s="1"/>
      <c r="B357" s="1"/>
      <c r="C357" s="58"/>
      <c r="D357" s="1"/>
      <c r="E357" s="1"/>
      <c r="F357" s="1"/>
      <c r="G357" s="1"/>
      <c r="H357" s="1"/>
      <c r="I357" s="1"/>
      <c r="J357" s="59"/>
      <c r="K357" s="1"/>
      <c r="L357" s="1"/>
      <c r="M357" s="4"/>
      <c r="N357" s="59"/>
      <c r="O357" s="76"/>
      <c r="P357" s="59"/>
      <c r="Q357" s="76"/>
      <c r="R357" s="59"/>
      <c r="S357" s="59"/>
    </row>
    <row r="358" spans="1:19" ht="13.2">
      <c r="A358" s="1"/>
      <c r="B358" s="1"/>
      <c r="C358" s="58"/>
      <c r="D358" s="1"/>
      <c r="E358" s="1"/>
      <c r="F358" s="1"/>
      <c r="G358" s="1"/>
      <c r="H358" s="1"/>
      <c r="I358" s="1"/>
      <c r="J358" s="59"/>
      <c r="K358" s="1"/>
      <c r="L358" s="1"/>
      <c r="M358" s="4"/>
      <c r="N358" s="59"/>
      <c r="O358" s="76"/>
      <c r="P358" s="59"/>
      <c r="Q358" s="76"/>
      <c r="R358" s="59"/>
      <c r="S358" s="59"/>
    </row>
    <row r="359" spans="1:19" ht="13.2">
      <c r="A359" s="1"/>
      <c r="B359" s="1"/>
      <c r="C359" s="58"/>
      <c r="D359" s="1"/>
      <c r="E359" s="1"/>
      <c r="F359" s="1"/>
      <c r="G359" s="1"/>
      <c r="H359" s="1"/>
      <c r="I359" s="1"/>
      <c r="J359" s="59"/>
      <c r="K359" s="1"/>
      <c r="L359" s="1"/>
      <c r="M359" s="4"/>
      <c r="N359" s="59"/>
      <c r="O359" s="76"/>
      <c r="P359" s="59"/>
      <c r="Q359" s="76"/>
      <c r="R359" s="59"/>
      <c r="S359" s="59"/>
    </row>
    <row r="360" spans="1:19" ht="13.2">
      <c r="A360" s="1"/>
      <c r="B360" s="1"/>
      <c r="C360" s="58"/>
      <c r="D360" s="1"/>
      <c r="E360" s="1"/>
      <c r="F360" s="1"/>
      <c r="G360" s="1"/>
      <c r="H360" s="1"/>
      <c r="I360" s="1"/>
      <c r="J360" s="59"/>
      <c r="K360" s="1"/>
      <c r="L360" s="1"/>
      <c r="M360" s="4"/>
      <c r="N360" s="59"/>
      <c r="O360" s="76"/>
      <c r="P360" s="59"/>
      <c r="Q360" s="76"/>
      <c r="R360" s="59"/>
      <c r="S360" s="59"/>
    </row>
    <row r="361" spans="1:19" ht="13.2">
      <c r="A361" s="1"/>
      <c r="B361" s="1"/>
      <c r="C361" s="58"/>
      <c r="D361" s="1"/>
      <c r="E361" s="1"/>
      <c r="F361" s="1"/>
      <c r="G361" s="1"/>
      <c r="H361" s="1"/>
      <c r="I361" s="1"/>
      <c r="J361" s="59"/>
      <c r="K361" s="1"/>
      <c r="L361" s="1"/>
      <c r="M361" s="4"/>
      <c r="N361" s="59"/>
      <c r="O361" s="76"/>
      <c r="P361" s="59"/>
      <c r="Q361" s="76"/>
      <c r="R361" s="59"/>
      <c r="S361" s="59"/>
    </row>
    <row r="362" spans="1:19" ht="13.2">
      <c r="A362" s="1"/>
      <c r="B362" s="1"/>
      <c r="C362" s="58"/>
      <c r="D362" s="1"/>
      <c r="E362" s="1"/>
      <c r="F362" s="1"/>
      <c r="G362" s="1"/>
      <c r="H362" s="1"/>
      <c r="I362" s="1"/>
      <c r="J362" s="59"/>
      <c r="K362" s="1"/>
      <c r="L362" s="1"/>
      <c r="M362" s="4"/>
      <c r="N362" s="59"/>
      <c r="O362" s="76"/>
      <c r="P362" s="59"/>
      <c r="Q362" s="76"/>
      <c r="R362" s="59"/>
      <c r="S362" s="59"/>
    </row>
    <row r="363" spans="1:19" ht="13.2">
      <c r="A363" s="1"/>
      <c r="B363" s="1"/>
      <c r="C363" s="58"/>
      <c r="D363" s="1"/>
      <c r="E363" s="1"/>
      <c r="F363" s="1"/>
      <c r="G363" s="1"/>
      <c r="H363" s="1"/>
      <c r="I363" s="1"/>
      <c r="J363" s="59"/>
      <c r="K363" s="1"/>
      <c r="L363" s="1"/>
      <c r="M363" s="4"/>
      <c r="N363" s="59"/>
      <c r="O363" s="76"/>
      <c r="P363" s="59"/>
      <c r="Q363" s="76"/>
      <c r="R363" s="59"/>
      <c r="S363" s="59"/>
    </row>
    <row r="364" spans="1:19" ht="13.2">
      <c r="A364" s="1"/>
      <c r="B364" s="1"/>
      <c r="C364" s="58"/>
      <c r="D364" s="1"/>
      <c r="E364" s="1"/>
      <c r="F364" s="1"/>
      <c r="G364" s="1"/>
      <c r="H364" s="1"/>
      <c r="I364" s="1"/>
      <c r="J364" s="59"/>
      <c r="K364" s="1"/>
      <c r="L364" s="1"/>
      <c r="M364" s="4"/>
      <c r="N364" s="59"/>
      <c r="O364" s="76"/>
      <c r="P364" s="59"/>
      <c r="Q364" s="76"/>
      <c r="R364" s="59"/>
      <c r="S364" s="59"/>
    </row>
    <row r="365" spans="1:19" ht="13.2">
      <c r="A365" s="1"/>
      <c r="B365" s="1"/>
      <c r="C365" s="58"/>
      <c r="D365" s="1"/>
      <c r="E365" s="1"/>
      <c r="F365" s="1"/>
      <c r="G365" s="1"/>
      <c r="H365" s="1"/>
      <c r="I365" s="1"/>
      <c r="J365" s="59"/>
      <c r="K365" s="1"/>
      <c r="L365" s="1"/>
      <c r="M365" s="4"/>
      <c r="N365" s="59"/>
      <c r="O365" s="76"/>
      <c r="P365" s="59"/>
      <c r="Q365" s="76"/>
      <c r="R365" s="59"/>
      <c r="S365" s="59"/>
    </row>
    <row r="366" spans="1:19" ht="13.2">
      <c r="A366" s="1"/>
      <c r="B366" s="1"/>
      <c r="C366" s="58"/>
      <c r="D366" s="1"/>
      <c r="E366" s="1"/>
      <c r="F366" s="1"/>
      <c r="G366" s="1"/>
      <c r="H366" s="1"/>
      <c r="I366" s="1"/>
      <c r="J366" s="59"/>
      <c r="K366" s="1"/>
      <c r="L366" s="1"/>
      <c r="M366" s="4"/>
      <c r="N366" s="59"/>
      <c r="O366" s="76"/>
      <c r="P366" s="59"/>
      <c r="Q366" s="76"/>
      <c r="R366" s="59"/>
      <c r="S366" s="59"/>
    </row>
    <row r="367" spans="1:19" ht="13.2">
      <c r="A367" s="1"/>
      <c r="B367" s="1"/>
      <c r="C367" s="58"/>
      <c r="D367" s="1"/>
      <c r="E367" s="1"/>
      <c r="F367" s="1"/>
      <c r="G367" s="1"/>
      <c r="H367" s="1"/>
      <c r="I367" s="1"/>
      <c r="J367" s="59"/>
      <c r="K367" s="1"/>
      <c r="L367" s="1"/>
      <c r="M367" s="4"/>
      <c r="N367" s="59"/>
      <c r="O367" s="76"/>
      <c r="P367" s="59"/>
      <c r="Q367" s="76"/>
      <c r="R367" s="59"/>
      <c r="S367" s="59"/>
    </row>
    <row r="368" spans="1:19" ht="13.2">
      <c r="A368" s="1"/>
      <c r="B368" s="1"/>
      <c r="C368" s="58"/>
      <c r="D368" s="1"/>
      <c r="E368" s="1"/>
      <c r="F368" s="1"/>
      <c r="G368" s="1"/>
      <c r="H368" s="1"/>
      <c r="I368" s="1"/>
      <c r="J368" s="59"/>
      <c r="K368" s="1"/>
      <c r="L368" s="1"/>
      <c r="M368" s="4"/>
      <c r="N368" s="59"/>
      <c r="O368" s="76"/>
      <c r="P368" s="59"/>
      <c r="Q368" s="76"/>
      <c r="R368" s="59"/>
      <c r="S368" s="59"/>
    </row>
    <row r="369" spans="1:19" ht="13.2">
      <c r="A369" s="1"/>
      <c r="B369" s="1"/>
      <c r="C369" s="58"/>
      <c r="D369" s="1"/>
      <c r="E369" s="1"/>
      <c r="F369" s="1"/>
      <c r="G369" s="1"/>
      <c r="H369" s="1"/>
      <c r="I369" s="1"/>
      <c r="J369" s="59"/>
      <c r="K369" s="1"/>
      <c r="L369" s="1"/>
      <c r="M369" s="4"/>
      <c r="N369" s="59"/>
      <c r="O369" s="76"/>
      <c r="P369" s="59"/>
      <c r="Q369" s="76"/>
      <c r="R369" s="59"/>
      <c r="S369" s="59"/>
    </row>
    <row r="370" spans="1:19" ht="13.2">
      <c r="A370" s="1"/>
      <c r="B370" s="1"/>
      <c r="C370" s="58"/>
      <c r="D370" s="1"/>
      <c r="E370" s="1"/>
      <c r="F370" s="1"/>
      <c r="G370" s="1"/>
      <c r="H370" s="1"/>
      <c r="I370" s="1"/>
      <c r="J370" s="59"/>
      <c r="K370" s="1"/>
      <c r="L370" s="1"/>
      <c r="M370" s="4"/>
      <c r="N370" s="59"/>
      <c r="O370" s="76"/>
      <c r="P370" s="59"/>
      <c r="Q370" s="76"/>
      <c r="R370" s="59"/>
      <c r="S370" s="59"/>
    </row>
    <row r="371" spans="1:19" ht="13.2">
      <c r="A371" s="1"/>
      <c r="B371" s="1"/>
      <c r="C371" s="58"/>
      <c r="D371" s="1"/>
      <c r="E371" s="1"/>
      <c r="F371" s="1"/>
      <c r="G371" s="1"/>
      <c r="H371" s="1"/>
      <c r="I371" s="1"/>
      <c r="J371" s="59"/>
      <c r="K371" s="1"/>
      <c r="L371" s="1"/>
      <c r="M371" s="4"/>
      <c r="N371" s="59"/>
      <c r="O371" s="76"/>
      <c r="P371" s="59"/>
      <c r="Q371" s="76"/>
      <c r="R371" s="59"/>
      <c r="S371" s="59"/>
    </row>
    <row r="372" spans="1:19" ht="13.2">
      <c r="A372" s="1"/>
      <c r="B372" s="1"/>
      <c r="C372" s="58"/>
      <c r="D372" s="1"/>
      <c r="E372" s="1"/>
      <c r="F372" s="1"/>
      <c r="G372" s="1"/>
      <c r="H372" s="1"/>
      <c r="I372" s="1"/>
      <c r="J372" s="59"/>
      <c r="K372" s="1"/>
      <c r="L372" s="1"/>
      <c r="M372" s="4"/>
      <c r="N372" s="59"/>
      <c r="O372" s="76"/>
      <c r="P372" s="59"/>
      <c r="Q372" s="76"/>
      <c r="R372" s="59"/>
      <c r="S372" s="59"/>
    </row>
    <row r="373" spans="1:19" ht="13.2">
      <c r="A373" s="1"/>
      <c r="B373" s="1"/>
      <c r="C373" s="58"/>
      <c r="D373" s="1"/>
      <c r="E373" s="1"/>
      <c r="F373" s="1"/>
      <c r="G373" s="1"/>
      <c r="H373" s="1"/>
      <c r="I373" s="1"/>
      <c r="J373" s="59"/>
      <c r="K373" s="1"/>
      <c r="L373" s="1"/>
      <c r="M373" s="4"/>
      <c r="N373" s="59"/>
      <c r="O373" s="76"/>
      <c r="P373" s="59"/>
      <c r="Q373" s="76"/>
      <c r="R373" s="59"/>
      <c r="S373" s="59"/>
    </row>
    <row r="374" spans="1:19" ht="13.2">
      <c r="A374" s="1"/>
      <c r="B374" s="1"/>
      <c r="C374" s="58"/>
      <c r="D374" s="1"/>
      <c r="E374" s="1"/>
      <c r="F374" s="1"/>
      <c r="G374" s="1"/>
      <c r="H374" s="1"/>
      <c r="I374" s="1"/>
      <c r="J374" s="59"/>
      <c r="K374" s="1"/>
      <c r="L374" s="1"/>
      <c r="M374" s="4"/>
      <c r="N374" s="59"/>
      <c r="O374" s="76"/>
      <c r="P374" s="59"/>
      <c r="Q374" s="76"/>
      <c r="R374" s="59"/>
      <c r="S374" s="59"/>
    </row>
    <row r="375" spans="1:19" ht="13.2">
      <c r="A375" s="1"/>
      <c r="B375" s="1"/>
      <c r="C375" s="58"/>
      <c r="D375" s="1"/>
      <c r="E375" s="1"/>
      <c r="F375" s="1"/>
      <c r="G375" s="1"/>
      <c r="H375" s="1"/>
      <c r="I375" s="1"/>
      <c r="J375" s="59"/>
      <c r="K375" s="1"/>
      <c r="L375" s="1"/>
      <c r="M375" s="4"/>
      <c r="N375" s="59"/>
      <c r="O375" s="76"/>
      <c r="P375" s="59"/>
      <c r="Q375" s="76"/>
      <c r="R375" s="59"/>
      <c r="S375" s="59"/>
    </row>
    <row r="376" spans="1:19" ht="13.2">
      <c r="A376" s="1"/>
      <c r="B376" s="1"/>
      <c r="C376" s="58"/>
      <c r="D376" s="1"/>
      <c r="E376" s="1"/>
      <c r="F376" s="1"/>
      <c r="G376" s="1"/>
      <c r="H376" s="1"/>
      <c r="I376" s="1"/>
      <c r="J376" s="59"/>
      <c r="K376" s="1"/>
      <c r="L376" s="1"/>
      <c r="M376" s="4"/>
      <c r="N376" s="59"/>
      <c r="O376" s="76"/>
      <c r="P376" s="59"/>
      <c r="Q376" s="76"/>
      <c r="R376" s="59"/>
      <c r="S376" s="59"/>
    </row>
    <row r="377" spans="1:19" ht="13.2">
      <c r="A377" s="1"/>
      <c r="B377" s="1"/>
      <c r="C377" s="58"/>
      <c r="D377" s="1"/>
      <c r="E377" s="1"/>
      <c r="F377" s="1"/>
      <c r="G377" s="1"/>
      <c r="H377" s="1"/>
      <c r="I377" s="1"/>
      <c r="J377" s="59"/>
      <c r="K377" s="1"/>
      <c r="L377" s="1"/>
      <c r="M377" s="4"/>
      <c r="N377" s="59"/>
      <c r="O377" s="76"/>
      <c r="P377" s="59"/>
      <c r="Q377" s="76"/>
      <c r="R377" s="59"/>
      <c r="S377" s="59"/>
    </row>
    <row r="378" spans="1:19" ht="13.2">
      <c r="A378" s="1"/>
      <c r="B378" s="1"/>
      <c r="C378" s="58"/>
      <c r="D378" s="1"/>
      <c r="E378" s="1"/>
      <c r="F378" s="1"/>
      <c r="G378" s="1"/>
      <c r="H378" s="1"/>
      <c r="I378" s="1"/>
      <c r="J378" s="59"/>
      <c r="K378" s="1"/>
      <c r="L378" s="1"/>
      <c r="M378" s="4"/>
      <c r="N378" s="59"/>
      <c r="O378" s="76"/>
      <c r="P378" s="59"/>
      <c r="Q378" s="76"/>
      <c r="R378" s="59"/>
      <c r="S378" s="59"/>
    </row>
    <row r="379" spans="1:19" ht="13.2">
      <c r="A379" s="1"/>
      <c r="B379" s="1"/>
      <c r="C379" s="58"/>
      <c r="D379" s="1"/>
      <c r="E379" s="1"/>
      <c r="F379" s="1"/>
      <c r="G379" s="1"/>
      <c r="H379" s="1"/>
      <c r="I379" s="1"/>
      <c r="J379" s="59"/>
      <c r="K379" s="1"/>
      <c r="L379" s="1"/>
      <c r="M379" s="4"/>
      <c r="N379" s="59"/>
      <c r="O379" s="76"/>
      <c r="P379" s="59"/>
      <c r="Q379" s="76"/>
      <c r="R379" s="59"/>
      <c r="S379" s="59"/>
    </row>
    <row r="380" spans="1:19" ht="13.2">
      <c r="A380" s="1"/>
      <c r="B380" s="1"/>
      <c r="C380" s="58"/>
      <c r="D380" s="1"/>
      <c r="E380" s="1"/>
      <c r="F380" s="1"/>
      <c r="G380" s="1"/>
      <c r="H380" s="1"/>
      <c r="I380" s="1"/>
      <c r="J380" s="59"/>
      <c r="K380" s="1"/>
      <c r="L380" s="1"/>
      <c r="M380" s="4"/>
      <c r="N380" s="59"/>
      <c r="O380" s="76"/>
      <c r="P380" s="59"/>
      <c r="Q380" s="76"/>
      <c r="R380" s="59"/>
      <c r="S380" s="59"/>
    </row>
    <row r="381" spans="1:19" ht="13.2">
      <c r="A381" s="1"/>
      <c r="B381" s="1"/>
      <c r="C381" s="58"/>
      <c r="D381" s="1"/>
      <c r="E381" s="1"/>
      <c r="F381" s="1"/>
      <c r="G381" s="1"/>
      <c r="H381" s="1"/>
      <c r="I381" s="1"/>
      <c r="J381" s="59"/>
      <c r="K381" s="1"/>
      <c r="L381" s="1"/>
      <c r="M381" s="4"/>
      <c r="N381" s="59"/>
      <c r="O381" s="76"/>
      <c r="P381" s="59"/>
      <c r="Q381" s="76"/>
      <c r="R381" s="59"/>
      <c r="S381" s="59"/>
    </row>
    <row r="382" spans="1:19" ht="13.2">
      <c r="A382" s="1"/>
      <c r="B382" s="1"/>
      <c r="C382" s="58"/>
      <c r="D382" s="1"/>
      <c r="E382" s="1"/>
      <c r="F382" s="1"/>
      <c r="G382" s="1"/>
      <c r="H382" s="1"/>
      <c r="I382" s="1"/>
      <c r="J382" s="59"/>
      <c r="K382" s="1"/>
      <c r="L382" s="1"/>
      <c r="M382" s="4"/>
      <c r="N382" s="59"/>
      <c r="O382" s="76"/>
      <c r="P382" s="59"/>
      <c r="Q382" s="76"/>
      <c r="R382" s="59"/>
      <c r="S382" s="59"/>
    </row>
    <row r="383" spans="1:19" ht="13.2">
      <c r="A383" s="1"/>
      <c r="B383" s="1"/>
      <c r="C383" s="58"/>
      <c r="D383" s="1"/>
      <c r="E383" s="1"/>
      <c r="F383" s="1"/>
      <c r="G383" s="1"/>
      <c r="H383" s="1"/>
      <c r="I383" s="1"/>
      <c r="J383" s="59"/>
      <c r="K383" s="1"/>
      <c r="L383" s="1"/>
      <c r="M383" s="4"/>
      <c r="N383" s="59"/>
      <c r="O383" s="76"/>
      <c r="P383" s="59"/>
      <c r="Q383" s="76"/>
      <c r="R383" s="59"/>
      <c r="S383" s="59"/>
    </row>
    <row r="384" spans="1:19" ht="13.2">
      <c r="A384" s="1"/>
      <c r="B384" s="1"/>
      <c r="C384" s="58"/>
      <c r="D384" s="1"/>
      <c r="E384" s="1"/>
      <c r="F384" s="1"/>
      <c r="G384" s="1"/>
      <c r="H384" s="1"/>
      <c r="I384" s="1"/>
      <c r="J384" s="59"/>
      <c r="K384" s="1"/>
      <c r="L384" s="1"/>
      <c r="M384" s="4"/>
      <c r="N384" s="59"/>
      <c r="O384" s="76"/>
      <c r="P384" s="59"/>
      <c r="Q384" s="76"/>
      <c r="R384" s="59"/>
      <c r="S384" s="59"/>
    </row>
    <row r="385" spans="1:19" ht="13.2">
      <c r="A385" s="1"/>
      <c r="B385" s="1"/>
      <c r="C385" s="58"/>
      <c r="D385" s="1"/>
      <c r="E385" s="1"/>
      <c r="F385" s="1"/>
      <c r="G385" s="1"/>
      <c r="H385" s="1"/>
      <c r="I385" s="1"/>
      <c r="J385" s="59"/>
      <c r="K385" s="1"/>
      <c r="L385" s="1"/>
      <c r="M385" s="4"/>
      <c r="N385" s="59"/>
      <c r="O385" s="76"/>
      <c r="P385" s="59"/>
      <c r="Q385" s="76"/>
      <c r="R385" s="59"/>
      <c r="S385" s="59"/>
    </row>
    <row r="386" spans="1:19" ht="13.2">
      <c r="A386" s="1"/>
      <c r="B386" s="1"/>
      <c r="C386" s="58"/>
      <c r="D386" s="1"/>
      <c r="E386" s="1"/>
      <c r="F386" s="1"/>
      <c r="G386" s="1"/>
      <c r="H386" s="1"/>
      <c r="I386" s="1"/>
      <c r="J386" s="59"/>
      <c r="K386" s="1"/>
      <c r="L386" s="1"/>
      <c r="M386" s="4"/>
      <c r="N386" s="59"/>
      <c r="O386" s="76"/>
      <c r="P386" s="59"/>
      <c r="Q386" s="76"/>
      <c r="R386" s="59"/>
      <c r="S386" s="59"/>
    </row>
    <row r="387" spans="1:19" ht="13.2">
      <c r="A387" s="1"/>
      <c r="B387" s="1"/>
      <c r="C387" s="58"/>
      <c r="D387" s="1"/>
      <c r="E387" s="1"/>
      <c r="F387" s="1"/>
      <c r="G387" s="1"/>
      <c r="H387" s="1"/>
      <c r="I387" s="1"/>
      <c r="J387" s="59"/>
      <c r="K387" s="1"/>
      <c r="L387" s="1"/>
      <c r="M387" s="4"/>
      <c r="N387" s="59"/>
      <c r="O387" s="76"/>
      <c r="P387" s="59"/>
      <c r="Q387" s="76"/>
      <c r="R387" s="59"/>
      <c r="S387" s="59"/>
    </row>
    <row r="388" spans="1:19" ht="13.2">
      <c r="A388" s="1"/>
      <c r="B388" s="1"/>
      <c r="C388" s="58"/>
      <c r="D388" s="1"/>
      <c r="E388" s="1"/>
      <c r="F388" s="1"/>
      <c r="G388" s="1"/>
      <c r="H388" s="1"/>
      <c r="I388" s="1"/>
      <c r="J388" s="59"/>
      <c r="K388" s="1"/>
      <c r="L388" s="1"/>
      <c r="M388" s="4"/>
      <c r="N388" s="59"/>
      <c r="O388" s="76"/>
      <c r="P388" s="59"/>
      <c r="Q388" s="76"/>
      <c r="R388" s="59"/>
      <c r="S388" s="59"/>
    </row>
    <row r="389" spans="1:19" ht="13.2">
      <c r="A389" s="1"/>
      <c r="B389" s="1"/>
      <c r="C389" s="58"/>
      <c r="D389" s="1"/>
      <c r="E389" s="1"/>
      <c r="F389" s="1"/>
      <c r="G389" s="1"/>
      <c r="H389" s="1"/>
      <c r="I389" s="1"/>
      <c r="J389" s="59"/>
      <c r="K389" s="1"/>
      <c r="L389" s="1"/>
      <c r="M389" s="4"/>
      <c r="N389" s="59"/>
      <c r="O389" s="76"/>
      <c r="P389" s="59"/>
      <c r="Q389" s="76"/>
      <c r="R389" s="59"/>
      <c r="S389" s="59"/>
    </row>
    <row r="390" spans="1:19" ht="13.2">
      <c r="A390" s="1"/>
      <c r="B390" s="1"/>
      <c r="C390" s="58"/>
      <c r="D390" s="1"/>
      <c r="E390" s="1"/>
      <c r="F390" s="1"/>
      <c r="G390" s="1"/>
      <c r="H390" s="1"/>
      <c r="I390" s="1"/>
      <c r="J390" s="59"/>
      <c r="K390" s="1"/>
      <c r="L390" s="1"/>
      <c r="M390" s="4"/>
      <c r="N390" s="59"/>
      <c r="O390" s="76"/>
      <c r="P390" s="59"/>
      <c r="Q390" s="76"/>
      <c r="R390" s="59"/>
      <c r="S390" s="59"/>
    </row>
    <row r="391" spans="1:19" ht="13.2">
      <c r="A391" s="1"/>
      <c r="B391" s="1"/>
      <c r="C391" s="58"/>
      <c r="D391" s="1"/>
      <c r="E391" s="1"/>
      <c r="F391" s="1"/>
      <c r="G391" s="1"/>
      <c r="H391" s="1"/>
      <c r="I391" s="1"/>
      <c r="J391" s="59"/>
      <c r="K391" s="1"/>
      <c r="L391" s="1"/>
      <c r="M391" s="4"/>
      <c r="N391" s="59"/>
      <c r="O391" s="76"/>
      <c r="P391" s="59"/>
      <c r="Q391" s="76"/>
      <c r="R391" s="59"/>
      <c r="S391" s="59"/>
    </row>
  </sheetData>
  <mergeCells count="421">
    <mergeCell ref="D205:E205"/>
    <mergeCell ref="D206:E206"/>
    <mergeCell ref="D207:E207"/>
    <mergeCell ref="D208:E208"/>
    <mergeCell ref="D209:E209"/>
    <mergeCell ref="D210:E210"/>
    <mergeCell ref="D217:E217"/>
    <mergeCell ref="G217:H217"/>
    <mergeCell ref="D203:E203"/>
    <mergeCell ref="G198:H198"/>
    <mergeCell ref="G199:H199"/>
    <mergeCell ref="G200:H200"/>
    <mergeCell ref="G201:H201"/>
    <mergeCell ref="G202:H202"/>
    <mergeCell ref="G203:H203"/>
    <mergeCell ref="G204:H204"/>
    <mergeCell ref="D204:E204"/>
    <mergeCell ref="Q190:R190"/>
    <mergeCell ref="C191:D191"/>
    <mergeCell ref="E191:K191"/>
    <mergeCell ref="Q191:R191"/>
    <mergeCell ref="D192:E192"/>
    <mergeCell ref="G192:H192"/>
    <mergeCell ref="D193:E193"/>
    <mergeCell ref="D194:E194"/>
    <mergeCell ref="G193:H193"/>
    <mergeCell ref="G194:H194"/>
    <mergeCell ref="G205:H205"/>
    <mergeCell ref="G206:H206"/>
    <mergeCell ref="G207:H207"/>
    <mergeCell ref="G208:H208"/>
    <mergeCell ref="G209:H209"/>
    <mergeCell ref="G210:H210"/>
    <mergeCell ref="G211:H211"/>
    <mergeCell ref="D187:G187"/>
    <mergeCell ref="I187:J187"/>
    <mergeCell ref="D188:F188"/>
    <mergeCell ref="D189:K189"/>
    <mergeCell ref="C190:D190"/>
    <mergeCell ref="E190:K190"/>
    <mergeCell ref="D195:E195"/>
    <mergeCell ref="G195:H195"/>
    <mergeCell ref="D196:E196"/>
    <mergeCell ref="G196:H196"/>
    <mergeCell ref="G197:H197"/>
    <mergeCell ref="D197:E197"/>
    <mergeCell ref="D198:E198"/>
    <mergeCell ref="D199:E199"/>
    <mergeCell ref="D200:E200"/>
    <mergeCell ref="D201:E201"/>
    <mergeCell ref="D202:E202"/>
    <mergeCell ref="G128:H128"/>
    <mergeCell ref="G129:H129"/>
    <mergeCell ref="G130:H130"/>
    <mergeCell ref="G131:H131"/>
    <mergeCell ref="G132:H132"/>
    <mergeCell ref="G133:H133"/>
    <mergeCell ref="G134:H134"/>
    <mergeCell ref="D127:E127"/>
    <mergeCell ref="D128:E128"/>
    <mergeCell ref="D129:E129"/>
    <mergeCell ref="D130:E130"/>
    <mergeCell ref="D131:E131"/>
    <mergeCell ref="D132:E132"/>
    <mergeCell ref="D133:E133"/>
    <mergeCell ref="C145:K148"/>
    <mergeCell ref="D134:E134"/>
    <mergeCell ref="D135:E135"/>
    <mergeCell ref="D136:E136"/>
    <mergeCell ref="D137:E137"/>
    <mergeCell ref="D138:E138"/>
    <mergeCell ref="D139:E139"/>
    <mergeCell ref="D140:E140"/>
    <mergeCell ref="D115:E115"/>
    <mergeCell ref="G115:H115"/>
    <mergeCell ref="D116:E116"/>
    <mergeCell ref="G116:H116"/>
    <mergeCell ref="D117:E117"/>
    <mergeCell ref="G117:H117"/>
    <mergeCell ref="G118:H118"/>
    <mergeCell ref="G122:H122"/>
    <mergeCell ref="G123:H123"/>
    <mergeCell ref="D118:E118"/>
    <mergeCell ref="D119:E119"/>
    <mergeCell ref="D120:E120"/>
    <mergeCell ref="D121:E121"/>
    <mergeCell ref="G121:H121"/>
    <mergeCell ref="D122:E122"/>
    <mergeCell ref="D123:E123"/>
    <mergeCell ref="D104:E104"/>
    <mergeCell ref="D105:E105"/>
    <mergeCell ref="D106:E106"/>
    <mergeCell ref="D107:E107"/>
    <mergeCell ref="D108:E108"/>
    <mergeCell ref="G119:H119"/>
    <mergeCell ref="G120:H120"/>
    <mergeCell ref="D141:E141"/>
    <mergeCell ref="D142:E142"/>
    <mergeCell ref="D124:E124"/>
    <mergeCell ref="G124:H124"/>
    <mergeCell ref="D125:E125"/>
    <mergeCell ref="G125:H125"/>
    <mergeCell ref="D126:E126"/>
    <mergeCell ref="G126:H126"/>
    <mergeCell ref="G127:H127"/>
    <mergeCell ref="G135:H135"/>
    <mergeCell ref="G136:H136"/>
    <mergeCell ref="G137:H137"/>
    <mergeCell ref="G138:H138"/>
    <mergeCell ref="G139:H139"/>
    <mergeCell ref="G140:H140"/>
    <mergeCell ref="G141:H141"/>
    <mergeCell ref="G142:H142"/>
    <mergeCell ref="D99:E99"/>
    <mergeCell ref="G99:H99"/>
    <mergeCell ref="D100:E100"/>
    <mergeCell ref="G100:H100"/>
    <mergeCell ref="D101:E101"/>
    <mergeCell ref="G101:H101"/>
    <mergeCell ref="G102:H102"/>
    <mergeCell ref="D102:E102"/>
    <mergeCell ref="D103:E103"/>
    <mergeCell ref="G92:H92"/>
    <mergeCell ref="D93:E93"/>
    <mergeCell ref="G93:H93"/>
    <mergeCell ref="G94:H94"/>
    <mergeCell ref="G97:H97"/>
    <mergeCell ref="G98:H98"/>
    <mergeCell ref="D94:E94"/>
    <mergeCell ref="D95:E95"/>
    <mergeCell ref="G95:H95"/>
    <mergeCell ref="D96:E96"/>
    <mergeCell ref="G96:H96"/>
    <mergeCell ref="D97:E97"/>
    <mergeCell ref="D98:E98"/>
    <mergeCell ref="D40:E40"/>
    <mergeCell ref="E90:K90"/>
    <mergeCell ref="Q90:R90"/>
    <mergeCell ref="Q91:R91"/>
    <mergeCell ref="G113:H113"/>
    <mergeCell ref="G114:H114"/>
    <mergeCell ref="D109:E109"/>
    <mergeCell ref="D110:E110"/>
    <mergeCell ref="D111:E111"/>
    <mergeCell ref="D112:E112"/>
    <mergeCell ref="G112:H112"/>
    <mergeCell ref="D113:E113"/>
    <mergeCell ref="D114:E114"/>
    <mergeCell ref="G41:H41"/>
    <mergeCell ref="G42:H42"/>
    <mergeCell ref="D87:G87"/>
    <mergeCell ref="I87:J87"/>
    <mergeCell ref="D88:F88"/>
    <mergeCell ref="D89:K89"/>
    <mergeCell ref="C90:D90"/>
    <mergeCell ref="C91:D91"/>
    <mergeCell ref="E91:K91"/>
    <mergeCell ref="D92:E92"/>
    <mergeCell ref="G32:H32"/>
    <mergeCell ref="G33:H33"/>
    <mergeCell ref="G34:H34"/>
    <mergeCell ref="G35:H35"/>
    <mergeCell ref="D35:E35"/>
    <mergeCell ref="D36:E36"/>
    <mergeCell ref="D37:E37"/>
    <mergeCell ref="D38:E38"/>
    <mergeCell ref="D39:E39"/>
    <mergeCell ref="G310:H310"/>
    <mergeCell ref="G311:H311"/>
    <mergeCell ref="G312:H312"/>
    <mergeCell ref="G313:H313"/>
    <mergeCell ref="D14:E14"/>
    <mergeCell ref="D15:E15"/>
    <mergeCell ref="G15:H15"/>
    <mergeCell ref="D16:E16"/>
    <mergeCell ref="G16:H16"/>
    <mergeCell ref="D17:E17"/>
    <mergeCell ref="D18:E18"/>
    <mergeCell ref="D19:E19"/>
    <mergeCell ref="G19:H19"/>
    <mergeCell ref="D20:E20"/>
    <mergeCell ref="G20:H20"/>
    <mergeCell ref="D21:E21"/>
    <mergeCell ref="G21:H21"/>
    <mergeCell ref="G22:H22"/>
    <mergeCell ref="D25:E25"/>
    <mergeCell ref="G25:H25"/>
    <mergeCell ref="D26:E26"/>
    <mergeCell ref="G26:H26"/>
    <mergeCell ref="D27:E27"/>
    <mergeCell ref="G27:H27"/>
    <mergeCell ref="G301:H301"/>
    <mergeCell ref="G302:H302"/>
    <mergeCell ref="G303:H303"/>
    <mergeCell ref="G304:H304"/>
    <mergeCell ref="G305:H305"/>
    <mergeCell ref="G306:H306"/>
    <mergeCell ref="G307:H307"/>
    <mergeCell ref="G308:H308"/>
    <mergeCell ref="G309:H309"/>
    <mergeCell ref="I287:J287"/>
    <mergeCell ref="D289:K289"/>
    <mergeCell ref="G294:H294"/>
    <mergeCell ref="G295:H295"/>
    <mergeCell ref="E290:K290"/>
    <mergeCell ref="D292:E292"/>
    <mergeCell ref="G292:H292"/>
    <mergeCell ref="D293:E293"/>
    <mergeCell ref="G293:H293"/>
    <mergeCell ref="D294:E294"/>
    <mergeCell ref="D295:E295"/>
    <mergeCell ref="G332:H332"/>
    <mergeCell ref="G333:H333"/>
    <mergeCell ref="G334:H334"/>
    <mergeCell ref="G342:H342"/>
    <mergeCell ref="C345:K348"/>
    <mergeCell ref="G335:H335"/>
    <mergeCell ref="G336:H336"/>
    <mergeCell ref="G337:H337"/>
    <mergeCell ref="G338:H338"/>
    <mergeCell ref="G339:H339"/>
    <mergeCell ref="G340:H340"/>
    <mergeCell ref="G341:H341"/>
    <mergeCell ref="G323:H323"/>
    <mergeCell ref="G324:H324"/>
    <mergeCell ref="G325:H325"/>
    <mergeCell ref="G326:H326"/>
    <mergeCell ref="G327:H327"/>
    <mergeCell ref="G328:H328"/>
    <mergeCell ref="G329:H329"/>
    <mergeCell ref="G330:H330"/>
    <mergeCell ref="G331:H331"/>
    <mergeCell ref="G314:H314"/>
    <mergeCell ref="G315:H315"/>
    <mergeCell ref="G316:H316"/>
    <mergeCell ref="G317:H317"/>
    <mergeCell ref="G318:H318"/>
    <mergeCell ref="G319:H319"/>
    <mergeCell ref="G320:H320"/>
    <mergeCell ref="G321:H321"/>
    <mergeCell ref="G322:H322"/>
    <mergeCell ref="D328:E328"/>
    <mergeCell ref="D329:E329"/>
    <mergeCell ref="D330:E330"/>
    <mergeCell ref="D331:E331"/>
    <mergeCell ref="D332:E332"/>
    <mergeCell ref="D333:E333"/>
    <mergeCell ref="D341:E341"/>
    <mergeCell ref="D342:E342"/>
    <mergeCell ref="D334:E334"/>
    <mergeCell ref="D335:E335"/>
    <mergeCell ref="D336:E336"/>
    <mergeCell ref="D337:E337"/>
    <mergeCell ref="D338:E338"/>
    <mergeCell ref="D339:E339"/>
    <mergeCell ref="D340:E340"/>
    <mergeCell ref="D319:E319"/>
    <mergeCell ref="D320:E320"/>
    <mergeCell ref="D321:E321"/>
    <mergeCell ref="D322:E322"/>
    <mergeCell ref="D323:E323"/>
    <mergeCell ref="D324:E324"/>
    <mergeCell ref="D325:E325"/>
    <mergeCell ref="D326:E326"/>
    <mergeCell ref="D327:E327"/>
    <mergeCell ref="D310:E310"/>
    <mergeCell ref="D311:E311"/>
    <mergeCell ref="D312:E312"/>
    <mergeCell ref="D313:E313"/>
    <mergeCell ref="D314:E314"/>
    <mergeCell ref="D315:E315"/>
    <mergeCell ref="D316:E316"/>
    <mergeCell ref="D317:E317"/>
    <mergeCell ref="D318:E318"/>
    <mergeCell ref="C290:D290"/>
    <mergeCell ref="Q290:R290"/>
    <mergeCell ref="C291:D291"/>
    <mergeCell ref="E291:K291"/>
    <mergeCell ref="Q291:R291"/>
    <mergeCell ref="D306:E306"/>
    <mergeCell ref="D307:E307"/>
    <mergeCell ref="D308:E308"/>
    <mergeCell ref="D309:E309"/>
    <mergeCell ref="D296:E296"/>
    <mergeCell ref="G296:H296"/>
    <mergeCell ref="D297:E297"/>
    <mergeCell ref="G297:H297"/>
    <mergeCell ref="D298:E298"/>
    <mergeCell ref="G298:H298"/>
    <mergeCell ref="G299:H299"/>
    <mergeCell ref="D299:E299"/>
    <mergeCell ref="D300:E300"/>
    <mergeCell ref="D301:E301"/>
    <mergeCell ref="D302:E302"/>
    <mergeCell ref="D303:E303"/>
    <mergeCell ref="D304:E304"/>
    <mergeCell ref="D305:E305"/>
    <mergeCell ref="G300:H300"/>
    <mergeCell ref="G228:H228"/>
    <mergeCell ref="D228:E228"/>
    <mergeCell ref="D229:E229"/>
    <mergeCell ref="D230:E230"/>
    <mergeCell ref="D231:E231"/>
    <mergeCell ref="D232:E232"/>
    <mergeCell ref="D233:E233"/>
    <mergeCell ref="D234:E234"/>
    <mergeCell ref="D288:F288"/>
    <mergeCell ref="D241:E241"/>
    <mergeCell ref="G241:H241"/>
    <mergeCell ref="D242:E242"/>
    <mergeCell ref="G242:H242"/>
    <mergeCell ref="D287:G287"/>
    <mergeCell ref="D223:E223"/>
    <mergeCell ref="D224:E224"/>
    <mergeCell ref="D225:E225"/>
    <mergeCell ref="D226:E226"/>
    <mergeCell ref="D227:E227"/>
    <mergeCell ref="G222:H222"/>
    <mergeCell ref="G223:H223"/>
    <mergeCell ref="G224:H224"/>
    <mergeCell ref="G225:H225"/>
    <mergeCell ref="G226:H226"/>
    <mergeCell ref="G227:H227"/>
    <mergeCell ref="D218:E218"/>
    <mergeCell ref="G218:H218"/>
    <mergeCell ref="D219:E219"/>
    <mergeCell ref="G219:H219"/>
    <mergeCell ref="D220:E220"/>
    <mergeCell ref="G220:H220"/>
    <mergeCell ref="G221:H221"/>
    <mergeCell ref="D221:E221"/>
    <mergeCell ref="D222:E222"/>
    <mergeCell ref="G215:H215"/>
    <mergeCell ref="G216:H216"/>
    <mergeCell ref="D211:E211"/>
    <mergeCell ref="D212:E212"/>
    <mergeCell ref="D213:E213"/>
    <mergeCell ref="D214:E214"/>
    <mergeCell ref="G214:H214"/>
    <mergeCell ref="D215:E215"/>
    <mergeCell ref="D216:E216"/>
    <mergeCell ref="G212:H212"/>
    <mergeCell ref="G213:H213"/>
    <mergeCell ref="G239:H239"/>
    <mergeCell ref="G240:H240"/>
    <mergeCell ref="C245:K248"/>
    <mergeCell ref="D235:E235"/>
    <mergeCell ref="D236:E236"/>
    <mergeCell ref="D237:E237"/>
    <mergeCell ref="D238:E238"/>
    <mergeCell ref="G238:H238"/>
    <mergeCell ref="D239:E239"/>
    <mergeCell ref="D240:E240"/>
    <mergeCell ref="G236:H236"/>
    <mergeCell ref="G237:H237"/>
    <mergeCell ref="G229:H229"/>
    <mergeCell ref="G230:H230"/>
    <mergeCell ref="G231:H231"/>
    <mergeCell ref="G232:H232"/>
    <mergeCell ref="G233:H233"/>
    <mergeCell ref="G234:H234"/>
    <mergeCell ref="G235:H235"/>
    <mergeCell ref="G110:H110"/>
    <mergeCell ref="G111:H111"/>
    <mergeCell ref="G103:H103"/>
    <mergeCell ref="G104:H104"/>
    <mergeCell ref="G105:H105"/>
    <mergeCell ref="G106:H106"/>
    <mergeCell ref="G107:H107"/>
    <mergeCell ref="G108:H108"/>
    <mergeCell ref="G109:H109"/>
    <mergeCell ref="D41:E41"/>
    <mergeCell ref="D42:E42"/>
    <mergeCell ref="C45:K48"/>
    <mergeCell ref="D23:E23"/>
    <mergeCell ref="D24:E24"/>
    <mergeCell ref="G23:H23"/>
    <mergeCell ref="G24:H24"/>
    <mergeCell ref="G36:H36"/>
    <mergeCell ref="G37:H37"/>
    <mergeCell ref="G38:H38"/>
    <mergeCell ref="G39:H39"/>
    <mergeCell ref="G40:H40"/>
    <mergeCell ref="G28:H28"/>
    <mergeCell ref="D28:E28"/>
    <mergeCell ref="D29:E29"/>
    <mergeCell ref="D30:E30"/>
    <mergeCell ref="D31:E31"/>
    <mergeCell ref="D32:E32"/>
    <mergeCell ref="D33:E33"/>
    <mergeCell ref="D34:E34"/>
    <mergeCell ref="G29:H29"/>
    <mergeCell ref="G30:H30"/>
    <mergeCell ref="G31:H31"/>
    <mergeCell ref="C12:D12"/>
    <mergeCell ref="E12:K12"/>
    <mergeCell ref="Q12:R12"/>
    <mergeCell ref="D13:E13"/>
    <mergeCell ref="G13:H13"/>
    <mergeCell ref="G14:H14"/>
    <mergeCell ref="G17:H17"/>
    <mergeCell ref="G18:H18"/>
    <mergeCell ref="D22:E22"/>
    <mergeCell ref="Q11:R11"/>
    <mergeCell ref="B5:C5"/>
    <mergeCell ref="D5:E5"/>
    <mergeCell ref="B6:C6"/>
    <mergeCell ref="D6:E6"/>
    <mergeCell ref="D8:G8"/>
    <mergeCell ref="I8:J8"/>
    <mergeCell ref="D10:K10"/>
    <mergeCell ref="E11:K11"/>
    <mergeCell ref="E1:K1"/>
    <mergeCell ref="B2:C2"/>
    <mergeCell ref="D2:E2"/>
    <mergeCell ref="B3:C3"/>
    <mergeCell ref="D3:E3"/>
    <mergeCell ref="B4:C4"/>
    <mergeCell ref="D4:E4"/>
    <mergeCell ref="D9:F9"/>
    <mergeCell ref="C11:D11"/>
  </mergeCells>
  <phoneticPr fontId="46" type="noConversion"/>
  <conditionalFormatting sqref="J3:K6">
    <cfRule type="cellIs" dxfId="5" priority="1" operator="equal">
      <formula>0</formula>
    </cfRule>
  </conditionalFormatting>
  <pageMargins left="0.7" right="0.7" top="0.75" bottom="0.75" header="0.3" footer="0.3"/>
  <ignoredErrors>
    <ignoredError sqref="C14 C15:C39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00"/>
    <outlinePr summaryBelow="0" summaryRight="0"/>
  </sheetPr>
  <dimension ref="A1:AA2401"/>
  <sheetViews>
    <sheetView workbookViewId="0">
      <pane ySplit="2" topLeftCell="A3" activePane="bottomLeft" state="frozen"/>
      <selection pane="bottomLeft" activeCell="B4" sqref="B4"/>
    </sheetView>
  </sheetViews>
  <sheetFormatPr defaultColWidth="12.6640625" defaultRowHeight="15.75" customHeight="1"/>
  <cols>
    <col min="2" max="2" width="15.33203125" customWidth="1"/>
    <col min="7" max="9" width="9.109375" customWidth="1"/>
    <col min="10" max="10" width="10.44140625" customWidth="1"/>
    <col min="11" max="11" width="10" customWidth="1"/>
    <col min="12" max="12" width="2.6640625" customWidth="1"/>
    <col min="13" max="13" width="9.109375" customWidth="1"/>
    <col min="14" max="14" width="2.6640625" customWidth="1"/>
    <col min="15" max="15" width="9.109375" customWidth="1"/>
    <col min="16" max="16" width="3.21875" customWidth="1"/>
    <col min="17" max="20" width="16" customWidth="1"/>
  </cols>
  <sheetData>
    <row r="1" spans="1:27">
      <c r="A1" s="108" t="s">
        <v>259</v>
      </c>
      <c r="B1" s="109"/>
      <c r="C1" s="109"/>
      <c r="D1" s="109">
        <v>2024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1"/>
      <c r="Q1" s="111"/>
      <c r="R1" s="111"/>
      <c r="S1" s="112"/>
      <c r="T1" s="112"/>
      <c r="U1" s="112"/>
      <c r="V1" s="112"/>
      <c r="W1" s="112"/>
      <c r="X1" s="112"/>
      <c r="Y1" s="112"/>
      <c r="Z1" s="112"/>
      <c r="AA1" s="112"/>
    </row>
    <row r="2" spans="1:27" ht="15.75" customHeight="1">
      <c r="A2" s="113" t="str">
        <f ca="1">IFERROR(__xludf.DUMMYFUNCTION("SORT( QUERY( IMPORTRANGE( VLOOKUP(""DiverDBExport"",'Lookup-Generic'!$O:$P,2,0), ""Lookup-DiverRoster!$A$4:$O$2400"" ), ""SELECT *""), 1, true, 9, true, 2, true)"),"!2024
 DiverTeam: 
2204 Entries")</f>
        <v>!2024
 DiverTeam: 
2204 Entries</v>
      </c>
      <c r="B2" s="114" t="str">
        <f ca="1">IFERROR(__xludf.DUMMYFUNCTION("""COMPUTED_VALUE"""),"!2024
 DiverName: 
2204 Entries")</f>
        <v>!2024
 DiverName: 
2204 Entries</v>
      </c>
      <c r="C2" s="114" t="str">
        <f ca="1">IFERROR(__xludf.DUMMYFUNCTION("""COMPUTED_VALUE"""),"!2024
 DiverAgeOn61: 
2203 Entries")</f>
        <v>!2024
 DiverAgeOn61: 
2203 Entries</v>
      </c>
      <c r="D2" s="114" t="str">
        <f ca="1">IFERROR(__xludf.DUMMYFUNCTION("""COMPUTED_VALUE"""),"!2024
 DiverGender: 
2203 Entries
G:1267 B:936")</f>
        <v>!2024
 DiverGender: 
2203 Entries
G:1267 B:936</v>
      </c>
      <c r="E2" s="115" t="str">
        <f ca="1">IFERROR(__xludf.DUMMYFUNCTION("""COMPUTED_VALUE"""),"!Calculated DiverEvent
F:1103 J:525 I:312 S:263")</f>
        <v>!Calculated DiverEvent
F:1103 J:525 I:312 S:263</v>
      </c>
      <c r="F2" s="115" t="str">
        <f ca="1">IFERROR(__xludf.DUMMYFUNCTION("""COMPUTED_VALUE"""),"Calculated DiveUpEvent")</f>
        <v>Calculated DiveUpEvent</v>
      </c>
      <c r="G2" s="115" t="str">
        <f ca="1">IFERROR(__xludf.DUMMYFUNCTION("""COMPUTED_VALUE"""),"Division Lookup")</f>
        <v>Division Lookup</v>
      </c>
      <c r="H2" s="115" t="str">
        <f ca="1">IFERROR(__xludf.DUMMYFUNCTION("""COMPUTED_VALUE"""),"Club Lookup")</f>
        <v>Club Lookup</v>
      </c>
      <c r="I2" s="115" t="str">
        <f ca="1">IFERROR(__xludf.DUMMYFUNCTION("""COMPUTED_VALUE"""),"Event Sort Order")</f>
        <v>Event Sort Order</v>
      </c>
      <c r="J2" s="115" t="str">
        <f ca="1">IFERROR(__xludf.DUMMYFUNCTION("""COMPUTED_VALUE"""),"Dual Meets Diver Completed")</f>
        <v>Dual Meets Diver Completed</v>
      </c>
      <c r="K2" s="115" t="str">
        <f ca="1">IFERROR(__xludf.DUMMYFUNCTION("""COMPUTED_VALUE"""),"Diver Dual-Meet 1-4 High Score")</f>
        <v>Diver Dual-Meet 1-4 High Score</v>
      </c>
      <c r="L2" s="115" t="str">
        <f ca="1">IFERROR(__xludf.DUMMYFUNCTION("""COMPUTED_VALUE"""),"")</f>
        <v/>
      </c>
      <c r="M2" s="115" t="str">
        <f ca="1">IFERROR(__xludf.DUMMYFUNCTION("""COMPUTED_VALUE"""),"06/18/24 Dual Meet Results")</f>
        <v>06/18/24 Dual Meet Results</v>
      </c>
      <c r="N2" s="115" t="str">
        <f ca="1">IFERROR(__xludf.DUMMYFUNCTION("""COMPUTED_VALUE"""),"")</f>
        <v/>
      </c>
      <c r="O2" s="115" t="str">
        <f ca="1">IFERROR(__xludf.DUMMYFUNCTION("""COMPUTED_VALUE"""),"06/25/24 Dual Meet Results")</f>
        <v>06/25/24 Dual Meet Results</v>
      </c>
      <c r="P2" s="116"/>
      <c r="Q2" s="117" t="s">
        <v>260</v>
      </c>
      <c r="R2" s="117" t="s">
        <v>261</v>
      </c>
      <c r="S2" s="117" t="s">
        <v>262</v>
      </c>
      <c r="T2" s="117" t="s">
        <v>263</v>
      </c>
    </row>
    <row r="3" spans="1:27" ht="15.75" customHeight="1">
      <c r="A3" s="118" t="str">
        <f ca="1">IFERROR(__xludf.DUMMYFUNCTION("""COMPUTED_VALUE"""),"A")</f>
        <v>A</v>
      </c>
      <c r="B3" s="119" t="str">
        <f ca="1">IFERROR(__xludf.DUMMYFUNCTION("""COMPUTED_VALUE"""),"Elizabeth Rodenbeck")</f>
        <v>Elizabeth Rodenbeck</v>
      </c>
      <c r="C3" s="118">
        <f ca="1">IFERROR(__xludf.DUMMYFUNCTION("""COMPUTED_VALUE"""),10)</f>
        <v>10</v>
      </c>
      <c r="D3" s="118" t="str">
        <f ca="1">IFERROR(__xludf.DUMMYFUNCTION("""COMPUTED_VALUE"""),"G")</f>
        <v>G</v>
      </c>
      <c r="E3" s="118" t="str">
        <f ca="1">IFERROR(__xludf.DUMMYFUNCTION("""COMPUTED_VALUE"""),"F")</f>
        <v>F</v>
      </c>
      <c r="F3" s="118" t="str">
        <f ca="1">IFERROR(__xludf.DUMMYFUNCTION("""COMPUTED_VALUE"""),"J")</f>
        <v>J</v>
      </c>
      <c r="G3" s="118">
        <f ca="1">IFERROR(__xludf.DUMMYFUNCTION("""COMPUTED_VALUE"""),7)</f>
        <v>7</v>
      </c>
      <c r="H3" s="118" t="str">
        <f ca="1">IFERROR(__xludf.DUMMYFUNCTION("""COMPUTED_VALUE"""),"A")</f>
        <v>A</v>
      </c>
      <c r="I3" s="118">
        <f ca="1">IFERROR(__xludf.DUMMYFUNCTION("""COMPUTED_VALUE"""),4)</f>
        <v>4</v>
      </c>
      <c r="J3" s="118">
        <f ca="1">IFERROR(__xludf.DUMMYFUNCTION("""COMPUTED_VALUE"""),4)</f>
        <v>4</v>
      </c>
      <c r="K3" s="120">
        <f ca="1">IFERROR(__xludf.DUMMYFUNCTION("""COMPUTED_VALUE"""),35.8)</f>
        <v>35.799999999999997</v>
      </c>
      <c r="L3" s="121"/>
      <c r="M3" s="120"/>
      <c r="N3" s="121"/>
      <c r="O3" s="120">
        <f ca="1">IFERROR(__xludf.DUMMYFUNCTION("""COMPUTED_VALUE"""),35.8)</f>
        <v>35.799999999999997</v>
      </c>
      <c r="P3" s="122"/>
      <c r="Q3" s="123" t="str">
        <f ca="1">IFERROR(__xludf.DUMMYFUNCTION("SORT( FILTER( $B:$B, VALUE( $C:$C ) &lt;= 12, $D:$D=""G"" ))"),"Aadhya Alla")</f>
        <v>Aadhya Alla</v>
      </c>
      <c r="R3" s="123" t="str">
        <f ca="1">IFERROR(__xludf.DUMMYFUNCTION("SORT( FILTER( $B:$B, VALUE( $C:$C ) &lt;= 12, $D:$D=""B"" ))"),"Aadi Bhartiya")</f>
        <v>Aadi Bhartiya</v>
      </c>
      <c r="S3" s="123" t="str">
        <f ca="1">IFERROR(__xludf.DUMMYFUNCTION("SORT( FILTER( $B:$B, $D:$D=""G"" ))"),"Aadhya Alla")</f>
        <v>Aadhya Alla</v>
      </c>
      <c r="T3" s="123" t="str">
        <f ca="1">IFERROR(__xludf.DUMMYFUNCTION("SORT( FILTER( $B:$B, $D:$D=""B"" ))"),"Aadi Bhartiya")</f>
        <v>Aadi Bhartiya</v>
      </c>
    </row>
    <row r="4" spans="1:27" ht="15.75" customHeight="1">
      <c r="A4" s="118" t="str">
        <f ca="1">IFERROR(__xludf.DUMMYFUNCTION("""COMPUTED_VALUE"""),"A")</f>
        <v>A</v>
      </c>
      <c r="B4" s="119" t="str">
        <f ca="1">IFERROR(__xludf.DUMMYFUNCTION("""COMPUTED_VALUE"""),"Farah Ahmadi")</f>
        <v>Farah Ahmadi</v>
      </c>
      <c r="C4" s="118">
        <f ca="1">IFERROR(__xludf.DUMMYFUNCTION("""COMPUTED_VALUE"""),8)</f>
        <v>8</v>
      </c>
      <c r="D4" s="118" t="str">
        <f ca="1">IFERROR(__xludf.DUMMYFUNCTION("""COMPUTED_VALUE"""),"G")</f>
        <v>G</v>
      </c>
      <c r="E4" s="118" t="str">
        <f ca="1">IFERROR(__xludf.DUMMYFUNCTION("""COMPUTED_VALUE"""),"F")</f>
        <v>F</v>
      </c>
      <c r="F4" s="118" t="str">
        <f ca="1">IFERROR(__xludf.DUMMYFUNCTION("""COMPUTED_VALUE"""),"J")</f>
        <v>J</v>
      </c>
      <c r="G4" s="118">
        <f ca="1">IFERROR(__xludf.DUMMYFUNCTION("""COMPUTED_VALUE"""),7)</f>
        <v>7</v>
      </c>
      <c r="H4" s="118" t="str">
        <f ca="1">IFERROR(__xludf.DUMMYFUNCTION("""COMPUTED_VALUE"""),"A")</f>
        <v>A</v>
      </c>
      <c r="I4" s="118">
        <f ca="1">IFERROR(__xludf.DUMMYFUNCTION("""COMPUTED_VALUE"""),4)</f>
        <v>4</v>
      </c>
      <c r="J4" s="118">
        <f ca="1">IFERROR(__xludf.DUMMYFUNCTION("""COMPUTED_VALUE"""),0)</f>
        <v>0</v>
      </c>
      <c r="K4" s="120"/>
      <c r="L4" s="121"/>
      <c r="M4" s="120"/>
      <c r="N4" s="121"/>
      <c r="O4" s="120"/>
      <c r="P4" s="122"/>
      <c r="Q4" s="123" t="str">
        <f ca="1">IFERROR(__xludf.DUMMYFUNCTION("""COMPUTED_VALUE"""),"Abbie Colwill")</f>
        <v>Abbie Colwill</v>
      </c>
      <c r="R4" s="123" t="str">
        <f ca="1">IFERROR(__xludf.DUMMYFUNCTION("""COMPUTED_VALUE"""),"Aaron Barger")</f>
        <v>Aaron Barger</v>
      </c>
      <c r="S4" s="123" t="str">
        <f ca="1">IFERROR(__xludf.DUMMYFUNCTION("""COMPUTED_VALUE"""),"Abbie Colwill")</f>
        <v>Abbie Colwill</v>
      </c>
      <c r="T4" s="123" t="str">
        <f ca="1">IFERROR(__xludf.DUMMYFUNCTION("""COMPUTED_VALUE"""),"Aaron Barger")</f>
        <v>Aaron Barger</v>
      </c>
    </row>
    <row r="5" spans="1:27" ht="15.75" customHeight="1">
      <c r="A5" s="118" t="str">
        <f ca="1">IFERROR(__xludf.DUMMYFUNCTION("""COMPUTED_VALUE"""),"A")</f>
        <v>A</v>
      </c>
      <c r="B5" s="119" t="str">
        <f ca="1">IFERROR(__xludf.DUMMYFUNCTION("""COMPUTED_VALUE"""),"Grace Middendorf")</f>
        <v>Grace Middendorf</v>
      </c>
      <c r="C5" s="118">
        <f ca="1">IFERROR(__xludf.DUMMYFUNCTION("""COMPUTED_VALUE"""),8)</f>
        <v>8</v>
      </c>
      <c r="D5" s="118" t="str">
        <f ca="1">IFERROR(__xludf.DUMMYFUNCTION("""COMPUTED_VALUE"""),"G")</f>
        <v>G</v>
      </c>
      <c r="E5" s="118" t="str">
        <f ca="1">IFERROR(__xludf.DUMMYFUNCTION("""COMPUTED_VALUE"""),"F")</f>
        <v>F</v>
      </c>
      <c r="F5" s="118" t="str">
        <f ca="1">IFERROR(__xludf.DUMMYFUNCTION("""COMPUTED_VALUE"""),"J")</f>
        <v>J</v>
      </c>
      <c r="G5" s="118">
        <f ca="1">IFERROR(__xludf.DUMMYFUNCTION("""COMPUTED_VALUE"""),7)</f>
        <v>7</v>
      </c>
      <c r="H5" s="118" t="str">
        <f ca="1">IFERROR(__xludf.DUMMYFUNCTION("""COMPUTED_VALUE"""),"A")</f>
        <v>A</v>
      </c>
      <c r="I5" s="118">
        <f ca="1">IFERROR(__xludf.DUMMYFUNCTION("""COMPUTED_VALUE"""),4)</f>
        <v>4</v>
      </c>
      <c r="J5" s="118">
        <f ca="1">IFERROR(__xludf.DUMMYFUNCTION("""COMPUTED_VALUE"""),1)</f>
        <v>1</v>
      </c>
      <c r="K5" s="120">
        <f ca="1">IFERROR(__xludf.DUMMYFUNCTION("""COMPUTED_VALUE"""),14.5)</f>
        <v>14.5</v>
      </c>
      <c r="L5" s="121"/>
      <c r="M5" s="120"/>
      <c r="N5" s="121"/>
      <c r="O5" s="120">
        <f ca="1">IFERROR(__xludf.DUMMYFUNCTION("""COMPUTED_VALUE"""),14.5)</f>
        <v>14.5</v>
      </c>
      <c r="P5" s="122"/>
      <c r="Q5" s="123" t="str">
        <f ca="1">IFERROR(__xludf.DUMMYFUNCTION("""COMPUTED_VALUE"""),"Abby Bockman")</f>
        <v>Abby Bockman</v>
      </c>
      <c r="R5" s="123" t="str">
        <f ca="1">IFERROR(__xludf.DUMMYFUNCTION("""COMPUTED_VALUE"""),"Aaron Scruby")</f>
        <v>Aaron Scruby</v>
      </c>
      <c r="S5" s="123" t="str">
        <f ca="1">IFERROR(__xludf.DUMMYFUNCTION("""COMPUTED_VALUE"""),"Abby Bockman")</f>
        <v>Abby Bockman</v>
      </c>
      <c r="T5" s="123" t="str">
        <f ca="1">IFERROR(__xludf.DUMMYFUNCTION("""COMPUTED_VALUE"""),"Aaron Scruby")</f>
        <v>Aaron Scruby</v>
      </c>
    </row>
    <row r="6" spans="1:27" ht="15.75" customHeight="1">
      <c r="A6" s="118" t="str">
        <f ca="1">IFERROR(__xludf.DUMMYFUNCTION("""COMPUTED_VALUE"""),"A")</f>
        <v>A</v>
      </c>
      <c r="B6" s="119" t="str">
        <f ca="1">IFERROR(__xludf.DUMMYFUNCTION("""COMPUTED_VALUE"""),"Jacqueline Landry")</f>
        <v>Jacqueline Landry</v>
      </c>
      <c r="C6" s="118">
        <f ca="1">IFERROR(__xludf.DUMMYFUNCTION("""COMPUTED_VALUE"""),7)</f>
        <v>7</v>
      </c>
      <c r="D6" s="118" t="str">
        <f ca="1">IFERROR(__xludf.DUMMYFUNCTION("""COMPUTED_VALUE"""),"G")</f>
        <v>G</v>
      </c>
      <c r="E6" s="118" t="str">
        <f ca="1">IFERROR(__xludf.DUMMYFUNCTION("""COMPUTED_VALUE"""),"F")</f>
        <v>F</v>
      </c>
      <c r="F6" s="118" t="str">
        <f ca="1">IFERROR(__xludf.DUMMYFUNCTION("""COMPUTED_VALUE"""),"J")</f>
        <v>J</v>
      </c>
      <c r="G6" s="118">
        <f ca="1">IFERROR(__xludf.DUMMYFUNCTION("""COMPUTED_VALUE"""),7)</f>
        <v>7</v>
      </c>
      <c r="H6" s="118" t="str">
        <f ca="1">IFERROR(__xludf.DUMMYFUNCTION("""COMPUTED_VALUE"""),"A")</f>
        <v>A</v>
      </c>
      <c r="I6" s="118">
        <f ca="1">IFERROR(__xludf.DUMMYFUNCTION("""COMPUTED_VALUE"""),4)</f>
        <v>4</v>
      </c>
      <c r="J6" s="118">
        <f ca="1">IFERROR(__xludf.DUMMYFUNCTION("""COMPUTED_VALUE"""),2)</f>
        <v>2</v>
      </c>
      <c r="K6" s="120">
        <f ca="1">IFERROR(__xludf.DUMMYFUNCTION("""COMPUTED_VALUE"""),23.8)</f>
        <v>23.8</v>
      </c>
      <c r="L6" s="121"/>
      <c r="M6" s="120">
        <f ca="1">IFERROR(__xludf.DUMMYFUNCTION("""COMPUTED_VALUE"""),23.8)</f>
        <v>23.8</v>
      </c>
      <c r="N6" s="121"/>
      <c r="O6" s="120">
        <f ca="1">IFERROR(__xludf.DUMMYFUNCTION("""COMPUTED_VALUE"""),6.75)</f>
        <v>6.75</v>
      </c>
      <c r="P6" s="122"/>
      <c r="Q6" s="123" t="str">
        <f ca="1">IFERROR(__xludf.DUMMYFUNCTION("""COMPUTED_VALUE"""),"Abby Desai")</f>
        <v>Abby Desai</v>
      </c>
      <c r="R6" s="123" t="str">
        <f ca="1">IFERROR(__xludf.DUMMYFUNCTION("""COMPUTED_VALUE"""),"Aayush Chaturvedi")</f>
        <v>Aayush Chaturvedi</v>
      </c>
      <c r="S6" s="123" t="str">
        <f ca="1">IFERROR(__xludf.DUMMYFUNCTION("""COMPUTED_VALUE"""),"Abby Desai")</f>
        <v>Abby Desai</v>
      </c>
      <c r="T6" s="123" t="str">
        <f ca="1">IFERROR(__xludf.DUMMYFUNCTION("""COMPUTED_VALUE"""),"Aayush Chaturvedi")</f>
        <v>Aayush Chaturvedi</v>
      </c>
    </row>
    <row r="7" spans="1:27" ht="15.75" customHeight="1">
      <c r="A7" s="118" t="str">
        <f ca="1">IFERROR(__xludf.DUMMYFUNCTION("""COMPUTED_VALUE"""),"A")</f>
        <v>A</v>
      </c>
      <c r="B7" s="119" t="str">
        <f ca="1">IFERROR(__xludf.DUMMYFUNCTION("""COMPUTED_VALUE"""),"Jenna Jair")</f>
        <v>Jenna Jair</v>
      </c>
      <c r="C7" s="118">
        <f ca="1">IFERROR(__xludf.DUMMYFUNCTION("""COMPUTED_VALUE"""),10)</f>
        <v>10</v>
      </c>
      <c r="D7" s="118" t="str">
        <f ca="1">IFERROR(__xludf.DUMMYFUNCTION("""COMPUTED_VALUE"""),"G")</f>
        <v>G</v>
      </c>
      <c r="E7" s="118" t="str">
        <f ca="1">IFERROR(__xludf.DUMMYFUNCTION("""COMPUTED_VALUE"""),"F")</f>
        <v>F</v>
      </c>
      <c r="F7" s="118" t="str">
        <f ca="1">IFERROR(__xludf.DUMMYFUNCTION("""COMPUTED_VALUE"""),"J")</f>
        <v>J</v>
      </c>
      <c r="G7" s="118">
        <f ca="1">IFERROR(__xludf.DUMMYFUNCTION("""COMPUTED_VALUE"""),7)</f>
        <v>7</v>
      </c>
      <c r="H7" s="118" t="str">
        <f ca="1">IFERROR(__xludf.DUMMYFUNCTION("""COMPUTED_VALUE"""),"A")</f>
        <v>A</v>
      </c>
      <c r="I7" s="118">
        <f ca="1">IFERROR(__xludf.DUMMYFUNCTION("""COMPUTED_VALUE"""),4)</f>
        <v>4</v>
      </c>
      <c r="J7" s="118">
        <f ca="1">IFERROR(__xludf.DUMMYFUNCTION("""COMPUTED_VALUE"""),5)</f>
        <v>5</v>
      </c>
      <c r="K7" s="120">
        <f ca="1">IFERROR(__xludf.DUMMYFUNCTION("""COMPUTED_VALUE"""),42.65)</f>
        <v>42.65</v>
      </c>
      <c r="L7" s="121"/>
      <c r="M7" s="120">
        <f ca="1">IFERROR(__xludf.DUMMYFUNCTION("""COMPUTED_VALUE"""),27.35)</f>
        <v>27.35</v>
      </c>
      <c r="N7" s="121"/>
      <c r="O7" s="120">
        <f ca="1">IFERROR(__xludf.DUMMYFUNCTION("""COMPUTED_VALUE"""),36.85)</f>
        <v>36.85</v>
      </c>
      <c r="P7" s="122"/>
      <c r="Q7" s="123" t="str">
        <f ca="1">IFERROR(__xludf.DUMMYFUNCTION("""COMPUTED_VALUE"""),"Abby Donnelly")</f>
        <v>Abby Donnelly</v>
      </c>
      <c r="R7" s="123" t="str">
        <f ca="1">IFERROR(__xludf.DUMMYFUNCTION("""COMPUTED_VALUE"""),"Adam Boyd")</f>
        <v>Adam Boyd</v>
      </c>
      <c r="S7" s="123" t="str">
        <f ca="1">IFERROR(__xludf.DUMMYFUNCTION("""COMPUTED_VALUE"""),"Abby Donnelly")</f>
        <v>Abby Donnelly</v>
      </c>
      <c r="T7" s="123" t="str">
        <f ca="1">IFERROR(__xludf.DUMMYFUNCTION("""COMPUTED_VALUE"""),"Ace Argentieri")</f>
        <v>Ace Argentieri</v>
      </c>
    </row>
    <row r="8" spans="1:27" ht="15.75" customHeight="1">
      <c r="A8" s="118" t="str">
        <f ca="1">IFERROR(__xludf.DUMMYFUNCTION("""COMPUTED_VALUE"""),"A")</f>
        <v>A</v>
      </c>
      <c r="B8" s="119" t="str">
        <f ca="1">IFERROR(__xludf.DUMMYFUNCTION("""COMPUTED_VALUE"""),"Katherine Oswald")</f>
        <v>Katherine Oswald</v>
      </c>
      <c r="C8" s="118">
        <f ca="1">IFERROR(__xludf.DUMMYFUNCTION("""COMPUTED_VALUE"""),10)</f>
        <v>10</v>
      </c>
      <c r="D8" s="118" t="str">
        <f ca="1">IFERROR(__xludf.DUMMYFUNCTION("""COMPUTED_VALUE"""),"G")</f>
        <v>G</v>
      </c>
      <c r="E8" s="118" t="str">
        <f ca="1">IFERROR(__xludf.DUMMYFUNCTION("""COMPUTED_VALUE"""),"F")</f>
        <v>F</v>
      </c>
      <c r="F8" s="118" t="str">
        <f ca="1">IFERROR(__xludf.DUMMYFUNCTION("""COMPUTED_VALUE"""),"J")</f>
        <v>J</v>
      </c>
      <c r="G8" s="118">
        <f ca="1">IFERROR(__xludf.DUMMYFUNCTION("""COMPUTED_VALUE"""),7)</f>
        <v>7</v>
      </c>
      <c r="H8" s="118" t="str">
        <f ca="1">IFERROR(__xludf.DUMMYFUNCTION("""COMPUTED_VALUE"""),"A")</f>
        <v>A</v>
      </c>
      <c r="I8" s="118">
        <f ca="1">IFERROR(__xludf.DUMMYFUNCTION("""COMPUTED_VALUE"""),4)</f>
        <v>4</v>
      </c>
      <c r="J8" s="118">
        <f ca="1">IFERROR(__xludf.DUMMYFUNCTION("""COMPUTED_VALUE"""),3)</f>
        <v>3</v>
      </c>
      <c r="K8" s="120">
        <f ca="1">IFERROR(__xludf.DUMMYFUNCTION("""COMPUTED_VALUE"""),41.55)</f>
        <v>41.55</v>
      </c>
      <c r="L8" s="121"/>
      <c r="M8" s="120">
        <f ca="1">IFERROR(__xludf.DUMMYFUNCTION("""COMPUTED_VALUE"""),41.55)</f>
        <v>41.55</v>
      </c>
      <c r="N8" s="121"/>
      <c r="O8" s="120"/>
      <c r="P8" s="122"/>
      <c r="Q8" s="123" t="str">
        <f ca="1">IFERROR(__xludf.DUMMYFUNCTION("""COMPUTED_VALUE"""),"Abby Lee")</f>
        <v>Abby Lee</v>
      </c>
      <c r="R8" s="123" t="str">
        <f ca="1">IFERROR(__xludf.DUMMYFUNCTION("""COMPUTED_VALUE"""),"Adam O'Keefe")</f>
        <v>Adam O'Keefe</v>
      </c>
      <c r="S8" s="123" t="str">
        <f ca="1">IFERROR(__xludf.DUMMYFUNCTION("""COMPUTED_VALUE"""),"Abby Lee")</f>
        <v>Abby Lee</v>
      </c>
      <c r="T8" s="123" t="str">
        <f ca="1">IFERROR(__xludf.DUMMYFUNCTION("""COMPUTED_VALUE"""),"Adam Boyd")</f>
        <v>Adam Boyd</v>
      </c>
    </row>
    <row r="9" spans="1:27" ht="15.75" customHeight="1">
      <c r="A9" s="118" t="str">
        <f ca="1">IFERROR(__xludf.DUMMYFUNCTION("""COMPUTED_VALUE"""),"A")</f>
        <v>A</v>
      </c>
      <c r="B9" s="119" t="str">
        <f ca="1">IFERROR(__xludf.DUMMYFUNCTION("""COMPUTED_VALUE"""),"Peyton Ma")</f>
        <v>Peyton Ma</v>
      </c>
      <c r="C9" s="118">
        <f ca="1">IFERROR(__xludf.DUMMYFUNCTION("""COMPUTED_VALUE"""),7)</f>
        <v>7</v>
      </c>
      <c r="D9" s="118" t="str">
        <f ca="1">IFERROR(__xludf.DUMMYFUNCTION("""COMPUTED_VALUE"""),"G")</f>
        <v>G</v>
      </c>
      <c r="E9" s="118" t="str">
        <f ca="1">IFERROR(__xludf.DUMMYFUNCTION("""COMPUTED_VALUE"""),"F")</f>
        <v>F</v>
      </c>
      <c r="F9" s="118" t="str">
        <f ca="1">IFERROR(__xludf.DUMMYFUNCTION("""COMPUTED_VALUE"""),"J")</f>
        <v>J</v>
      </c>
      <c r="G9" s="118">
        <f ca="1">IFERROR(__xludf.DUMMYFUNCTION("""COMPUTED_VALUE"""),7)</f>
        <v>7</v>
      </c>
      <c r="H9" s="118" t="str">
        <f ca="1">IFERROR(__xludf.DUMMYFUNCTION("""COMPUTED_VALUE"""),"A")</f>
        <v>A</v>
      </c>
      <c r="I9" s="118">
        <f ca="1">IFERROR(__xludf.DUMMYFUNCTION("""COMPUTED_VALUE"""),4)</f>
        <v>4</v>
      </c>
      <c r="J9" s="118">
        <f ca="1">IFERROR(__xludf.DUMMYFUNCTION("""COMPUTED_VALUE"""),4)</f>
        <v>4</v>
      </c>
      <c r="K9" s="120">
        <f ca="1">IFERROR(__xludf.DUMMYFUNCTION("""COMPUTED_VALUE"""),49.7)</f>
        <v>49.7</v>
      </c>
      <c r="L9" s="121"/>
      <c r="M9" s="120"/>
      <c r="N9" s="121"/>
      <c r="O9" s="120">
        <f ca="1">IFERROR(__xludf.DUMMYFUNCTION("""COMPUTED_VALUE"""),49.7)</f>
        <v>49.7</v>
      </c>
      <c r="P9" s="122"/>
      <c r="Q9" s="123" t="str">
        <f ca="1">IFERROR(__xludf.DUMMYFUNCTION("""COMPUTED_VALUE"""),"Abby Panko")</f>
        <v>Abby Panko</v>
      </c>
      <c r="R9" s="123" t="str">
        <f ca="1">IFERROR(__xludf.DUMMYFUNCTION("""COMPUTED_VALUE"""),"Adam Ogrodny")</f>
        <v>Adam Ogrodny</v>
      </c>
      <c r="S9" s="123" t="str">
        <f ca="1">IFERROR(__xludf.DUMMYFUNCTION("""COMPUTED_VALUE"""),"Abby Panko")</f>
        <v>Abby Panko</v>
      </c>
      <c r="T9" s="123" t="str">
        <f ca="1">IFERROR(__xludf.DUMMYFUNCTION("""COMPUTED_VALUE"""),"Adam Lash")</f>
        <v>Adam Lash</v>
      </c>
    </row>
    <row r="10" spans="1:27" ht="15.75" customHeight="1">
      <c r="A10" s="118" t="str">
        <f ca="1">IFERROR(__xludf.DUMMYFUNCTION("""COMPUTED_VALUE"""),"A")</f>
        <v>A</v>
      </c>
      <c r="B10" s="119" t="str">
        <f ca="1">IFERROR(__xludf.DUMMYFUNCTION("""COMPUTED_VALUE"""),"Chase Kemps")</f>
        <v>Chase Kemps</v>
      </c>
      <c r="C10" s="118">
        <f ca="1">IFERROR(__xludf.DUMMYFUNCTION("""COMPUTED_VALUE"""),9)</f>
        <v>9</v>
      </c>
      <c r="D10" s="118" t="str">
        <f ca="1">IFERROR(__xludf.DUMMYFUNCTION("""COMPUTED_VALUE"""),"B")</f>
        <v>B</v>
      </c>
      <c r="E10" s="118" t="str">
        <f ca="1">IFERROR(__xludf.DUMMYFUNCTION("""COMPUTED_VALUE"""),"F")</f>
        <v>F</v>
      </c>
      <c r="F10" s="118" t="str">
        <f ca="1">IFERROR(__xludf.DUMMYFUNCTION("""COMPUTED_VALUE"""),"J")</f>
        <v>J</v>
      </c>
      <c r="G10" s="118">
        <f ca="1">IFERROR(__xludf.DUMMYFUNCTION("""COMPUTED_VALUE"""),7)</f>
        <v>7</v>
      </c>
      <c r="H10" s="118" t="str">
        <f ca="1">IFERROR(__xludf.DUMMYFUNCTION("""COMPUTED_VALUE"""),"A")</f>
        <v>A</v>
      </c>
      <c r="I10" s="118">
        <f ca="1">IFERROR(__xludf.DUMMYFUNCTION("""COMPUTED_VALUE"""),5)</f>
        <v>5</v>
      </c>
      <c r="J10" s="118">
        <f ca="1">IFERROR(__xludf.DUMMYFUNCTION("""COMPUTED_VALUE"""),5)</f>
        <v>5</v>
      </c>
      <c r="K10" s="120">
        <f ca="1">IFERROR(__xludf.DUMMYFUNCTION("""COMPUTED_VALUE"""),49.8)</f>
        <v>49.8</v>
      </c>
      <c r="L10" s="121"/>
      <c r="M10" s="120">
        <f ca="1">IFERROR(__xludf.DUMMYFUNCTION("""COMPUTED_VALUE"""),41.35)</f>
        <v>41.35</v>
      </c>
      <c r="N10" s="121"/>
      <c r="O10" s="120">
        <f ca="1">IFERROR(__xludf.DUMMYFUNCTION("""COMPUTED_VALUE"""),49.8)</f>
        <v>49.8</v>
      </c>
      <c r="P10" s="122"/>
      <c r="Q10" s="123" t="str">
        <f ca="1">IFERROR(__xludf.DUMMYFUNCTION("""COMPUTED_VALUE"""),"Abby Reilly")</f>
        <v>Abby Reilly</v>
      </c>
      <c r="R10" s="123" t="str">
        <f ca="1">IFERROR(__xludf.DUMMYFUNCTION("""COMPUTED_VALUE"""),"Adam Sabo")</f>
        <v>Adam Sabo</v>
      </c>
      <c r="S10" s="123" t="str">
        <f ca="1">IFERROR(__xludf.DUMMYFUNCTION("""COMPUTED_VALUE"""),"Abby Pickard")</f>
        <v>Abby Pickard</v>
      </c>
      <c r="T10" s="123" t="str">
        <f ca="1">IFERROR(__xludf.DUMMYFUNCTION("""COMPUTED_VALUE"""),"Adam Nasr")</f>
        <v>Adam Nasr</v>
      </c>
    </row>
    <row r="11" spans="1:27" ht="15.75" customHeight="1">
      <c r="A11" s="118" t="str">
        <f ca="1">IFERROR(__xludf.DUMMYFUNCTION("""COMPUTED_VALUE"""),"A")</f>
        <v>A</v>
      </c>
      <c r="B11" s="119" t="str">
        <f ca="1">IFERROR(__xludf.DUMMYFUNCTION("""COMPUTED_VALUE"""),"Justin Jair")</f>
        <v>Justin Jair</v>
      </c>
      <c r="C11" s="118">
        <f ca="1">IFERROR(__xludf.DUMMYFUNCTION("""COMPUTED_VALUE"""),7)</f>
        <v>7</v>
      </c>
      <c r="D11" s="118" t="str">
        <f ca="1">IFERROR(__xludf.DUMMYFUNCTION("""COMPUTED_VALUE"""),"B")</f>
        <v>B</v>
      </c>
      <c r="E11" s="118" t="str">
        <f ca="1">IFERROR(__xludf.DUMMYFUNCTION("""COMPUTED_VALUE"""),"F")</f>
        <v>F</v>
      </c>
      <c r="F11" s="118" t="str">
        <f ca="1">IFERROR(__xludf.DUMMYFUNCTION("""COMPUTED_VALUE"""),"J")</f>
        <v>J</v>
      </c>
      <c r="G11" s="118">
        <f ca="1">IFERROR(__xludf.DUMMYFUNCTION("""COMPUTED_VALUE"""),7)</f>
        <v>7</v>
      </c>
      <c r="H11" s="118" t="str">
        <f ca="1">IFERROR(__xludf.DUMMYFUNCTION("""COMPUTED_VALUE"""),"A")</f>
        <v>A</v>
      </c>
      <c r="I11" s="118">
        <f ca="1">IFERROR(__xludf.DUMMYFUNCTION("""COMPUTED_VALUE"""),5)</f>
        <v>5</v>
      </c>
      <c r="J11" s="118">
        <f ca="1">IFERROR(__xludf.DUMMYFUNCTION("""COMPUTED_VALUE"""),5)</f>
        <v>5</v>
      </c>
      <c r="K11" s="120">
        <f ca="1">IFERROR(__xludf.DUMMYFUNCTION("""COMPUTED_VALUE"""),39.2)</f>
        <v>39.200000000000003</v>
      </c>
      <c r="L11" s="121"/>
      <c r="M11" s="120">
        <f ca="1">IFERROR(__xludf.DUMMYFUNCTION("""COMPUTED_VALUE"""),37)</f>
        <v>37</v>
      </c>
      <c r="N11" s="121"/>
      <c r="O11" s="120">
        <f ca="1">IFERROR(__xludf.DUMMYFUNCTION("""COMPUTED_VALUE"""),39.2)</f>
        <v>39.200000000000003</v>
      </c>
      <c r="P11" s="122"/>
      <c r="Q11" s="123" t="str">
        <f ca="1">IFERROR(__xludf.DUMMYFUNCTION("""COMPUTED_VALUE"""),"Abi Bassler")</f>
        <v>Abi Bassler</v>
      </c>
      <c r="R11" s="123" t="str">
        <f ca="1">IFERROR(__xludf.DUMMYFUNCTION("""COMPUTED_VALUE"""),"Adam Zimmer")</f>
        <v>Adam Zimmer</v>
      </c>
      <c r="S11" s="123" t="str">
        <f ca="1">IFERROR(__xludf.DUMMYFUNCTION("""COMPUTED_VALUE"""),"Abby Reilly")</f>
        <v>Abby Reilly</v>
      </c>
      <c r="T11" s="123" t="str">
        <f ca="1">IFERROR(__xludf.DUMMYFUNCTION("""COMPUTED_VALUE"""),"Adam O'Keefe")</f>
        <v>Adam O'Keefe</v>
      </c>
    </row>
    <row r="12" spans="1:27" ht="15.75" customHeight="1">
      <c r="A12" s="118" t="str">
        <f ca="1">IFERROR(__xludf.DUMMYFUNCTION("""COMPUTED_VALUE"""),"A")</f>
        <v>A</v>
      </c>
      <c r="B12" s="119" t="str">
        <f ca="1">IFERROR(__xludf.DUMMYFUNCTION("""COMPUTED_VALUE"""),"Leif Middendorf")</f>
        <v>Leif Middendorf</v>
      </c>
      <c r="C12" s="118">
        <f ca="1">IFERROR(__xludf.DUMMYFUNCTION("""COMPUTED_VALUE"""),7)</f>
        <v>7</v>
      </c>
      <c r="D12" s="118" t="str">
        <f ca="1">IFERROR(__xludf.DUMMYFUNCTION("""COMPUTED_VALUE"""),"B")</f>
        <v>B</v>
      </c>
      <c r="E12" s="118" t="str">
        <f ca="1">IFERROR(__xludf.DUMMYFUNCTION("""COMPUTED_VALUE"""),"F")</f>
        <v>F</v>
      </c>
      <c r="F12" s="118" t="str">
        <f ca="1">IFERROR(__xludf.DUMMYFUNCTION("""COMPUTED_VALUE"""),"J")</f>
        <v>J</v>
      </c>
      <c r="G12" s="118">
        <f ca="1">IFERROR(__xludf.DUMMYFUNCTION("""COMPUTED_VALUE"""),7)</f>
        <v>7</v>
      </c>
      <c r="H12" s="118" t="str">
        <f ca="1">IFERROR(__xludf.DUMMYFUNCTION("""COMPUTED_VALUE"""),"A")</f>
        <v>A</v>
      </c>
      <c r="I12" s="118">
        <f ca="1">IFERROR(__xludf.DUMMYFUNCTION("""COMPUTED_VALUE"""),5)</f>
        <v>5</v>
      </c>
      <c r="J12" s="118">
        <f ca="1">IFERROR(__xludf.DUMMYFUNCTION("""COMPUTED_VALUE"""),0)</f>
        <v>0</v>
      </c>
      <c r="K12" s="120"/>
      <c r="L12" s="121"/>
      <c r="M12" s="120"/>
      <c r="N12" s="121"/>
      <c r="O12" s="120"/>
      <c r="P12" s="122"/>
      <c r="Q12" s="123" t="str">
        <f ca="1">IFERROR(__xludf.DUMMYFUNCTION("""COMPUTED_VALUE"""),"Abigail Akers")</f>
        <v>Abigail Akers</v>
      </c>
      <c r="R12" s="123" t="str">
        <f ca="1">IFERROR(__xludf.DUMMYFUNCTION("""COMPUTED_VALUE"""),"Ahru Lee")</f>
        <v>Ahru Lee</v>
      </c>
      <c r="S12" s="123" t="str">
        <f ca="1">IFERROR(__xludf.DUMMYFUNCTION("""COMPUTED_VALUE"""),"Abi Bassler")</f>
        <v>Abi Bassler</v>
      </c>
      <c r="T12" s="123" t="str">
        <f ca="1">IFERROR(__xludf.DUMMYFUNCTION("""COMPUTED_VALUE"""),"Adam Ogrodny")</f>
        <v>Adam Ogrodny</v>
      </c>
    </row>
    <row r="13" spans="1:27" ht="15.75" customHeight="1">
      <c r="A13" s="118" t="str">
        <f ca="1">IFERROR(__xludf.DUMMYFUNCTION("""COMPUTED_VALUE"""),"A")</f>
        <v>A</v>
      </c>
      <c r="B13" s="119" t="str">
        <f ca="1">IFERROR(__xludf.DUMMYFUNCTION("""COMPUTED_VALUE"""),"Luke Tang")</f>
        <v>Luke Tang</v>
      </c>
      <c r="C13" s="118">
        <f ca="1">IFERROR(__xludf.DUMMYFUNCTION("""COMPUTED_VALUE"""),9)</f>
        <v>9</v>
      </c>
      <c r="D13" s="118" t="str">
        <f ca="1">IFERROR(__xludf.DUMMYFUNCTION("""COMPUTED_VALUE"""),"B")</f>
        <v>B</v>
      </c>
      <c r="E13" s="118" t="str">
        <f ca="1">IFERROR(__xludf.DUMMYFUNCTION("""COMPUTED_VALUE"""),"F")</f>
        <v>F</v>
      </c>
      <c r="F13" s="118" t="str">
        <f ca="1">IFERROR(__xludf.DUMMYFUNCTION("""COMPUTED_VALUE"""),"J")</f>
        <v>J</v>
      </c>
      <c r="G13" s="118">
        <f ca="1">IFERROR(__xludf.DUMMYFUNCTION("""COMPUTED_VALUE"""),7)</f>
        <v>7</v>
      </c>
      <c r="H13" s="118" t="str">
        <f ca="1">IFERROR(__xludf.DUMMYFUNCTION("""COMPUTED_VALUE"""),"A")</f>
        <v>A</v>
      </c>
      <c r="I13" s="118">
        <f ca="1">IFERROR(__xludf.DUMMYFUNCTION("""COMPUTED_VALUE"""),5)</f>
        <v>5</v>
      </c>
      <c r="J13" s="118">
        <f ca="1">IFERROR(__xludf.DUMMYFUNCTION("""COMPUTED_VALUE"""),5)</f>
        <v>5</v>
      </c>
      <c r="K13" s="120">
        <f ca="1">IFERROR(__xludf.DUMMYFUNCTION("""COMPUTED_VALUE"""),44.3)</f>
        <v>44.3</v>
      </c>
      <c r="L13" s="121"/>
      <c r="M13" s="120">
        <f ca="1">IFERROR(__xludf.DUMMYFUNCTION("""COMPUTED_VALUE"""),33.2)</f>
        <v>33.200000000000003</v>
      </c>
      <c r="N13" s="121"/>
      <c r="O13" s="120">
        <f ca="1">IFERROR(__xludf.DUMMYFUNCTION("""COMPUTED_VALUE"""),44.3)</f>
        <v>44.3</v>
      </c>
      <c r="P13" s="122"/>
      <c r="Q13" s="123" t="str">
        <f ca="1">IFERROR(__xludf.DUMMYFUNCTION("""COMPUTED_VALUE"""),"Abigail Cassatt")</f>
        <v>Abigail Cassatt</v>
      </c>
      <c r="R13" s="123" t="str">
        <f ca="1">IFERROR(__xludf.DUMMYFUNCTION("""COMPUTED_VALUE"""),"Aiden Cox")</f>
        <v>Aiden Cox</v>
      </c>
      <c r="S13" s="123" t="str">
        <f ca="1">IFERROR(__xludf.DUMMYFUNCTION("""COMPUTED_VALUE"""),"Abigail Akers")</f>
        <v>Abigail Akers</v>
      </c>
      <c r="T13" s="123" t="str">
        <f ca="1">IFERROR(__xludf.DUMMYFUNCTION("""COMPUTED_VALUE"""),"Adam Sabo")</f>
        <v>Adam Sabo</v>
      </c>
    </row>
    <row r="14" spans="1:27" ht="15.75" customHeight="1">
      <c r="A14" s="118" t="str">
        <f ca="1">IFERROR(__xludf.DUMMYFUNCTION("""COMPUTED_VALUE"""),"A")</f>
        <v>A</v>
      </c>
      <c r="B14" s="119" t="str">
        <f ca="1">IFERROR(__xludf.DUMMYFUNCTION("""COMPUTED_VALUE"""),"Preston Ta")</f>
        <v>Preston Ta</v>
      </c>
      <c r="C14" s="118">
        <f ca="1">IFERROR(__xludf.DUMMYFUNCTION("""COMPUTED_VALUE"""),10)</f>
        <v>10</v>
      </c>
      <c r="D14" s="118" t="str">
        <f ca="1">IFERROR(__xludf.DUMMYFUNCTION("""COMPUTED_VALUE"""),"B")</f>
        <v>B</v>
      </c>
      <c r="E14" s="118" t="str">
        <f ca="1">IFERROR(__xludf.DUMMYFUNCTION("""COMPUTED_VALUE"""),"F")</f>
        <v>F</v>
      </c>
      <c r="F14" s="118" t="str">
        <f ca="1">IFERROR(__xludf.DUMMYFUNCTION("""COMPUTED_VALUE"""),"J")</f>
        <v>J</v>
      </c>
      <c r="G14" s="118">
        <f ca="1">IFERROR(__xludf.DUMMYFUNCTION("""COMPUTED_VALUE"""),7)</f>
        <v>7</v>
      </c>
      <c r="H14" s="118" t="str">
        <f ca="1">IFERROR(__xludf.DUMMYFUNCTION("""COMPUTED_VALUE"""),"A")</f>
        <v>A</v>
      </c>
      <c r="I14" s="118">
        <f ca="1">IFERROR(__xludf.DUMMYFUNCTION("""COMPUTED_VALUE"""),5)</f>
        <v>5</v>
      </c>
      <c r="J14" s="118">
        <f ca="1">IFERROR(__xludf.DUMMYFUNCTION("""COMPUTED_VALUE"""),5)</f>
        <v>5</v>
      </c>
      <c r="K14" s="120">
        <f ca="1">IFERROR(__xludf.DUMMYFUNCTION("""COMPUTED_VALUE"""),63.5)</f>
        <v>63.5</v>
      </c>
      <c r="L14" s="121"/>
      <c r="M14" s="120">
        <f ca="1">IFERROR(__xludf.DUMMYFUNCTION("""COMPUTED_VALUE"""),63.5)</f>
        <v>63.5</v>
      </c>
      <c r="N14" s="121"/>
      <c r="O14" s="120">
        <f ca="1">IFERROR(__xludf.DUMMYFUNCTION("""COMPUTED_VALUE"""),61)</f>
        <v>61</v>
      </c>
      <c r="P14" s="122"/>
      <c r="Q14" s="123" t="str">
        <f ca="1">IFERROR(__xludf.DUMMYFUNCTION("""COMPUTED_VALUE"""),"Abigail Hoggins")</f>
        <v>Abigail Hoggins</v>
      </c>
      <c r="R14" s="123" t="str">
        <f ca="1">IFERROR(__xludf.DUMMYFUNCTION("""COMPUTED_VALUE"""),"Aiden Miller")</f>
        <v>Aiden Miller</v>
      </c>
      <c r="S14" s="123" t="str">
        <f ca="1">IFERROR(__xludf.DUMMYFUNCTION("""COMPUTED_VALUE"""),"Abigail Cassatt")</f>
        <v>Abigail Cassatt</v>
      </c>
      <c r="T14" s="123" t="str">
        <f ca="1">IFERROR(__xludf.DUMMYFUNCTION("""COMPUTED_VALUE"""),"Adam Zimmer")</f>
        <v>Adam Zimmer</v>
      </c>
    </row>
    <row r="15" spans="1:27" ht="15.75" customHeight="1">
      <c r="A15" s="118" t="str">
        <f ca="1">IFERROR(__xludf.DUMMYFUNCTION("""COMPUTED_VALUE"""),"A")</f>
        <v>A</v>
      </c>
      <c r="B15" s="119" t="str">
        <f ca="1">IFERROR(__xludf.DUMMYFUNCTION("""COMPUTED_VALUE"""),"Timothy Davis")</f>
        <v>Timothy Davis</v>
      </c>
      <c r="C15" s="118">
        <f ca="1">IFERROR(__xludf.DUMMYFUNCTION("""COMPUTED_VALUE"""),8)</f>
        <v>8</v>
      </c>
      <c r="D15" s="118" t="str">
        <f ca="1">IFERROR(__xludf.DUMMYFUNCTION("""COMPUTED_VALUE"""),"B")</f>
        <v>B</v>
      </c>
      <c r="E15" s="118" t="str">
        <f ca="1">IFERROR(__xludf.DUMMYFUNCTION("""COMPUTED_VALUE"""),"F")</f>
        <v>F</v>
      </c>
      <c r="F15" s="118" t="str">
        <f ca="1">IFERROR(__xludf.DUMMYFUNCTION("""COMPUTED_VALUE"""),"J")</f>
        <v>J</v>
      </c>
      <c r="G15" s="118">
        <f ca="1">IFERROR(__xludf.DUMMYFUNCTION("""COMPUTED_VALUE"""),7)</f>
        <v>7</v>
      </c>
      <c r="H15" s="118" t="str">
        <f ca="1">IFERROR(__xludf.DUMMYFUNCTION("""COMPUTED_VALUE"""),"A")</f>
        <v>A</v>
      </c>
      <c r="I15" s="118">
        <f ca="1">IFERROR(__xludf.DUMMYFUNCTION("""COMPUTED_VALUE"""),5)</f>
        <v>5</v>
      </c>
      <c r="J15" s="118">
        <f ca="1">IFERROR(__xludf.DUMMYFUNCTION("""COMPUTED_VALUE"""),0)</f>
        <v>0</v>
      </c>
      <c r="K15" s="120"/>
      <c r="L15" s="121"/>
      <c r="M15" s="120"/>
      <c r="N15" s="121"/>
      <c r="O15" s="120"/>
      <c r="P15" s="122"/>
      <c r="Q15" s="123" t="str">
        <f ca="1">IFERROR(__xludf.DUMMYFUNCTION("""COMPUTED_VALUE"""),"Abigail Menjivar")</f>
        <v>Abigail Menjivar</v>
      </c>
      <c r="R15" s="123" t="str">
        <f ca="1">IFERROR(__xludf.DUMMYFUNCTION("""COMPUTED_VALUE"""),"Aiden Taylor")</f>
        <v>Aiden Taylor</v>
      </c>
      <c r="S15" s="123" t="str">
        <f ca="1">IFERROR(__xludf.DUMMYFUNCTION("""COMPUTED_VALUE"""),"Abigail Hoggins")</f>
        <v>Abigail Hoggins</v>
      </c>
      <c r="T15" s="123" t="str">
        <f ca="1">IFERROR(__xludf.DUMMYFUNCTION("""COMPUTED_VALUE"""),"Ahru Lee")</f>
        <v>Ahru Lee</v>
      </c>
    </row>
    <row r="16" spans="1:27" ht="15.75" customHeight="1">
      <c r="A16" s="118" t="str">
        <f ca="1">IFERROR(__xludf.DUMMYFUNCTION("""COMPUTED_VALUE"""),"A")</f>
        <v>A</v>
      </c>
      <c r="B16" s="119" t="str">
        <f ca="1">IFERROR(__xludf.DUMMYFUNCTION("""COMPUTED_VALUE"""),"Avery Ma")</f>
        <v>Avery Ma</v>
      </c>
      <c r="C16" s="118">
        <f ca="1">IFERROR(__xludf.DUMMYFUNCTION("""COMPUTED_VALUE"""),11)</f>
        <v>11</v>
      </c>
      <c r="D16" s="118" t="str">
        <f ca="1">IFERROR(__xludf.DUMMYFUNCTION("""COMPUTED_VALUE"""),"G")</f>
        <v>G</v>
      </c>
      <c r="E16" s="118" t="str">
        <f ca="1">IFERROR(__xludf.DUMMYFUNCTION("""COMPUTED_VALUE"""),"J")</f>
        <v>J</v>
      </c>
      <c r="F16" s="118" t="str">
        <f ca="1">IFERROR(__xludf.DUMMYFUNCTION("""COMPUTED_VALUE"""),"I")</f>
        <v>I</v>
      </c>
      <c r="G16" s="118">
        <f ca="1">IFERROR(__xludf.DUMMYFUNCTION("""COMPUTED_VALUE"""),7)</f>
        <v>7</v>
      </c>
      <c r="H16" s="118" t="str">
        <f ca="1">IFERROR(__xludf.DUMMYFUNCTION("""COMPUTED_VALUE"""),"A")</f>
        <v>A</v>
      </c>
      <c r="I16" s="118">
        <f ca="1">IFERROR(__xludf.DUMMYFUNCTION("""COMPUTED_VALUE"""),6)</f>
        <v>6</v>
      </c>
      <c r="J16" s="118">
        <f ca="1">IFERROR(__xludf.DUMMYFUNCTION("""COMPUTED_VALUE"""),4)</f>
        <v>4</v>
      </c>
      <c r="K16" s="120">
        <f ca="1">IFERROR(__xludf.DUMMYFUNCTION("""COMPUTED_VALUE"""),80.55)</f>
        <v>80.55</v>
      </c>
      <c r="L16" s="121"/>
      <c r="M16" s="120"/>
      <c r="N16" s="121"/>
      <c r="O16" s="120">
        <f ca="1">IFERROR(__xludf.DUMMYFUNCTION("""COMPUTED_VALUE"""),80.55)</f>
        <v>80.55</v>
      </c>
      <c r="P16" s="122"/>
      <c r="Q16" s="123" t="str">
        <f ca="1">IFERROR(__xludf.DUMMYFUNCTION("""COMPUTED_VALUE"""),"Abigail Quint")</f>
        <v>Abigail Quint</v>
      </c>
      <c r="R16" s="123" t="str">
        <f ca="1">IFERROR(__xludf.DUMMYFUNCTION("""COMPUTED_VALUE"""),"Alejandro Pereira")</f>
        <v>Alejandro Pereira</v>
      </c>
      <c r="S16" s="123" t="str">
        <f ca="1">IFERROR(__xludf.DUMMYFUNCTION("""COMPUTED_VALUE"""),"Abigail Menjivar")</f>
        <v>Abigail Menjivar</v>
      </c>
      <c r="T16" s="123" t="str">
        <f ca="1">IFERROR(__xludf.DUMMYFUNCTION("""COMPUTED_VALUE"""),"Aidan McGarry")</f>
        <v>Aidan McGarry</v>
      </c>
    </row>
    <row r="17" spans="1:20" ht="15.75" customHeight="1">
      <c r="A17" s="118" t="str">
        <f ca="1">IFERROR(__xludf.DUMMYFUNCTION("""COMPUTED_VALUE"""),"A")</f>
        <v>A</v>
      </c>
      <c r="B17" s="119" t="str">
        <f ca="1">IFERROR(__xludf.DUMMYFUNCTION("""COMPUTED_VALUE"""),"Foster Middendorf")</f>
        <v>Foster Middendorf</v>
      </c>
      <c r="C17" s="118">
        <f ca="1">IFERROR(__xludf.DUMMYFUNCTION("""COMPUTED_VALUE"""),11)</f>
        <v>11</v>
      </c>
      <c r="D17" s="118" t="str">
        <f ca="1">IFERROR(__xludf.DUMMYFUNCTION("""COMPUTED_VALUE"""),"B")</f>
        <v>B</v>
      </c>
      <c r="E17" s="118" t="str">
        <f ca="1">IFERROR(__xludf.DUMMYFUNCTION("""COMPUTED_VALUE"""),"J")</f>
        <v>J</v>
      </c>
      <c r="F17" s="118" t="str">
        <f ca="1">IFERROR(__xludf.DUMMYFUNCTION("""COMPUTED_VALUE"""),"I")</f>
        <v>I</v>
      </c>
      <c r="G17" s="118">
        <f ca="1">IFERROR(__xludf.DUMMYFUNCTION("""COMPUTED_VALUE"""),7)</f>
        <v>7</v>
      </c>
      <c r="H17" s="118" t="str">
        <f ca="1">IFERROR(__xludf.DUMMYFUNCTION("""COMPUTED_VALUE"""),"A")</f>
        <v>A</v>
      </c>
      <c r="I17" s="118">
        <f ca="1">IFERROR(__xludf.DUMMYFUNCTION("""COMPUTED_VALUE"""),7)</f>
        <v>7</v>
      </c>
      <c r="J17" s="118">
        <f ca="1">IFERROR(__xludf.DUMMYFUNCTION("""COMPUTED_VALUE"""),0)</f>
        <v>0</v>
      </c>
      <c r="K17" s="120"/>
      <c r="L17" s="121"/>
      <c r="M17" s="120"/>
      <c r="N17" s="121"/>
      <c r="O17" s="120"/>
      <c r="P17" s="122"/>
      <c r="Q17" s="123" t="str">
        <f ca="1">IFERROR(__xludf.DUMMYFUNCTION("""COMPUTED_VALUE"""),"Abigail Webster")</f>
        <v>Abigail Webster</v>
      </c>
      <c r="R17" s="123" t="str">
        <f ca="1">IFERROR(__xludf.DUMMYFUNCTION("""COMPUTED_VALUE"""),"Aleko Misitzis")</f>
        <v>Aleko Misitzis</v>
      </c>
      <c r="S17" s="123" t="str">
        <f ca="1">IFERROR(__xludf.DUMMYFUNCTION("""COMPUTED_VALUE"""),"Abigail Quint")</f>
        <v>Abigail Quint</v>
      </c>
      <c r="T17" s="123" t="str">
        <f ca="1">IFERROR(__xludf.DUMMYFUNCTION("""COMPUTED_VALUE"""),"Aidan Smith")</f>
        <v>Aidan Smith</v>
      </c>
    </row>
    <row r="18" spans="1:20" ht="15.75" customHeight="1">
      <c r="A18" s="118" t="str">
        <f ca="1">IFERROR(__xludf.DUMMYFUNCTION("""COMPUTED_VALUE"""),"A")</f>
        <v>A</v>
      </c>
      <c r="B18" s="119" t="str">
        <f ca="1">IFERROR(__xludf.DUMMYFUNCTION("""COMPUTED_VALUE"""),"John Nguyen")</f>
        <v>John Nguyen</v>
      </c>
      <c r="C18" s="118">
        <f ca="1">IFERROR(__xludf.DUMMYFUNCTION("""COMPUTED_VALUE"""),12)</f>
        <v>12</v>
      </c>
      <c r="D18" s="118" t="str">
        <f ca="1">IFERROR(__xludf.DUMMYFUNCTION("""COMPUTED_VALUE"""),"B")</f>
        <v>B</v>
      </c>
      <c r="E18" s="118" t="str">
        <f ca="1">IFERROR(__xludf.DUMMYFUNCTION("""COMPUTED_VALUE"""),"J")</f>
        <v>J</v>
      </c>
      <c r="F18" s="118" t="str">
        <f ca="1">IFERROR(__xludf.DUMMYFUNCTION("""COMPUTED_VALUE"""),"I")</f>
        <v>I</v>
      </c>
      <c r="G18" s="118">
        <f ca="1">IFERROR(__xludf.DUMMYFUNCTION("""COMPUTED_VALUE"""),7)</f>
        <v>7</v>
      </c>
      <c r="H18" s="118" t="str">
        <f ca="1">IFERROR(__xludf.DUMMYFUNCTION("""COMPUTED_VALUE"""),"A")</f>
        <v>A</v>
      </c>
      <c r="I18" s="118">
        <f ca="1">IFERROR(__xludf.DUMMYFUNCTION("""COMPUTED_VALUE"""),7)</f>
        <v>7</v>
      </c>
      <c r="J18" s="118">
        <f ca="1">IFERROR(__xludf.DUMMYFUNCTION("""COMPUTED_VALUE"""),3)</f>
        <v>3</v>
      </c>
      <c r="K18" s="120">
        <f ca="1">IFERROR(__xludf.DUMMYFUNCTION("""COMPUTED_VALUE"""),74.5)</f>
        <v>74.5</v>
      </c>
      <c r="L18" s="121"/>
      <c r="M18" s="120">
        <f ca="1">IFERROR(__xludf.DUMMYFUNCTION("""COMPUTED_VALUE"""),74.5)</f>
        <v>74.5</v>
      </c>
      <c r="N18" s="121"/>
      <c r="O18" s="120"/>
      <c r="P18" s="122"/>
      <c r="Q18" s="123" t="str">
        <f ca="1">IFERROR(__xludf.DUMMYFUNCTION("""COMPUTED_VALUE"""),"Acadia Taylor")</f>
        <v>Acadia Taylor</v>
      </c>
      <c r="R18" s="123" t="str">
        <f ca="1">IFERROR(__xludf.DUMMYFUNCTION("""COMPUTED_VALUE"""),"Alex Aurilio")</f>
        <v>Alex Aurilio</v>
      </c>
      <c r="S18" s="123" t="str">
        <f ca="1">IFERROR(__xludf.DUMMYFUNCTION("""COMPUTED_VALUE"""),"Abigail Webster")</f>
        <v>Abigail Webster</v>
      </c>
      <c r="T18" s="123" t="str">
        <f ca="1">IFERROR(__xludf.DUMMYFUNCTION("""COMPUTED_VALUE"""),"Aiden Cox")</f>
        <v>Aiden Cox</v>
      </c>
    </row>
    <row r="19" spans="1:20" ht="15.75" customHeight="1">
      <c r="A19" s="118" t="str">
        <f ca="1">IFERROR(__xludf.DUMMYFUNCTION("""COMPUTED_VALUE"""),"A")</f>
        <v>A</v>
      </c>
      <c r="B19" s="119" t="str">
        <f ca="1">IFERROR(__xludf.DUMMYFUNCTION("""COMPUTED_VALUE"""),"Logan Cao")</f>
        <v>Logan Cao</v>
      </c>
      <c r="C19" s="118">
        <f ca="1">IFERROR(__xludf.DUMMYFUNCTION("""COMPUTED_VALUE"""),12)</f>
        <v>12</v>
      </c>
      <c r="D19" s="118" t="str">
        <f ca="1">IFERROR(__xludf.DUMMYFUNCTION("""COMPUTED_VALUE"""),"B")</f>
        <v>B</v>
      </c>
      <c r="E19" s="118" t="str">
        <f ca="1">IFERROR(__xludf.DUMMYFUNCTION("""COMPUTED_VALUE"""),"J")</f>
        <v>J</v>
      </c>
      <c r="F19" s="118" t="str">
        <f ca="1">IFERROR(__xludf.DUMMYFUNCTION("""COMPUTED_VALUE"""),"I")</f>
        <v>I</v>
      </c>
      <c r="G19" s="118">
        <f ca="1">IFERROR(__xludf.DUMMYFUNCTION("""COMPUTED_VALUE"""),7)</f>
        <v>7</v>
      </c>
      <c r="H19" s="118" t="str">
        <f ca="1">IFERROR(__xludf.DUMMYFUNCTION("""COMPUTED_VALUE"""),"A")</f>
        <v>A</v>
      </c>
      <c r="I19" s="118">
        <f ca="1">IFERROR(__xludf.DUMMYFUNCTION("""COMPUTED_VALUE"""),7)</f>
        <v>7</v>
      </c>
      <c r="J19" s="118">
        <f ca="1">IFERROR(__xludf.DUMMYFUNCTION("""COMPUTED_VALUE"""),3)</f>
        <v>3</v>
      </c>
      <c r="K19" s="120">
        <f ca="1">IFERROR(__xludf.DUMMYFUNCTION("""COMPUTED_VALUE"""),87.4)</f>
        <v>87.4</v>
      </c>
      <c r="L19" s="121"/>
      <c r="M19" s="120"/>
      <c r="N19" s="121"/>
      <c r="O19" s="120"/>
      <c r="P19" s="122"/>
      <c r="Q19" s="123" t="str">
        <f ca="1">IFERROR(__xludf.DUMMYFUNCTION("""COMPUTED_VALUE"""),"Ada Goehring")</f>
        <v>Ada Goehring</v>
      </c>
      <c r="R19" s="123" t="str">
        <f ca="1">IFERROR(__xludf.DUMMYFUNCTION("""COMPUTED_VALUE"""),"Alex Ferssizidis")</f>
        <v>Alex Ferssizidis</v>
      </c>
      <c r="S19" s="123" t="str">
        <f ca="1">IFERROR(__xludf.DUMMYFUNCTION("""COMPUTED_VALUE"""),"Acadia Taylor")</f>
        <v>Acadia Taylor</v>
      </c>
      <c r="T19" s="123" t="str">
        <f ca="1">IFERROR(__xludf.DUMMYFUNCTION("""COMPUTED_VALUE"""),"Aiden Kapoor")</f>
        <v>Aiden Kapoor</v>
      </c>
    </row>
    <row r="20" spans="1:20" ht="15.75" customHeight="1">
      <c r="A20" s="118" t="str">
        <f ca="1">IFERROR(__xludf.DUMMYFUNCTION("""COMPUTED_VALUE"""),"A")</f>
        <v>A</v>
      </c>
      <c r="B20" s="119" t="str">
        <f ca="1">IFERROR(__xludf.DUMMYFUNCTION("""COMPUTED_VALUE"""),"Noah Hua")</f>
        <v>Noah Hua</v>
      </c>
      <c r="C20" s="118">
        <f ca="1">IFERROR(__xludf.DUMMYFUNCTION("""COMPUTED_VALUE"""),11)</f>
        <v>11</v>
      </c>
      <c r="D20" s="118" t="str">
        <f ca="1">IFERROR(__xludf.DUMMYFUNCTION("""COMPUTED_VALUE"""),"B")</f>
        <v>B</v>
      </c>
      <c r="E20" s="118" t="str">
        <f ca="1">IFERROR(__xludf.DUMMYFUNCTION("""COMPUTED_VALUE"""),"J")</f>
        <v>J</v>
      </c>
      <c r="F20" s="118" t="str">
        <f ca="1">IFERROR(__xludf.DUMMYFUNCTION("""COMPUTED_VALUE"""),"I")</f>
        <v>I</v>
      </c>
      <c r="G20" s="118">
        <f ca="1">IFERROR(__xludf.DUMMYFUNCTION("""COMPUTED_VALUE"""),7)</f>
        <v>7</v>
      </c>
      <c r="H20" s="118" t="str">
        <f ca="1">IFERROR(__xludf.DUMMYFUNCTION("""COMPUTED_VALUE"""),"A")</f>
        <v>A</v>
      </c>
      <c r="I20" s="118">
        <f ca="1">IFERROR(__xludf.DUMMYFUNCTION("""COMPUTED_VALUE"""),7)</f>
        <v>7</v>
      </c>
      <c r="J20" s="118">
        <f ca="1">IFERROR(__xludf.DUMMYFUNCTION("""COMPUTED_VALUE"""),5)</f>
        <v>5</v>
      </c>
      <c r="K20" s="120">
        <f ca="1">IFERROR(__xludf.DUMMYFUNCTION("""COMPUTED_VALUE"""),89.55)</f>
        <v>89.55</v>
      </c>
      <c r="L20" s="121"/>
      <c r="M20" s="120">
        <f ca="1">IFERROR(__xludf.DUMMYFUNCTION("""COMPUTED_VALUE"""),77.25)</f>
        <v>77.25</v>
      </c>
      <c r="N20" s="121"/>
      <c r="O20" s="120">
        <f ca="1">IFERROR(__xludf.DUMMYFUNCTION("""COMPUTED_VALUE"""),79.25)</f>
        <v>79.25</v>
      </c>
      <c r="P20" s="122"/>
      <c r="Q20" s="123" t="str">
        <f ca="1">IFERROR(__xludf.DUMMYFUNCTION("""COMPUTED_VALUE"""),"Ada Scherer")</f>
        <v>Ada Scherer</v>
      </c>
      <c r="R20" s="123" t="str">
        <f ca="1">IFERROR(__xludf.DUMMYFUNCTION("""COMPUTED_VALUE"""),"Alex Kroely")</f>
        <v>Alex Kroely</v>
      </c>
      <c r="S20" s="123" t="str">
        <f ca="1">IFERROR(__xludf.DUMMYFUNCTION("""COMPUTED_VALUE"""),"Ada Goehring")</f>
        <v>Ada Goehring</v>
      </c>
      <c r="T20" s="123" t="str">
        <f ca="1">IFERROR(__xludf.DUMMYFUNCTION("""COMPUTED_VALUE"""),"Aiden Miller")</f>
        <v>Aiden Miller</v>
      </c>
    </row>
    <row r="21" spans="1:20" ht="15.75" customHeight="1">
      <c r="A21" s="118" t="str">
        <f ca="1">IFERROR(__xludf.DUMMYFUNCTION("""COMPUTED_VALUE"""),"A")</f>
        <v>A</v>
      </c>
      <c r="B21" s="119" t="str">
        <f ca="1">IFERROR(__xludf.DUMMYFUNCTION("""COMPUTED_VALUE"""),"Esperanza Hernandez-Giblin")</f>
        <v>Esperanza Hernandez-Giblin</v>
      </c>
      <c r="C21" s="118">
        <f ca="1">IFERROR(__xludf.DUMMYFUNCTION("""COMPUTED_VALUE"""),13)</f>
        <v>13</v>
      </c>
      <c r="D21" s="118" t="str">
        <f ca="1">IFERROR(__xludf.DUMMYFUNCTION("""COMPUTED_VALUE"""),"G")</f>
        <v>G</v>
      </c>
      <c r="E21" s="118" t="str">
        <f ca="1">IFERROR(__xludf.DUMMYFUNCTION("""COMPUTED_VALUE"""),"I")</f>
        <v>I</v>
      </c>
      <c r="F21" s="118" t="str">
        <f ca="1">IFERROR(__xludf.DUMMYFUNCTION("""COMPUTED_VALUE"""),"S")</f>
        <v>S</v>
      </c>
      <c r="G21" s="118">
        <f ca="1">IFERROR(__xludf.DUMMYFUNCTION("""COMPUTED_VALUE"""),7)</f>
        <v>7</v>
      </c>
      <c r="H21" s="118" t="str">
        <f ca="1">IFERROR(__xludf.DUMMYFUNCTION("""COMPUTED_VALUE"""),"A")</f>
        <v>A</v>
      </c>
      <c r="I21" s="118">
        <f ca="1">IFERROR(__xludf.DUMMYFUNCTION("""COMPUTED_VALUE"""),8)</f>
        <v>8</v>
      </c>
      <c r="J21" s="118">
        <f ca="1">IFERROR(__xludf.DUMMYFUNCTION("""COMPUTED_VALUE"""),4)</f>
        <v>4</v>
      </c>
      <c r="K21" s="120">
        <f ca="1">IFERROR(__xludf.DUMMYFUNCTION("""COMPUTED_VALUE"""),81.8)</f>
        <v>81.8</v>
      </c>
      <c r="L21" s="121"/>
      <c r="M21" s="120">
        <f ca="1">IFERROR(__xludf.DUMMYFUNCTION("""COMPUTED_VALUE"""),76.85)</f>
        <v>76.849999999999994</v>
      </c>
      <c r="N21" s="121"/>
      <c r="O21" s="120">
        <f ca="1">IFERROR(__xludf.DUMMYFUNCTION("""COMPUTED_VALUE"""),81.8)</f>
        <v>81.8</v>
      </c>
      <c r="P21" s="122"/>
      <c r="Q21" s="123" t="str">
        <f ca="1">IFERROR(__xludf.DUMMYFUNCTION("""COMPUTED_VALUE"""),"Addie Celentano")</f>
        <v>Addie Celentano</v>
      </c>
      <c r="R21" s="123" t="str">
        <f ca="1">IFERROR(__xludf.DUMMYFUNCTION("""COMPUTED_VALUE"""),"Alex Valmont")</f>
        <v>Alex Valmont</v>
      </c>
      <c r="S21" s="123" t="str">
        <f ca="1">IFERROR(__xludf.DUMMYFUNCTION("""COMPUTED_VALUE"""),"Ada Jordan")</f>
        <v>Ada Jordan</v>
      </c>
      <c r="T21" s="123" t="str">
        <f ca="1">IFERROR(__xludf.DUMMYFUNCTION("""COMPUTED_VALUE"""),"Aiden Taylor")</f>
        <v>Aiden Taylor</v>
      </c>
    </row>
    <row r="22" spans="1:20" ht="15.75" customHeight="1">
      <c r="A22" s="118" t="str">
        <f ca="1">IFERROR(__xludf.DUMMYFUNCTION("""COMPUTED_VALUE"""),"A")</f>
        <v>A</v>
      </c>
      <c r="B22" s="119" t="str">
        <f ca="1">IFERROR(__xludf.DUMMYFUNCTION("""COMPUTED_VALUE"""),"Raito Detten")</f>
        <v>Raito Detten</v>
      </c>
      <c r="C22" s="118">
        <f ca="1">IFERROR(__xludf.DUMMYFUNCTION("""COMPUTED_VALUE"""),14)</f>
        <v>14</v>
      </c>
      <c r="D22" s="118" t="str">
        <f ca="1">IFERROR(__xludf.DUMMYFUNCTION("""COMPUTED_VALUE"""),"B")</f>
        <v>B</v>
      </c>
      <c r="E22" s="118" t="str">
        <f ca="1">IFERROR(__xludf.DUMMYFUNCTION("""COMPUTED_VALUE"""),"I")</f>
        <v>I</v>
      </c>
      <c r="F22" s="118" t="str">
        <f ca="1">IFERROR(__xludf.DUMMYFUNCTION("""COMPUTED_VALUE"""),"S")</f>
        <v>S</v>
      </c>
      <c r="G22" s="118">
        <f ca="1">IFERROR(__xludf.DUMMYFUNCTION("""COMPUTED_VALUE"""),7)</f>
        <v>7</v>
      </c>
      <c r="H22" s="118" t="str">
        <f ca="1">IFERROR(__xludf.DUMMYFUNCTION("""COMPUTED_VALUE"""),"A")</f>
        <v>A</v>
      </c>
      <c r="I22" s="118">
        <f ca="1">IFERROR(__xludf.DUMMYFUNCTION("""COMPUTED_VALUE"""),9)</f>
        <v>9</v>
      </c>
      <c r="J22" s="118">
        <f ca="1">IFERROR(__xludf.DUMMYFUNCTION("""COMPUTED_VALUE"""),4)</f>
        <v>4</v>
      </c>
      <c r="K22" s="120">
        <f ca="1">IFERROR(__xludf.DUMMYFUNCTION("""COMPUTED_VALUE"""),211.7)</f>
        <v>211.7</v>
      </c>
      <c r="L22" s="121"/>
      <c r="M22" s="120">
        <f ca="1">IFERROR(__xludf.DUMMYFUNCTION("""COMPUTED_VALUE"""),211.7)</f>
        <v>211.7</v>
      </c>
      <c r="N22" s="121"/>
      <c r="O22" s="120">
        <f ca="1">IFERROR(__xludf.DUMMYFUNCTION("""COMPUTED_VALUE"""),187)</f>
        <v>187</v>
      </c>
      <c r="P22" s="122"/>
      <c r="Q22" s="123" t="str">
        <f ca="1">IFERROR(__xludf.DUMMYFUNCTION("""COMPUTED_VALUE"""),"Addie Gaylor")</f>
        <v>Addie Gaylor</v>
      </c>
      <c r="R22" s="123" t="str">
        <f ca="1">IFERROR(__xludf.DUMMYFUNCTION("""COMPUTED_VALUE"""),"Alexander Halphen")</f>
        <v>Alexander Halphen</v>
      </c>
      <c r="S22" s="123" t="str">
        <f ca="1">IFERROR(__xludf.DUMMYFUNCTION("""COMPUTED_VALUE"""),"Ada Scherer")</f>
        <v>Ada Scherer</v>
      </c>
      <c r="T22" s="123" t="str">
        <f ca="1">IFERROR(__xludf.DUMMYFUNCTION("""COMPUTED_VALUE"""),"Alan Fu")</f>
        <v>Alan Fu</v>
      </c>
    </row>
    <row r="23" spans="1:20" ht="15.75" customHeight="1">
      <c r="A23" s="118" t="str">
        <f ca="1">IFERROR(__xludf.DUMMYFUNCTION("""COMPUTED_VALUE"""),"A")</f>
        <v>A</v>
      </c>
      <c r="B23" s="119" t="str">
        <f ca="1">IFERROR(__xludf.DUMMYFUNCTION("""COMPUTED_VALUE"""),"Remy Cao")</f>
        <v>Remy Cao</v>
      </c>
      <c r="C23" s="118">
        <f ca="1">IFERROR(__xludf.DUMMYFUNCTION("""COMPUTED_VALUE"""),14)</f>
        <v>14</v>
      </c>
      <c r="D23" s="118" t="str">
        <f ca="1">IFERROR(__xludf.DUMMYFUNCTION("""COMPUTED_VALUE"""),"B")</f>
        <v>B</v>
      </c>
      <c r="E23" s="118" t="str">
        <f ca="1">IFERROR(__xludf.DUMMYFUNCTION("""COMPUTED_VALUE"""),"I")</f>
        <v>I</v>
      </c>
      <c r="F23" s="118" t="str">
        <f ca="1">IFERROR(__xludf.DUMMYFUNCTION("""COMPUTED_VALUE"""),"S")</f>
        <v>S</v>
      </c>
      <c r="G23" s="118">
        <f ca="1">IFERROR(__xludf.DUMMYFUNCTION("""COMPUTED_VALUE"""),7)</f>
        <v>7</v>
      </c>
      <c r="H23" s="118" t="str">
        <f ca="1">IFERROR(__xludf.DUMMYFUNCTION("""COMPUTED_VALUE"""),"A")</f>
        <v>A</v>
      </c>
      <c r="I23" s="118">
        <f ca="1">IFERROR(__xludf.DUMMYFUNCTION("""COMPUTED_VALUE"""),9)</f>
        <v>9</v>
      </c>
      <c r="J23" s="118">
        <f ca="1">IFERROR(__xludf.DUMMYFUNCTION("""COMPUTED_VALUE"""),2)</f>
        <v>2</v>
      </c>
      <c r="K23" s="120">
        <f ca="1">IFERROR(__xludf.DUMMYFUNCTION("""COMPUTED_VALUE"""),76.15)</f>
        <v>76.150000000000006</v>
      </c>
      <c r="L23" s="121"/>
      <c r="M23" s="120"/>
      <c r="N23" s="121"/>
      <c r="O23" s="120"/>
      <c r="P23" s="122"/>
      <c r="Q23" s="123" t="str">
        <f ca="1">IFERROR(__xludf.DUMMYFUNCTION("""COMPUTED_VALUE"""),"Addison D'Avilar")</f>
        <v>Addison D'Avilar</v>
      </c>
      <c r="R23" s="123" t="str">
        <f ca="1">IFERROR(__xludf.DUMMYFUNCTION("""COMPUTED_VALUE"""),"Alexander Hudes")</f>
        <v>Alexander Hudes</v>
      </c>
      <c r="S23" s="123" t="str">
        <f ca="1">IFERROR(__xludf.DUMMYFUNCTION("""COMPUTED_VALUE"""),"Addie Celentano")</f>
        <v>Addie Celentano</v>
      </c>
      <c r="T23" s="123" t="str">
        <f ca="1">IFERROR(__xludf.DUMMYFUNCTION("""COMPUTED_VALUE"""),"Alberto Tolentino")</f>
        <v>Alberto Tolentino</v>
      </c>
    </row>
    <row r="24" spans="1:20" ht="15.75" customHeight="1">
      <c r="A24" s="118" t="str">
        <f ca="1">IFERROR(__xludf.DUMMYFUNCTION("""COMPUTED_VALUE"""),"A")</f>
        <v>A</v>
      </c>
      <c r="B24" s="119" t="str">
        <f ca="1">IFERROR(__xludf.DUMMYFUNCTION("""COMPUTED_VALUE"""),"Michael Sweeney")</f>
        <v>Michael Sweeney</v>
      </c>
      <c r="C24" s="118">
        <f ca="1">IFERROR(__xludf.DUMMYFUNCTION("""COMPUTED_VALUE"""),15)</f>
        <v>15</v>
      </c>
      <c r="D24" s="118" t="str">
        <f ca="1">IFERROR(__xludf.DUMMYFUNCTION("""COMPUTED_VALUE"""),"B")</f>
        <v>B</v>
      </c>
      <c r="E24" s="118" t="str">
        <f ca="1">IFERROR(__xludf.DUMMYFUNCTION("""COMPUTED_VALUE"""),"S")</f>
        <v>S</v>
      </c>
      <c r="F24" s="118" t="str">
        <f ca="1">IFERROR(__xludf.DUMMYFUNCTION("""COMPUTED_VALUE"""),"S")</f>
        <v>S</v>
      </c>
      <c r="G24" s="118">
        <f ca="1">IFERROR(__xludf.DUMMYFUNCTION("""COMPUTED_VALUE"""),7)</f>
        <v>7</v>
      </c>
      <c r="H24" s="118" t="str">
        <f ca="1">IFERROR(__xludf.DUMMYFUNCTION("""COMPUTED_VALUE"""),"A")</f>
        <v>A</v>
      </c>
      <c r="I24" s="118">
        <f ca="1">IFERROR(__xludf.DUMMYFUNCTION("""COMPUTED_VALUE"""),11)</f>
        <v>11</v>
      </c>
      <c r="J24" s="118">
        <f ca="1">IFERROR(__xludf.DUMMYFUNCTION("""COMPUTED_VALUE"""),5)</f>
        <v>5</v>
      </c>
      <c r="K24" s="120">
        <f ca="1">IFERROR(__xludf.DUMMYFUNCTION("""COMPUTED_VALUE"""),173.9)</f>
        <v>173.9</v>
      </c>
      <c r="L24" s="121"/>
      <c r="M24" s="120">
        <f ca="1">IFERROR(__xludf.DUMMYFUNCTION("""COMPUTED_VALUE"""),173.9)</f>
        <v>173.9</v>
      </c>
      <c r="N24" s="121"/>
      <c r="O24" s="120">
        <f ca="1">IFERROR(__xludf.DUMMYFUNCTION("""COMPUTED_VALUE"""),169.9)</f>
        <v>169.9</v>
      </c>
      <c r="P24" s="122"/>
      <c r="Q24" s="123" t="str">
        <f ca="1">IFERROR(__xludf.DUMMYFUNCTION("""COMPUTED_VALUE"""),"Addison Morgan")</f>
        <v>Addison Morgan</v>
      </c>
      <c r="R24" s="123" t="str">
        <f ca="1">IFERROR(__xludf.DUMMYFUNCTION("""COMPUTED_VALUE"""),"Alexander Moch")</f>
        <v>Alexander Moch</v>
      </c>
      <c r="S24" s="123" t="str">
        <f ca="1">IFERROR(__xludf.DUMMYFUNCTION("""COMPUTED_VALUE"""),"Addie Gaylor")</f>
        <v>Addie Gaylor</v>
      </c>
      <c r="T24" s="123" t="str">
        <f ca="1">IFERROR(__xludf.DUMMYFUNCTION("""COMPUTED_VALUE"""),"Alden Meholic")</f>
        <v>Alden Meholic</v>
      </c>
    </row>
    <row r="25" spans="1:20" ht="15.75" customHeight="1">
      <c r="A25" s="118" t="str">
        <f ca="1">IFERROR(__xludf.DUMMYFUNCTION("""COMPUTED_VALUE"""),"A")</f>
        <v>A</v>
      </c>
      <c r="B25" s="119" t="str">
        <f ca="1">IFERROR(__xludf.DUMMYFUNCTION("""COMPUTED_VALUE"""),"Ricky Nguyen")</f>
        <v>Ricky Nguyen</v>
      </c>
      <c r="C25" s="118">
        <f ca="1">IFERROR(__xludf.DUMMYFUNCTION("""COMPUTED_VALUE"""),16)</f>
        <v>16</v>
      </c>
      <c r="D25" s="118" t="str">
        <f ca="1">IFERROR(__xludf.DUMMYFUNCTION("""COMPUTED_VALUE"""),"B")</f>
        <v>B</v>
      </c>
      <c r="E25" s="118" t="str">
        <f ca="1">IFERROR(__xludf.DUMMYFUNCTION("""COMPUTED_VALUE"""),"S")</f>
        <v>S</v>
      </c>
      <c r="F25" s="118" t="str">
        <f ca="1">IFERROR(__xludf.DUMMYFUNCTION("""COMPUTED_VALUE"""),"S")</f>
        <v>S</v>
      </c>
      <c r="G25" s="118">
        <f ca="1">IFERROR(__xludf.DUMMYFUNCTION("""COMPUTED_VALUE"""),7)</f>
        <v>7</v>
      </c>
      <c r="H25" s="118" t="str">
        <f ca="1">IFERROR(__xludf.DUMMYFUNCTION("""COMPUTED_VALUE"""),"A")</f>
        <v>A</v>
      </c>
      <c r="I25" s="118">
        <f ca="1">IFERROR(__xludf.DUMMYFUNCTION("""COMPUTED_VALUE"""),11)</f>
        <v>11</v>
      </c>
      <c r="J25" s="118">
        <f ca="1">IFERROR(__xludf.DUMMYFUNCTION("""COMPUTED_VALUE"""),4)</f>
        <v>4</v>
      </c>
      <c r="K25" s="120">
        <f ca="1">IFERROR(__xludf.DUMMYFUNCTION("""COMPUTED_VALUE"""),140.45)</f>
        <v>140.44999999999999</v>
      </c>
      <c r="L25" s="121"/>
      <c r="M25" s="120"/>
      <c r="N25" s="121"/>
      <c r="O25" s="120">
        <f ca="1">IFERROR(__xludf.DUMMYFUNCTION("""COMPUTED_VALUE"""),118.65)</f>
        <v>118.65</v>
      </c>
      <c r="P25" s="122"/>
      <c r="Q25" s="123" t="str">
        <f ca="1">IFERROR(__xludf.DUMMYFUNCTION("""COMPUTED_VALUE"""),"Addison Prunty")</f>
        <v>Addison Prunty</v>
      </c>
      <c r="R25" s="123" t="str">
        <f ca="1">IFERROR(__xludf.DUMMYFUNCTION("""COMPUTED_VALUE"""),"Alexander Ogrodny")</f>
        <v>Alexander Ogrodny</v>
      </c>
      <c r="S25" s="123" t="str">
        <f ca="1">IFERROR(__xludf.DUMMYFUNCTION("""COMPUTED_VALUE"""),"Addison D'Avilar")</f>
        <v>Addison D'Avilar</v>
      </c>
      <c r="T25" s="123" t="str">
        <f ca="1">IFERROR(__xludf.DUMMYFUNCTION("""COMPUTED_VALUE"""),"Alejandro Pereira")</f>
        <v>Alejandro Pereira</v>
      </c>
    </row>
    <row r="26" spans="1:20" ht="15.75" customHeight="1">
      <c r="A26" s="118" t="str">
        <f ca="1">IFERROR(__xludf.DUMMYFUNCTION("""COMPUTED_VALUE"""),"A")</f>
        <v>A</v>
      </c>
      <c r="B26" s="119" t="str">
        <f ca="1">IFERROR(__xludf.DUMMYFUNCTION("""COMPUTED_VALUE"""),"Will Miracle")</f>
        <v>Will Miracle</v>
      </c>
      <c r="C26" s="118">
        <f ca="1">IFERROR(__xludf.DUMMYFUNCTION("""COMPUTED_VALUE"""),16)</f>
        <v>16</v>
      </c>
      <c r="D26" s="118" t="str">
        <f ca="1">IFERROR(__xludf.DUMMYFUNCTION("""COMPUTED_VALUE"""),"B")</f>
        <v>B</v>
      </c>
      <c r="E26" s="118" t="str">
        <f ca="1">IFERROR(__xludf.DUMMYFUNCTION("""COMPUTED_VALUE"""),"S")</f>
        <v>S</v>
      </c>
      <c r="F26" s="118" t="str">
        <f ca="1">IFERROR(__xludf.DUMMYFUNCTION("""COMPUTED_VALUE"""),"S")</f>
        <v>S</v>
      </c>
      <c r="G26" s="118">
        <f ca="1">IFERROR(__xludf.DUMMYFUNCTION("""COMPUTED_VALUE"""),7)</f>
        <v>7</v>
      </c>
      <c r="H26" s="118" t="str">
        <f ca="1">IFERROR(__xludf.DUMMYFUNCTION("""COMPUTED_VALUE"""),"A")</f>
        <v>A</v>
      </c>
      <c r="I26" s="118">
        <f ca="1">IFERROR(__xludf.DUMMYFUNCTION("""COMPUTED_VALUE"""),11)</f>
        <v>11</v>
      </c>
      <c r="J26" s="118">
        <f ca="1">IFERROR(__xludf.DUMMYFUNCTION("""COMPUTED_VALUE"""),4)</f>
        <v>4</v>
      </c>
      <c r="K26" s="120">
        <f ca="1">IFERROR(__xludf.DUMMYFUNCTION("""COMPUTED_VALUE"""),107.7)</f>
        <v>107.7</v>
      </c>
      <c r="L26" s="121"/>
      <c r="M26" s="120"/>
      <c r="N26" s="121"/>
      <c r="O26" s="120">
        <f ca="1">IFERROR(__xludf.DUMMYFUNCTION("""COMPUTED_VALUE"""),84.25)</f>
        <v>84.25</v>
      </c>
      <c r="P26" s="122"/>
      <c r="Q26" s="123" t="str">
        <f ca="1">IFERROR(__xludf.DUMMYFUNCTION("""COMPUTED_VALUE"""),"Addy Andresen")</f>
        <v>Addy Andresen</v>
      </c>
      <c r="R26" s="123" t="str">
        <f ca="1">IFERROR(__xludf.DUMMYFUNCTION("""COMPUTED_VALUE"""),"Alexander Stewart")</f>
        <v>Alexander Stewart</v>
      </c>
      <c r="S26" s="123" t="str">
        <f ca="1">IFERROR(__xludf.DUMMYFUNCTION("""COMPUTED_VALUE"""),"Addison Johnson")</f>
        <v>Addison Johnson</v>
      </c>
      <c r="T26" s="123" t="str">
        <f ca="1">IFERROR(__xludf.DUMMYFUNCTION("""COMPUTED_VALUE"""),"Aleko Misitzis")</f>
        <v>Aleko Misitzis</v>
      </c>
    </row>
    <row r="27" spans="1:20" ht="15.75" customHeight="1">
      <c r="A27" s="118" t="str">
        <f ca="1">IFERROR(__xludf.DUMMYFUNCTION("""COMPUTED_VALUE"""),"AF")</f>
        <v>AF</v>
      </c>
      <c r="B27" s="119" t="str">
        <f ca="1">IFERROR(__xludf.DUMMYFUNCTION("""COMPUTED_VALUE"""),"Abigail Cassatt")</f>
        <v>Abigail Cassatt</v>
      </c>
      <c r="C27" s="118">
        <f ca="1">IFERROR(__xludf.DUMMYFUNCTION("""COMPUTED_VALUE"""),10)</f>
        <v>10</v>
      </c>
      <c r="D27" s="118" t="str">
        <f ca="1">IFERROR(__xludf.DUMMYFUNCTION("""COMPUTED_VALUE"""),"G")</f>
        <v>G</v>
      </c>
      <c r="E27" s="118" t="str">
        <f ca="1">IFERROR(__xludf.DUMMYFUNCTION("""COMPUTED_VALUE"""),"F")</f>
        <v>F</v>
      </c>
      <c r="F27" s="118" t="str">
        <f ca="1">IFERROR(__xludf.DUMMYFUNCTION("""COMPUTED_VALUE"""),"J")</f>
        <v>J</v>
      </c>
      <c r="G27" s="118">
        <f ca="1">IFERROR(__xludf.DUMMYFUNCTION("""COMPUTED_VALUE"""),7)</f>
        <v>7</v>
      </c>
      <c r="H27" s="118" t="str">
        <f ca="1">IFERROR(__xludf.DUMMYFUNCTION("""COMPUTED_VALUE"""),"AF")</f>
        <v>AF</v>
      </c>
      <c r="I27" s="118">
        <f ca="1">IFERROR(__xludf.DUMMYFUNCTION("""COMPUTED_VALUE"""),4)</f>
        <v>4</v>
      </c>
      <c r="J27" s="118">
        <f ca="1">IFERROR(__xludf.DUMMYFUNCTION("""COMPUTED_VALUE"""),1)</f>
        <v>1</v>
      </c>
      <c r="K27" s="120"/>
      <c r="L27" s="121"/>
      <c r="M27" s="120"/>
      <c r="N27" s="121"/>
      <c r="O27" s="120"/>
      <c r="P27" s="122"/>
      <c r="Q27" s="123" t="str">
        <f ca="1">IFERROR(__xludf.DUMMYFUNCTION("""COMPUTED_VALUE"""),"Addy Kohn")</f>
        <v>Addy Kohn</v>
      </c>
      <c r="R27" s="123" t="str">
        <f ca="1">IFERROR(__xludf.DUMMYFUNCTION("""COMPUTED_VALUE"""),"Alexander Tkacz")</f>
        <v>Alexander Tkacz</v>
      </c>
      <c r="S27" s="123" t="str">
        <f ca="1">IFERROR(__xludf.DUMMYFUNCTION("""COMPUTED_VALUE"""),"Addison Morgan")</f>
        <v>Addison Morgan</v>
      </c>
      <c r="T27" s="123" t="str">
        <f ca="1">IFERROR(__xludf.DUMMYFUNCTION("""COMPUTED_VALUE"""),"Alex Aurilio")</f>
        <v>Alex Aurilio</v>
      </c>
    </row>
    <row r="28" spans="1:20" ht="13.8">
      <c r="A28" s="118" t="str">
        <f ca="1">IFERROR(__xludf.DUMMYFUNCTION("""COMPUTED_VALUE"""),"AF")</f>
        <v>AF</v>
      </c>
      <c r="B28" s="119" t="str">
        <f ca="1">IFERROR(__xludf.DUMMYFUNCTION("""COMPUTED_VALUE"""),"Agnes Campbell")</f>
        <v>Agnes Campbell</v>
      </c>
      <c r="C28" s="118">
        <f ca="1">IFERROR(__xludf.DUMMYFUNCTION("""COMPUTED_VALUE"""),10)</f>
        <v>10</v>
      </c>
      <c r="D28" s="118" t="str">
        <f ca="1">IFERROR(__xludf.DUMMYFUNCTION("""COMPUTED_VALUE"""),"G")</f>
        <v>G</v>
      </c>
      <c r="E28" s="118" t="str">
        <f ca="1">IFERROR(__xludf.DUMMYFUNCTION("""COMPUTED_VALUE"""),"F")</f>
        <v>F</v>
      </c>
      <c r="F28" s="118" t="str">
        <f ca="1">IFERROR(__xludf.DUMMYFUNCTION("""COMPUTED_VALUE"""),"J")</f>
        <v>J</v>
      </c>
      <c r="G28" s="118">
        <f ca="1">IFERROR(__xludf.DUMMYFUNCTION("""COMPUTED_VALUE"""),7)</f>
        <v>7</v>
      </c>
      <c r="H28" s="118" t="str">
        <f ca="1">IFERROR(__xludf.DUMMYFUNCTION("""COMPUTED_VALUE"""),"AF")</f>
        <v>AF</v>
      </c>
      <c r="I28" s="118">
        <f ca="1">IFERROR(__xludf.DUMMYFUNCTION("""COMPUTED_VALUE"""),4)</f>
        <v>4</v>
      </c>
      <c r="J28" s="118">
        <f ca="1">IFERROR(__xludf.DUMMYFUNCTION("""COMPUTED_VALUE"""),5)</f>
        <v>5</v>
      </c>
      <c r="K28" s="120">
        <f ca="1">IFERROR(__xludf.DUMMYFUNCTION("""COMPUTED_VALUE"""),51.4)</f>
        <v>51.4</v>
      </c>
      <c r="L28" s="121"/>
      <c r="M28" s="120">
        <f ca="1">IFERROR(__xludf.DUMMYFUNCTION("""COMPUTED_VALUE"""),46.9)</f>
        <v>46.9</v>
      </c>
      <c r="N28" s="121"/>
      <c r="O28" s="120">
        <f ca="1">IFERROR(__xludf.DUMMYFUNCTION("""COMPUTED_VALUE"""),50.8)</f>
        <v>50.8</v>
      </c>
      <c r="P28" s="122"/>
      <c r="Q28" s="123" t="str">
        <f ca="1">IFERROR(__xludf.DUMMYFUNCTION("""COMPUTED_VALUE"""),"Adelaide Bergmans")</f>
        <v>Adelaide Bergmans</v>
      </c>
      <c r="R28" s="123" t="str">
        <f ca="1">IFERROR(__xludf.DUMMYFUNCTION("""COMPUTED_VALUE"""),"Alexi Ramis")</f>
        <v>Alexi Ramis</v>
      </c>
      <c r="S28" s="123" t="str">
        <f ca="1">IFERROR(__xludf.DUMMYFUNCTION("""COMPUTED_VALUE"""),"Addison Prunty")</f>
        <v>Addison Prunty</v>
      </c>
      <c r="T28" s="123" t="str">
        <f ca="1">IFERROR(__xludf.DUMMYFUNCTION("""COMPUTED_VALUE"""),"Alex Ferssizidis")</f>
        <v>Alex Ferssizidis</v>
      </c>
    </row>
    <row r="29" spans="1:20" ht="13.8">
      <c r="A29" s="118" t="str">
        <f ca="1">IFERROR(__xludf.DUMMYFUNCTION("""COMPUTED_VALUE"""),"AF")</f>
        <v>AF</v>
      </c>
      <c r="B29" s="119" t="str">
        <f ca="1">IFERROR(__xludf.DUMMYFUNCTION("""COMPUTED_VALUE"""),"Agnes Robert")</f>
        <v>Agnes Robert</v>
      </c>
      <c r="C29" s="118">
        <f ca="1">IFERROR(__xludf.DUMMYFUNCTION("""COMPUTED_VALUE"""),7)</f>
        <v>7</v>
      </c>
      <c r="D29" s="118" t="str">
        <f ca="1">IFERROR(__xludf.DUMMYFUNCTION("""COMPUTED_VALUE"""),"G")</f>
        <v>G</v>
      </c>
      <c r="E29" s="118" t="str">
        <f ca="1">IFERROR(__xludf.DUMMYFUNCTION("""COMPUTED_VALUE"""),"F")</f>
        <v>F</v>
      </c>
      <c r="F29" s="118" t="str">
        <f ca="1">IFERROR(__xludf.DUMMYFUNCTION("""COMPUTED_VALUE"""),"J")</f>
        <v>J</v>
      </c>
      <c r="G29" s="118">
        <f ca="1">IFERROR(__xludf.DUMMYFUNCTION("""COMPUTED_VALUE"""),7)</f>
        <v>7</v>
      </c>
      <c r="H29" s="118" t="str">
        <f ca="1">IFERROR(__xludf.DUMMYFUNCTION("""COMPUTED_VALUE"""),"AF")</f>
        <v>AF</v>
      </c>
      <c r="I29" s="118">
        <f ca="1">IFERROR(__xludf.DUMMYFUNCTION("""COMPUTED_VALUE"""),4)</f>
        <v>4</v>
      </c>
      <c r="J29" s="118">
        <f ca="1">IFERROR(__xludf.DUMMYFUNCTION("""COMPUTED_VALUE"""),4)</f>
        <v>4</v>
      </c>
      <c r="K29" s="120">
        <f ca="1">IFERROR(__xludf.DUMMYFUNCTION("""COMPUTED_VALUE"""),39.4)</f>
        <v>39.4</v>
      </c>
      <c r="L29" s="121"/>
      <c r="M29" s="120">
        <f ca="1">IFERROR(__xludf.DUMMYFUNCTION("""COMPUTED_VALUE"""),39.15)</f>
        <v>39.15</v>
      </c>
      <c r="N29" s="121"/>
      <c r="O29" s="120">
        <f ca="1">IFERROR(__xludf.DUMMYFUNCTION("""COMPUTED_VALUE"""),26.6)</f>
        <v>26.6</v>
      </c>
      <c r="P29" s="122"/>
      <c r="Q29" s="123" t="str">
        <f ca="1">IFERROR(__xludf.DUMMYFUNCTION("""COMPUTED_VALUE"""),"Adelaide Frame")</f>
        <v>Adelaide Frame</v>
      </c>
      <c r="R29" s="123" t="str">
        <f ca="1">IFERROR(__xludf.DUMMYFUNCTION("""COMPUTED_VALUE"""),"Amadeus Gudauskas")</f>
        <v>Amadeus Gudauskas</v>
      </c>
      <c r="S29" s="123" t="str">
        <f ca="1">IFERROR(__xludf.DUMMYFUNCTION("""COMPUTED_VALUE"""),"Addy Andresen")</f>
        <v>Addy Andresen</v>
      </c>
      <c r="T29" s="123" t="str">
        <f ca="1">IFERROR(__xludf.DUMMYFUNCTION("""COMPUTED_VALUE"""),"Alex Kroely")</f>
        <v>Alex Kroely</v>
      </c>
    </row>
    <row r="30" spans="1:20" ht="13.8">
      <c r="A30" s="118" t="str">
        <f ca="1">IFERROR(__xludf.DUMMYFUNCTION("""COMPUTED_VALUE"""),"AF")</f>
        <v>AF</v>
      </c>
      <c r="B30" s="119" t="str">
        <f ca="1">IFERROR(__xludf.DUMMYFUNCTION("""COMPUTED_VALUE"""),"Brogen Cagianesa")</f>
        <v>Brogen Cagianesa</v>
      </c>
      <c r="C30" s="118">
        <f ca="1">IFERROR(__xludf.DUMMYFUNCTION("""COMPUTED_VALUE"""),6)</f>
        <v>6</v>
      </c>
      <c r="D30" s="118" t="str">
        <f ca="1">IFERROR(__xludf.DUMMYFUNCTION("""COMPUTED_VALUE"""),"G")</f>
        <v>G</v>
      </c>
      <c r="E30" s="118" t="str">
        <f ca="1">IFERROR(__xludf.DUMMYFUNCTION("""COMPUTED_VALUE"""),"F")</f>
        <v>F</v>
      </c>
      <c r="F30" s="118" t="str">
        <f ca="1">IFERROR(__xludf.DUMMYFUNCTION("""COMPUTED_VALUE"""),"J")</f>
        <v>J</v>
      </c>
      <c r="G30" s="118">
        <f ca="1">IFERROR(__xludf.DUMMYFUNCTION("""COMPUTED_VALUE"""),7)</f>
        <v>7</v>
      </c>
      <c r="H30" s="118" t="str">
        <f ca="1">IFERROR(__xludf.DUMMYFUNCTION("""COMPUTED_VALUE"""),"AF")</f>
        <v>AF</v>
      </c>
      <c r="I30" s="118">
        <f ca="1">IFERROR(__xludf.DUMMYFUNCTION("""COMPUTED_VALUE"""),4)</f>
        <v>4</v>
      </c>
      <c r="J30" s="118">
        <f ca="1">IFERROR(__xludf.DUMMYFUNCTION("""COMPUTED_VALUE"""),3)</f>
        <v>3</v>
      </c>
      <c r="K30" s="120">
        <f ca="1">IFERROR(__xludf.DUMMYFUNCTION("""COMPUTED_VALUE"""),19.4)</f>
        <v>19.399999999999999</v>
      </c>
      <c r="L30" s="121"/>
      <c r="M30" s="120"/>
      <c r="N30" s="121"/>
      <c r="O30" s="120"/>
      <c r="P30" s="122"/>
      <c r="Q30" t="str">
        <f ca="1">IFERROR(__xludf.DUMMYFUNCTION("""COMPUTED_VALUE"""),"Adella Bryant")</f>
        <v>Adella Bryant</v>
      </c>
      <c r="R30" t="str">
        <f ca="1">IFERROR(__xludf.DUMMYFUNCTION("""COMPUTED_VALUE"""),"Amias Paz")</f>
        <v>Amias Paz</v>
      </c>
      <c r="S30" s="43" t="str">
        <f ca="1">IFERROR(__xludf.DUMMYFUNCTION("""COMPUTED_VALUE"""),"Addy Bennett")</f>
        <v>Addy Bennett</v>
      </c>
      <c r="T30" s="43" t="str">
        <f ca="1">IFERROR(__xludf.DUMMYFUNCTION("""COMPUTED_VALUE"""),"Alex Lum")</f>
        <v>Alex Lum</v>
      </c>
    </row>
    <row r="31" spans="1:20" ht="13.8">
      <c r="A31" s="118" t="str">
        <f ca="1">IFERROR(__xludf.DUMMYFUNCTION("""COMPUTED_VALUE"""),"AF")</f>
        <v>AF</v>
      </c>
      <c r="B31" s="119" t="str">
        <f ca="1">IFERROR(__xludf.DUMMYFUNCTION("""COMPUTED_VALUE"""),"Coco Harbeck")</f>
        <v>Coco Harbeck</v>
      </c>
      <c r="C31" s="118">
        <f ca="1">IFERROR(__xludf.DUMMYFUNCTION("""COMPUTED_VALUE"""),8)</f>
        <v>8</v>
      </c>
      <c r="D31" s="118" t="str">
        <f ca="1">IFERROR(__xludf.DUMMYFUNCTION("""COMPUTED_VALUE"""),"G")</f>
        <v>G</v>
      </c>
      <c r="E31" s="118" t="str">
        <f ca="1">IFERROR(__xludf.DUMMYFUNCTION("""COMPUTED_VALUE"""),"F")</f>
        <v>F</v>
      </c>
      <c r="F31" s="118" t="str">
        <f ca="1">IFERROR(__xludf.DUMMYFUNCTION("""COMPUTED_VALUE"""),"J")</f>
        <v>J</v>
      </c>
      <c r="G31" s="118">
        <f ca="1">IFERROR(__xludf.DUMMYFUNCTION("""COMPUTED_VALUE"""),7)</f>
        <v>7</v>
      </c>
      <c r="H31" s="118" t="str">
        <f ca="1">IFERROR(__xludf.DUMMYFUNCTION("""COMPUTED_VALUE"""),"AF")</f>
        <v>AF</v>
      </c>
      <c r="I31" s="118">
        <f ca="1">IFERROR(__xludf.DUMMYFUNCTION("""COMPUTED_VALUE"""),4)</f>
        <v>4</v>
      </c>
      <c r="J31" s="118">
        <f ca="1">IFERROR(__xludf.DUMMYFUNCTION("""COMPUTED_VALUE"""),0)</f>
        <v>0</v>
      </c>
      <c r="K31" s="120"/>
      <c r="L31" s="121"/>
      <c r="M31" s="120"/>
      <c r="N31" s="121"/>
      <c r="O31" s="120"/>
      <c r="P31" s="122"/>
      <c r="Q31" s="123" t="str">
        <f ca="1">IFERROR(__xludf.DUMMYFUNCTION("""COMPUTED_VALUE"""),"Adelyn Whaley")</f>
        <v>Adelyn Whaley</v>
      </c>
      <c r="R31" s="123" t="str">
        <f ca="1">IFERROR(__xludf.DUMMYFUNCTION("""COMPUTED_VALUE"""),"Amir Owens")</f>
        <v>Amir Owens</v>
      </c>
      <c r="S31" s="123" t="str">
        <f ca="1">IFERROR(__xludf.DUMMYFUNCTION("""COMPUTED_VALUE"""),"Addy Kohn")</f>
        <v>Addy Kohn</v>
      </c>
      <c r="T31" s="123" t="str">
        <f ca="1">IFERROR(__xludf.DUMMYFUNCTION("""COMPUTED_VALUE"""),"Alex Negron")</f>
        <v>Alex Negron</v>
      </c>
    </row>
    <row r="32" spans="1:20" ht="13.8">
      <c r="A32" s="118" t="str">
        <f ca="1">IFERROR(__xludf.DUMMYFUNCTION("""COMPUTED_VALUE"""),"AF")</f>
        <v>AF</v>
      </c>
      <c r="B32" s="119" t="str">
        <f ca="1">IFERROR(__xludf.DUMMYFUNCTION("""COMPUTED_VALUE"""),"Elm Burke")</f>
        <v>Elm Burke</v>
      </c>
      <c r="C32" s="118">
        <f ca="1">IFERROR(__xludf.DUMMYFUNCTION("""COMPUTED_VALUE"""),7)</f>
        <v>7</v>
      </c>
      <c r="D32" s="118" t="str">
        <f ca="1">IFERROR(__xludf.DUMMYFUNCTION("""COMPUTED_VALUE"""),"G")</f>
        <v>G</v>
      </c>
      <c r="E32" s="118" t="str">
        <f ca="1">IFERROR(__xludf.DUMMYFUNCTION("""COMPUTED_VALUE"""),"F")</f>
        <v>F</v>
      </c>
      <c r="F32" s="118" t="str">
        <f ca="1">IFERROR(__xludf.DUMMYFUNCTION("""COMPUTED_VALUE"""),"J")</f>
        <v>J</v>
      </c>
      <c r="G32" s="118">
        <f ca="1">IFERROR(__xludf.DUMMYFUNCTION("""COMPUTED_VALUE"""),7)</f>
        <v>7</v>
      </c>
      <c r="H32" s="118" t="str">
        <f ca="1">IFERROR(__xludf.DUMMYFUNCTION("""COMPUTED_VALUE"""),"AF")</f>
        <v>AF</v>
      </c>
      <c r="I32" s="118">
        <f ca="1">IFERROR(__xludf.DUMMYFUNCTION("""COMPUTED_VALUE"""),4)</f>
        <v>4</v>
      </c>
      <c r="J32" s="118">
        <f ca="1">IFERROR(__xludf.DUMMYFUNCTION("""COMPUTED_VALUE"""),0)</f>
        <v>0</v>
      </c>
      <c r="K32" s="120"/>
      <c r="L32" s="121"/>
      <c r="M32" s="120"/>
      <c r="N32" s="121"/>
      <c r="O32" s="120"/>
      <c r="P32" s="122"/>
      <c r="Q32" s="123" t="str">
        <f ca="1">IFERROR(__xludf.DUMMYFUNCTION("""COMPUTED_VALUE"""),"Adelyn Wilder")</f>
        <v>Adelyn Wilder</v>
      </c>
      <c r="R32" s="123" t="str">
        <f ca="1">IFERROR(__xludf.DUMMYFUNCTION("""COMPUTED_VALUE"""),"Andrew Baldovich")</f>
        <v>Andrew Baldovich</v>
      </c>
      <c r="S32" s="123" t="str">
        <f ca="1">IFERROR(__xludf.DUMMYFUNCTION("""COMPUTED_VALUE"""),"Addy Vandenbemden")</f>
        <v>Addy Vandenbemden</v>
      </c>
      <c r="T32" s="123" t="str">
        <f ca="1">IFERROR(__xludf.DUMMYFUNCTION("""COMPUTED_VALUE"""),"Alex Valencic")</f>
        <v>Alex Valencic</v>
      </c>
    </row>
    <row r="33" spans="1:20" ht="13.8">
      <c r="A33" s="118" t="str">
        <f ca="1">IFERROR(__xludf.DUMMYFUNCTION("""COMPUTED_VALUE"""),"AF")</f>
        <v>AF</v>
      </c>
      <c r="B33" s="119" t="str">
        <f ca="1">IFERROR(__xludf.DUMMYFUNCTION("""COMPUTED_VALUE"""),"Libby Snow")</f>
        <v>Libby Snow</v>
      </c>
      <c r="C33" s="118">
        <f ca="1">IFERROR(__xludf.DUMMYFUNCTION("""COMPUTED_VALUE"""),8)</f>
        <v>8</v>
      </c>
      <c r="D33" s="118" t="str">
        <f ca="1">IFERROR(__xludf.DUMMYFUNCTION("""COMPUTED_VALUE"""),"G")</f>
        <v>G</v>
      </c>
      <c r="E33" s="118" t="str">
        <f ca="1">IFERROR(__xludf.DUMMYFUNCTION("""COMPUTED_VALUE"""),"F")</f>
        <v>F</v>
      </c>
      <c r="F33" s="118" t="str">
        <f ca="1">IFERROR(__xludf.DUMMYFUNCTION("""COMPUTED_VALUE"""),"J")</f>
        <v>J</v>
      </c>
      <c r="G33" s="118">
        <f ca="1">IFERROR(__xludf.DUMMYFUNCTION("""COMPUTED_VALUE"""),7)</f>
        <v>7</v>
      </c>
      <c r="H33" s="118" t="str">
        <f ca="1">IFERROR(__xludf.DUMMYFUNCTION("""COMPUTED_VALUE"""),"AF")</f>
        <v>AF</v>
      </c>
      <c r="I33" s="118">
        <f ca="1">IFERROR(__xludf.DUMMYFUNCTION("""COMPUTED_VALUE"""),4)</f>
        <v>4</v>
      </c>
      <c r="J33" s="118">
        <f ca="1">IFERROR(__xludf.DUMMYFUNCTION("""COMPUTED_VALUE"""),1)</f>
        <v>1</v>
      </c>
      <c r="K33" s="120">
        <f ca="1">IFERROR(__xludf.DUMMYFUNCTION("""COMPUTED_VALUE"""),28.6)</f>
        <v>28.6</v>
      </c>
      <c r="L33" s="121"/>
      <c r="M33" s="120">
        <f ca="1">IFERROR(__xludf.DUMMYFUNCTION("""COMPUTED_VALUE"""),28.6)</f>
        <v>28.6</v>
      </c>
      <c r="N33" s="121"/>
      <c r="O33" s="120"/>
      <c r="P33" s="122"/>
      <c r="Q33" s="123" t="str">
        <f ca="1">IFERROR(__xludf.DUMMYFUNCTION("""COMPUTED_VALUE"""),"Aemilia Connolly")</f>
        <v>Aemilia Connolly</v>
      </c>
      <c r="R33" s="123" t="str">
        <f ca="1">IFERROR(__xludf.DUMMYFUNCTION("""COMPUTED_VALUE"""),"Andrew Beck")</f>
        <v>Andrew Beck</v>
      </c>
      <c r="S33" s="123" t="str">
        <f ca="1">IFERROR(__xludf.DUMMYFUNCTION("""COMPUTED_VALUE"""),"Adelaide Bergmans")</f>
        <v>Adelaide Bergmans</v>
      </c>
      <c r="T33" s="123" t="str">
        <f ca="1">IFERROR(__xludf.DUMMYFUNCTION("""COMPUTED_VALUE"""),"Alex Valmont")</f>
        <v>Alex Valmont</v>
      </c>
    </row>
    <row r="34" spans="1:20" ht="13.8">
      <c r="A34" s="118" t="str">
        <f ca="1">IFERROR(__xludf.DUMMYFUNCTION("""COMPUTED_VALUE"""),"AF")</f>
        <v>AF</v>
      </c>
      <c r="B34" s="119" t="str">
        <f ca="1">IFERROR(__xludf.DUMMYFUNCTION("""COMPUTED_VALUE"""),"Mara Albro")</f>
        <v>Mara Albro</v>
      </c>
      <c r="C34" s="118">
        <f ca="1">IFERROR(__xludf.DUMMYFUNCTION("""COMPUTED_VALUE"""),8)</f>
        <v>8</v>
      </c>
      <c r="D34" s="118" t="str">
        <f ca="1">IFERROR(__xludf.DUMMYFUNCTION("""COMPUTED_VALUE"""),"G")</f>
        <v>G</v>
      </c>
      <c r="E34" s="118" t="str">
        <f ca="1">IFERROR(__xludf.DUMMYFUNCTION("""COMPUTED_VALUE"""),"F")</f>
        <v>F</v>
      </c>
      <c r="F34" s="118" t="str">
        <f ca="1">IFERROR(__xludf.DUMMYFUNCTION("""COMPUTED_VALUE"""),"J")</f>
        <v>J</v>
      </c>
      <c r="G34" s="118">
        <f ca="1">IFERROR(__xludf.DUMMYFUNCTION("""COMPUTED_VALUE"""),7)</f>
        <v>7</v>
      </c>
      <c r="H34" s="118" t="str">
        <f ca="1">IFERROR(__xludf.DUMMYFUNCTION("""COMPUTED_VALUE"""),"AF")</f>
        <v>AF</v>
      </c>
      <c r="I34" s="118">
        <f ca="1">IFERROR(__xludf.DUMMYFUNCTION("""COMPUTED_VALUE"""),4)</f>
        <v>4</v>
      </c>
      <c r="J34" s="118">
        <f ca="1">IFERROR(__xludf.DUMMYFUNCTION("""COMPUTED_VALUE"""),5)</f>
        <v>5</v>
      </c>
      <c r="K34" s="120">
        <f ca="1">IFERROR(__xludf.DUMMYFUNCTION("""COMPUTED_VALUE"""),48.1)</f>
        <v>48.1</v>
      </c>
      <c r="L34" s="121"/>
      <c r="M34" s="120">
        <f ca="1">IFERROR(__xludf.DUMMYFUNCTION("""COMPUTED_VALUE"""),48.1)</f>
        <v>48.1</v>
      </c>
      <c r="N34" s="121"/>
      <c r="O34" s="120">
        <f ca="1">IFERROR(__xludf.DUMMYFUNCTION("""COMPUTED_VALUE"""),43.5)</f>
        <v>43.5</v>
      </c>
      <c r="P34" s="122"/>
      <c r="Q34" s="123" t="str">
        <f ca="1">IFERROR(__xludf.DUMMYFUNCTION("""COMPUTED_VALUE"""),"Afton Walter")</f>
        <v>Afton Walter</v>
      </c>
      <c r="R34" s="123" t="str">
        <f ca="1">IFERROR(__xludf.DUMMYFUNCTION("""COMPUTED_VALUE"""),"Andrew Cho")</f>
        <v>Andrew Cho</v>
      </c>
      <c r="S34" s="123" t="str">
        <f ca="1">IFERROR(__xludf.DUMMYFUNCTION("""COMPUTED_VALUE"""),"Adelaide Frame")</f>
        <v>Adelaide Frame</v>
      </c>
      <c r="T34" s="123" t="str">
        <f ca="1">IFERROR(__xludf.DUMMYFUNCTION("""COMPUTED_VALUE"""),"Alex Way")</f>
        <v>Alex Way</v>
      </c>
    </row>
    <row r="35" spans="1:20" ht="13.8">
      <c r="A35" s="118" t="str">
        <f ca="1">IFERROR(__xludf.DUMMYFUNCTION("""COMPUTED_VALUE"""),"AF")</f>
        <v>AF</v>
      </c>
      <c r="B35" s="119" t="str">
        <f ca="1">IFERROR(__xludf.DUMMYFUNCTION("""COMPUTED_VALUE"""),"Mia Harbeck")</f>
        <v>Mia Harbeck</v>
      </c>
      <c r="C35" s="118">
        <f ca="1">IFERROR(__xludf.DUMMYFUNCTION("""COMPUTED_VALUE"""),10)</f>
        <v>10</v>
      </c>
      <c r="D35" s="118" t="str">
        <f ca="1">IFERROR(__xludf.DUMMYFUNCTION("""COMPUTED_VALUE"""),"G")</f>
        <v>G</v>
      </c>
      <c r="E35" s="118" t="str">
        <f ca="1">IFERROR(__xludf.DUMMYFUNCTION("""COMPUTED_VALUE"""),"F")</f>
        <v>F</v>
      </c>
      <c r="F35" s="118" t="str">
        <f ca="1">IFERROR(__xludf.DUMMYFUNCTION("""COMPUTED_VALUE"""),"J")</f>
        <v>J</v>
      </c>
      <c r="G35" s="118">
        <f ca="1">IFERROR(__xludf.DUMMYFUNCTION("""COMPUTED_VALUE"""),7)</f>
        <v>7</v>
      </c>
      <c r="H35" s="118" t="str">
        <f ca="1">IFERROR(__xludf.DUMMYFUNCTION("""COMPUTED_VALUE"""),"AF")</f>
        <v>AF</v>
      </c>
      <c r="I35" s="118">
        <f ca="1">IFERROR(__xludf.DUMMYFUNCTION("""COMPUTED_VALUE"""),4)</f>
        <v>4</v>
      </c>
      <c r="J35" s="118">
        <f ca="1">IFERROR(__xludf.DUMMYFUNCTION("""COMPUTED_VALUE"""),4)</f>
        <v>4</v>
      </c>
      <c r="K35" s="120">
        <f ca="1">IFERROR(__xludf.DUMMYFUNCTION("""COMPUTED_VALUE"""),77.5)</f>
        <v>77.5</v>
      </c>
      <c r="L35" s="121"/>
      <c r="M35" s="120">
        <f ca="1">IFERROR(__xludf.DUMMYFUNCTION("""COMPUTED_VALUE"""),77.5)</f>
        <v>77.5</v>
      </c>
      <c r="N35" s="121"/>
      <c r="O35" s="120">
        <f ca="1">IFERROR(__xludf.DUMMYFUNCTION("""COMPUTED_VALUE"""),72.65)</f>
        <v>72.650000000000006</v>
      </c>
      <c r="P35" s="122"/>
      <c r="Q35" s="123" t="str">
        <f ca="1">IFERROR(__xludf.DUMMYFUNCTION("""COMPUTED_VALUE"""),"Agnes Campbell")</f>
        <v>Agnes Campbell</v>
      </c>
      <c r="R35" s="123" t="str">
        <f ca="1">IFERROR(__xludf.DUMMYFUNCTION("""COMPUTED_VALUE"""),"Andrew Haldeman")</f>
        <v>Andrew Haldeman</v>
      </c>
      <c r="S35" s="123" t="str">
        <f ca="1">IFERROR(__xludf.DUMMYFUNCTION("""COMPUTED_VALUE"""),"Adelaide Frank")</f>
        <v>Adelaide Frank</v>
      </c>
      <c r="T35" s="123" t="str">
        <f ca="1">IFERROR(__xludf.DUMMYFUNCTION("""COMPUTED_VALUE"""),"Alexander Halphen")</f>
        <v>Alexander Halphen</v>
      </c>
    </row>
    <row r="36" spans="1:20" ht="13.8">
      <c r="A36" s="118" t="str">
        <f ca="1">IFERROR(__xludf.DUMMYFUNCTION("""COMPUTED_VALUE"""),"AF")</f>
        <v>AF</v>
      </c>
      <c r="B36" s="119" t="str">
        <f ca="1">IFERROR(__xludf.DUMMYFUNCTION("""COMPUTED_VALUE"""),"Michaela Swartz")</f>
        <v>Michaela Swartz</v>
      </c>
      <c r="C36" s="118">
        <f ca="1">IFERROR(__xludf.DUMMYFUNCTION("""COMPUTED_VALUE"""),10)</f>
        <v>10</v>
      </c>
      <c r="D36" s="118" t="str">
        <f ca="1">IFERROR(__xludf.DUMMYFUNCTION("""COMPUTED_VALUE"""),"G")</f>
        <v>G</v>
      </c>
      <c r="E36" s="118" t="str">
        <f ca="1">IFERROR(__xludf.DUMMYFUNCTION("""COMPUTED_VALUE"""),"F")</f>
        <v>F</v>
      </c>
      <c r="F36" s="118" t="str">
        <f ca="1">IFERROR(__xludf.DUMMYFUNCTION("""COMPUTED_VALUE"""),"J")</f>
        <v>J</v>
      </c>
      <c r="G36" s="118">
        <f ca="1">IFERROR(__xludf.DUMMYFUNCTION("""COMPUTED_VALUE"""),7)</f>
        <v>7</v>
      </c>
      <c r="H36" s="118" t="str">
        <f ca="1">IFERROR(__xludf.DUMMYFUNCTION("""COMPUTED_VALUE"""),"AF")</f>
        <v>AF</v>
      </c>
      <c r="I36" s="118">
        <f ca="1">IFERROR(__xludf.DUMMYFUNCTION("""COMPUTED_VALUE"""),4)</f>
        <v>4</v>
      </c>
      <c r="J36" s="118">
        <f ca="1">IFERROR(__xludf.DUMMYFUNCTION("""COMPUTED_VALUE"""),4)</f>
        <v>4</v>
      </c>
      <c r="K36" s="120">
        <f ca="1">IFERROR(__xludf.DUMMYFUNCTION("""COMPUTED_VALUE"""),30.95)</f>
        <v>30.95</v>
      </c>
      <c r="L36" s="121"/>
      <c r="M36" s="120"/>
      <c r="N36" s="121"/>
      <c r="O36" s="120">
        <f ca="1">IFERROR(__xludf.DUMMYFUNCTION("""COMPUTED_VALUE"""),8.5)</f>
        <v>8.5</v>
      </c>
      <c r="P36" s="122"/>
      <c r="Q36" s="123" t="str">
        <f ca="1">IFERROR(__xludf.DUMMYFUNCTION("""COMPUTED_VALUE"""),"Agnes Robert")</f>
        <v>Agnes Robert</v>
      </c>
      <c r="R36" s="123" t="str">
        <f ca="1">IFERROR(__xludf.DUMMYFUNCTION("""COMPUTED_VALUE"""),"Andrew Werlinger")</f>
        <v>Andrew Werlinger</v>
      </c>
      <c r="S36" s="123" t="str">
        <f ca="1">IFERROR(__xludf.DUMMYFUNCTION("""COMPUTED_VALUE"""),"Adella Bryant")</f>
        <v>Adella Bryant</v>
      </c>
      <c r="T36" s="123" t="str">
        <f ca="1">IFERROR(__xludf.DUMMYFUNCTION("""COMPUTED_VALUE"""),"Alexander Hudes")</f>
        <v>Alexander Hudes</v>
      </c>
    </row>
    <row r="37" spans="1:20" ht="13.8">
      <c r="A37" s="118" t="str">
        <f ca="1">IFERROR(__xludf.DUMMYFUNCTION("""COMPUTED_VALUE"""),"AF")</f>
        <v>AF</v>
      </c>
      <c r="B37" s="119" t="str">
        <f ca="1">IFERROR(__xludf.DUMMYFUNCTION("""COMPUTED_VALUE"""),"Odile Burke")</f>
        <v>Odile Burke</v>
      </c>
      <c r="C37" s="118">
        <f ca="1">IFERROR(__xludf.DUMMYFUNCTION("""COMPUTED_VALUE"""),7)</f>
        <v>7</v>
      </c>
      <c r="D37" s="118" t="str">
        <f ca="1">IFERROR(__xludf.DUMMYFUNCTION("""COMPUTED_VALUE"""),"G")</f>
        <v>G</v>
      </c>
      <c r="E37" s="118" t="str">
        <f ca="1">IFERROR(__xludf.DUMMYFUNCTION("""COMPUTED_VALUE"""),"F")</f>
        <v>F</v>
      </c>
      <c r="F37" s="118" t="str">
        <f ca="1">IFERROR(__xludf.DUMMYFUNCTION("""COMPUTED_VALUE"""),"J")</f>
        <v>J</v>
      </c>
      <c r="G37" s="118">
        <f ca="1">IFERROR(__xludf.DUMMYFUNCTION("""COMPUTED_VALUE"""),7)</f>
        <v>7</v>
      </c>
      <c r="H37" s="118" t="str">
        <f ca="1">IFERROR(__xludf.DUMMYFUNCTION("""COMPUTED_VALUE"""),"AF")</f>
        <v>AF</v>
      </c>
      <c r="I37" s="118">
        <f ca="1">IFERROR(__xludf.DUMMYFUNCTION("""COMPUTED_VALUE"""),4)</f>
        <v>4</v>
      </c>
      <c r="J37" s="118">
        <f ca="1">IFERROR(__xludf.DUMMYFUNCTION("""COMPUTED_VALUE"""),0)</f>
        <v>0</v>
      </c>
      <c r="K37" s="120"/>
      <c r="L37" s="121"/>
      <c r="M37" s="120"/>
      <c r="N37" s="121"/>
      <c r="O37" s="120"/>
      <c r="P37" s="122"/>
      <c r="Q37" s="123" t="str">
        <f ca="1">IFERROR(__xludf.DUMMYFUNCTION("""COMPUTED_VALUE"""),"Aira Kayastha")</f>
        <v>Aira Kayastha</v>
      </c>
      <c r="R37" s="123" t="str">
        <f ca="1">IFERROR(__xludf.DUMMYFUNCTION("""COMPUTED_VALUE"""),"Andrew Zemek")</f>
        <v>Andrew Zemek</v>
      </c>
      <c r="S37" s="123" t="str">
        <f ca="1">IFERROR(__xludf.DUMMYFUNCTION("""COMPUTED_VALUE"""),"Adelyn Whaley")</f>
        <v>Adelyn Whaley</v>
      </c>
      <c r="T37" s="123" t="str">
        <f ca="1">IFERROR(__xludf.DUMMYFUNCTION("""COMPUTED_VALUE"""),"Alexander Moch")</f>
        <v>Alexander Moch</v>
      </c>
    </row>
    <row r="38" spans="1:20" ht="13.8">
      <c r="A38" s="118" t="str">
        <f ca="1">IFERROR(__xludf.DUMMYFUNCTION("""COMPUTED_VALUE"""),"AF")</f>
        <v>AF</v>
      </c>
      <c r="B38" s="119" t="str">
        <f ca="1">IFERROR(__xludf.DUMMYFUNCTION("""COMPUTED_VALUE"""),"Parker Sachs")</f>
        <v>Parker Sachs</v>
      </c>
      <c r="C38" s="118">
        <f ca="1">IFERROR(__xludf.DUMMYFUNCTION("""COMPUTED_VALUE"""),10)</f>
        <v>10</v>
      </c>
      <c r="D38" s="118" t="str">
        <f ca="1">IFERROR(__xludf.DUMMYFUNCTION("""COMPUTED_VALUE"""),"G")</f>
        <v>G</v>
      </c>
      <c r="E38" s="118" t="str">
        <f ca="1">IFERROR(__xludf.DUMMYFUNCTION("""COMPUTED_VALUE"""),"F")</f>
        <v>F</v>
      </c>
      <c r="F38" s="118" t="str">
        <f ca="1">IFERROR(__xludf.DUMMYFUNCTION("""COMPUTED_VALUE"""),"J")</f>
        <v>J</v>
      </c>
      <c r="G38" s="118">
        <f ca="1">IFERROR(__xludf.DUMMYFUNCTION("""COMPUTED_VALUE"""),7)</f>
        <v>7</v>
      </c>
      <c r="H38" s="118" t="str">
        <f ca="1">IFERROR(__xludf.DUMMYFUNCTION("""COMPUTED_VALUE"""),"AF")</f>
        <v>AF</v>
      </c>
      <c r="I38" s="118">
        <f ca="1">IFERROR(__xludf.DUMMYFUNCTION("""COMPUTED_VALUE"""),4)</f>
        <v>4</v>
      </c>
      <c r="J38" s="118">
        <f ca="1">IFERROR(__xludf.DUMMYFUNCTION("""COMPUTED_VALUE"""),4)</f>
        <v>4</v>
      </c>
      <c r="K38" s="120">
        <f ca="1">IFERROR(__xludf.DUMMYFUNCTION("""COMPUTED_VALUE"""),44.2)</f>
        <v>44.2</v>
      </c>
      <c r="L38" s="121"/>
      <c r="M38" s="120"/>
      <c r="N38" s="121"/>
      <c r="O38" s="120">
        <f ca="1">IFERROR(__xludf.DUMMYFUNCTION("""COMPUTED_VALUE"""),44.2)</f>
        <v>44.2</v>
      </c>
      <c r="P38" s="122"/>
      <c r="Q38" s="123" t="str">
        <f ca="1">IFERROR(__xludf.DUMMYFUNCTION("""COMPUTED_VALUE"""),"Aislyn Burnside")</f>
        <v>Aislyn Burnside</v>
      </c>
      <c r="R38" s="123" t="str">
        <f ca="1">IFERROR(__xludf.DUMMYFUNCTION("""COMPUTED_VALUE"""),"Aniket Agarwal")</f>
        <v>Aniket Agarwal</v>
      </c>
      <c r="S38" s="123" t="str">
        <f ca="1">IFERROR(__xludf.DUMMYFUNCTION("""COMPUTED_VALUE"""),"Adelyn Wilder")</f>
        <v>Adelyn Wilder</v>
      </c>
      <c r="T38" s="123" t="str">
        <f ca="1">IFERROR(__xludf.DUMMYFUNCTION("""COMPUTED_VALUE"""),"Alexander Ogrodny")</f>
        <v>Alexander Ogrodny</v>
      </c>
    </row>
    <row r="39" spans="1:20" ht="13.8">
      <c r="A39" s="118" t="str">
        <f ca="1">IFERROR(__xludf.DUMMYFUNCTION("""COMPUTED_VALUE"""),"AF")</f>
        <v>AF</v>
      </c>
      <c r="B39" s="119" t="str">
        <f ca="1">IFERROR(__xludf.DUMMYFUNCTION("""COMPUTED_VALUE"""),"Vi Robert")</f>
        <v>Vi Robert</v>
      </c>
      <c r="C39" s="118">
        <f ca="1">IFERROR(__xludf.DUMMYFUNCTION("""COMPUTED_VALUE"""),9)</f>
        <v>9</v>
      </c>
      <c r="D39" s="118" t="str">
        <f ca="1">IFERROR(__xludf.DUMMYFUNCTION("""COMPUTED_VALUE"""),"G")</f>
        <v>G</v>
      </c>
      <c r="E39" s="118" t="str">
        <f ca="1">IFERROR(__xludf.DUMMYFUNCTION("""COMPUTED_VALUE"""),"F")</f>
        <v>F</v>
      </c>
      <c r="F39" s="118" t="str">
        <f ca="1">IFERROR(__xludf.DUMMYFUNCTION("""COMPUTED_VALUE"""),"J")</f>
        <v>J</v>
      </c>
      <c r="G39" s="118">
        <f ca="1">IFERROR(__xludf.DUMMYFUNCTION("""COMPUTED_VALUE"""),7)</f>
        <v>7</v>
      </c>
      <c r="H39" s="118" t="str">
        <f ca="1">IFERROR(__xludf.DUMMYFUNCTION("""COMPUTED_VALUE"""),"AF")</f>
        <v>AF</v>
      </c>
      <c r="I39" s="118">
        <f ca="1">IFERROR(__xludf.DUMMYFUNCTION("""COMPUTED_VALUE"""),4)</f>
        <v>4</v>
      </c>
      <c r="J39" s="118">
        <f ca="1">IFERROR(__xludf.DUMMYFUNCTION("""COMPUTED_VALUE"""),4)</f>
        <v>4</v>
      </c>
      <c r="K39" s="120">
        <f ca="1">IFERROR(__xludf.DUMMYFUNCTION("""COMPUTED_VALUE"""),54.75)</f>
        <v>54.75</v>
      </c>
      <c r="L39" s="121"/>
      <c r="M39" s="120">
        <f ca="1">IFERROR(__xludf.DUMMYFUNCTION("""COMPUTED_VALUE"""),53.3)</f>
        <v>53.3</v>
      </c>
      <c r="N39" s="121"/>
      <c r="O39" s="120">
        <f ca="1">IFERROR(__xludf.DUMMYFUNCTION("""COMPUTED_VALUE"""),54.75)</f>
        <v>54.75</v>
      </c>
      <c r="P39" s="122"/>
      <c r="Q39" s="123" t="str">
        <f ca="1">IFERROR(__xludf.DUMMYFUNCTION("""COMPUTED_VALUE"""),"Alessandra Falsone")</f>
        <v>Alessandra Falsone</v>
      </c>
      <c r="R39" s="123" t="str">
        <f ca="1">IFERROR(__xludf.DUMMYFUNCTION("""COMPUTED_VALUE"""),"Archer Kouhestani")</f>
        <v>Archer Kouhestani</v>
      </c>
      <c r="S39" s="123" t="str">
        <f ca="1">IFERROR(__xludf.DUMMYFUNCTION("""COMPUTED_VALUE"""),"Adriana McCormick")</f>
        <v>Adriana McCormick</v>
      </c>
      <c r="T39" s="123" t="str">
        <f ca="1">IFERROR(__xludf.DUMMYFUNCTION("""COMPUTED_VALUE"""),"Alexander Stewart")</f>
        <v>Alexander Stewart</v>
      </c>
    </row>
    <row r="40" spans="1:20" ht="13.8">
      <c r="A40" s="118" t="str">
        <f ca="1">IFERROR(__xludf.DUMMYFUNCTION("""COMPUTED_VALUE"""),"AF")</f>
        <v>AF</v>
      </c>
      <c r="B40" s="119" t="str">
        <f ca="1">IFERROR(__xludf.DUMMYFUNCTION("""COMPUTED_VALUE"""),"Victoria Beier")</f>
        <v>Victoria Beier</v>
      </c>
      <c r="C40" s="118">
        <f ca="1">IFERROR(__xludf.DUMMYFUNCTION("""COMPUTED_VALUE"""),9)</f>
        <v>9</v>
      </c>
      <c r="D40" s="118" t="str">
        <f ca="1">IFERROR(__xludf.DUMMYFUNCTION("""COMPUTED_VALUE"""),"G")</f>
        <v>G</v>
      </c>
      <c r="E40" s="118" t="str">
        <f ca="1">IFERROR(__xludf.DUMMYFUNCTION("""COMPUTED_VALUE"""),"F")</f>
        <v>F</v>
      </c>
      <c r="F40" s="118" t="str">
        <f ca="1">IFERROR(__xludf.DUMMYFUNCTION("""COMPUTED_VALUE"""),"J")</f>
        <v>J</v>
      </c>
      <c r="G40" s="118">
        <f ca="1">IFERROR(__xludf.DUMMYFUNCTION("""COMPUTED_VALUE"""),7)</f>
        <v>7</v>
      </c>
      <c r="H40" s="118" t="str">
        <f ca="1">IFERROR(__xludf.DUMMYFUNCTION("""COMPUTED_VALUE"""),"AF")</f>
        <v>AF</v>
      </c>
      <c r="I40" s="118">
        <f ca="1">IFERROR(__xludf.DUMMYFUNCTION("""COMPUTED_VALUE"""),4)</f>
        <v>4</v>
      </c>
      <c r="J40" s="118">
        <f ca="1">IFERROR(__xludf.DUMMYFUNCTION("""COMPUTED_VALUE"""),4)</f>
        <v>4</v>
      </c>
      <c r="K40" s="120">
        <f ca="1">IFERROR(__xludf.DUMMYFUNCTION("""COMPUTED_VALUE"""),53.35)</f>
        <v>53.35</v>
      </c>
      <c r="L40" s="121"/>
      <c r="M40" s="120">
        <f ca="1">IFERROR(__xludf.DUMMYFUNCTION("""COMPUTED_VALUE"""),53.35)</f>
        <v>53.35</v>
      </c>
      <c r="N40" s="121"/>
      <c r="O40" s="120">
        <f ca="1">IFERROR(__xludf.DUMMYFUNCTION("""COMPUTED_VALUE"""),44.8)</f>
        <v>44.8</v>
      </c>
      <c r="P40" s="122"/>
      <c r="Q40" s="123" t="str">
        <f ca="1">IFERROR(__xludf.DUMMYFUNCTION("""COMPUTED_VALUE"""),"Aletheia Wiley-Jimenez")</f>
        <v>Aletheia Wiley-Jimenez</v>
      </c>
      <c r="R40" s="123" t="str">
        <f ca="1">IFERROR(__xludf.DUMMYFUNCTION("""COMPUTED_VALUE"""),"Archie Wiedemann")</f>
        <v>Archie Wiedemann</v>
      </c>
      <c r="S40" s="123" t="str">
        <f ca="1">IFERROR(__xludf.DUMMYFUNCTION("""COMPUTED_VALUE"""),"Aemilia Connolly")</f>
        <v>Aemilia Connolly</v>
      </c>
      <c r="T40" s="123" t="str">
        <f ca="1">IFERROR(__xludf.DUMMYFUNCTION("""COMPUTED_VALUE"""),"Alexander Tkacz")</f>
        <v>Alexander Tkacz</v>
      </c>
    </row>
    <row r="41" spans="1:20" ht="13.8">
      <c r="A41" s="118" t="str">
        <f ca="1">IFERROR(__xludf.DUMMYFUNCTION("""COMPUTED_VALUE"""),"AF")</f>
        <v>AF</v>
      </c>
      <c r="B41" s="119" t="str">
        <f ca="1">IFERROR(__xludf.DUMMYFUNCTION("""COMPUTED_VALUE"""),"Brandon Dasch")</f>
        <v>Brandon Dasch</v>
      </c>
      <c r="C41" s="118">
        <f ca="1">IFERROR(__xludf.DUMMYFUNCTION("""COMPUTED_VALUE"""),9)</f>
        <v>9</v>
      </c>
      <c r="D41" s="118" t="str">
        <f ca="1">IFERROR(__xludf.DUMMYFUNCTION("""COMPUTED_VALUE"""),"B")</f>
        <v>B</v>
      </c>
      <c r="E41" s="118" t="str">
        <f ca="1">IFERROR(__xludf.DUMMYFUNCTION("""COMPUTED_VALUE"""),"F")</f>
        <v>F</v>
      </c>
      <c r="F41" s="118" t="str">
        <f ca="1">IFERROR(__xludf.DUMMYFUNCTION("""COMPUTED_VALUE"""),"J")</f>
        <v>J</v>
      </c>
      <c r="G41" s="118">
        <f ca="1">IFERROR(__xludf.DUMMYFUNCTION("""COMPUTED_VALUE"""),7)</f>
        <v>7</v>
      </c>
      <c r="H41" s="118" t="str">
        <f ca="1">IFERROR(__xludf.DUMMYFUNCTION("""COMPUTED_VALUE"""),"AF")</f>
        <v>AF</v>
      </c>
      <c r="I41" s="118">
        <f ca="1">IFERROR(__xludf.DUMMYFUNCTION("""COMPUTED_VALUE"""),5)</f>
        <v>5</v>
      </c>
      <c r="J41" s="118">
        <f ca="1">IFERROR(__xludf.DUMMYFUNCTION("""COMPUTED_VALUE"""),4)</f>
        <v>4</v>
      </c>
      <c r="K41" s="120">
        <f ca="1">IFERROR(__xludf.DUMMYFUNCTION("""COMPUTED_VALUE"""),40)</f>
        <v>40</v>
      </c>
      <c r="L41" s="121"/>
      <c r="M41" s="120"/>
      <c r="N41" s="121"/>
      <c r="O41" s="120">
        <f ca="1">IFERROR(__xludf.DUMMYFUNCTION("""COMPUTED_VALUE"""),35.85)</f>
        <v>35.85</v>
      </c>
      <c r="P41" s="122"/>
      <c r="Q41" s="123" t="str">
        <f ca="1">IFERROR(__xludf.DUMMYFUNCTION("""COMPUTED_VALUE"""),"Alex Klimek")</f>
        <v>Alex Klimek</v>
      </c>
      <c r="R41" s="123" t="str">
        <f ca="1">IFERROR(__xludf.DUMMYFUNCTION("""COMPUTED_VALUE"""),"Ari Yarmolovich")</f>
        <v>Ari Yarmolovich</v>
      </c>
      <c r="S41" s="123" t="str">
        <f ca="1">IFERROR(__xludf.DUMMYFUNCTION("""COMPUTED_VALUE"""),"Afton Walter")</f>
        <v>Afton Walter</v>
      </c>
      <c r="T41" s="123" t="str">
        <f ca="1">IFERROR(__xludf.DUMMYFUNCTION("""COMPUTED_VALUE"""),"Alexi Ramis")</f>
        <v>Alexi Ramis</v>
      </c>
    </row>
    <row r="42" spans="1:20" ht="13.8">
      <c r="A42" s="118" t="str">
        <f ca="1">IFERROR(__xludf.DUMMYFUNCTION("""COMPUTED_VALUE"""),"AF")</f>
        <v>AF</v>
      </c>
      <c r="B42" s="119" t="str">
        <f ca="1">IFERROR(__xludf.DUMMYFUNCTION("""COMPUTED_VALUE"""),"Connor Bergen")</f>
        <v>Connor Bergen</v>
      </c>
      <c r="C42" s="118">
        <f ca="1">IFERROR(__xludf.DUMMYFUNCTION("""COMPUTED_VALUE"""),9)</f>
        <v>9</v>
      </c>
      <c r="D42" s="118" t="str">
        <f ca="1">IFERROR(__xludf.DUMMYFUNCTION("""COMPUTED_VALUE"""),"B")</f>
        <v>B</v>
      </c>
      <c r="E42" s="118" t="str">
        <f ca="1">IFERROR(__xludf.DUMMYFUNCTION("""COMPUTED_VALUE"""),"F")</f>
        <v>F</v>
      </c>
      <c r="F42" s="118" t="str">
        <f ca="1">IFERROR(__xludf.DUMMYFUNCTION("""COMPUTED_VALUE"""),"J")</f>
        <v>J</v>
      </c>
      <c r="G42" s="118">
        <f ca="1">IFERROR(__xludf.DUMMYFUNCTION("""COMPUTED_VALUE"""),7)</f>
        <v>7</v>
      </c>
      <c r="H42" s="118" t="str">
        <f ca="1">IFERROR(__xludf.DUMMYFUNCTION("""COMPUTED_VALUE"""),"AF")</f>
        <v>AF</v>
      </c>
      <c r="I42" s="118">
        <f ca="1">IFERROR(__xludf.DUMMYFUNCTION("""COMPUTED_VALUE"""),5)</f>
        <v>5</v>
      </c>
      <c r="J42" s="118">
        <f ca="1">IFERROR(__xludf.DUMMYFUNCTION("""COMPUTED_VALUE"""),3)</f>
        <v>3</v>
      </c>
      <c r="K42" s="120">
        <f ca="1">IFERROR(__xludf.DUMMYFUNCTION("""COMPUTED_VALUE"""),70.25)</f>
        <v>70.25</v>
      </c>
      <c r="L42" s="121"/>
      <c r="M42" s="120"/>
      <c r="N42" s="121"/>
      <c r="O42" s="120"/>
      <c r="P42" s="122"/>
      <c r="Q42" s="123" t="str">
        <f ca="1">IFERROR(__xludf.DUMMYFUNCTION("""COMPUTED_VALUE"""),"Alex Shrieves")</f>
        <v>Alex Shrieves</v>
      </c>
      <c r="R42" s="123" t="str">
        <f ca="1">IFERROR(__xludf.DUMMYFUNCTION("""COMPUTED_VALUE"""),"Arlo Creen")</f>
        <v>Arlo Creen</v>
      </c>
      <c r="S42" s="123" t="str">
        <f ca="1">IFERROR(__xludf.DUMMYFUNCTION("""COMPUTED_VALUE"""),"Agnes Campbell")</f>
        <v>Agnes Campbell</v>
      </c>
      <c r="T42" s="123" t="str">
        <f ca="1">IFERROR(__xludf.DUMMYFUNCTION("""COMPUTED_VALUE"""),"Amadeus Gudauskas")</f>
        <v>Amadeus Gudauskas</v>
      </c>
    </row>
    <row r="43" spans="1:20" ht="13.8">
      <c r="A43" s="118" t="str">
        <f ca="1">IFERROR(__xludf.DUMMYFUNCTION("""COMPUTED_VALUE"""),"AF")</f>
        <v>AF</v>
      </c>
      <c r="B43" s="119" t="str">
        <f ca="1">IFERROR(__xludf.DUMMYFUNCTION("""COMPUTED_VALUE"""),"Connor Brannan")</f>
        <v>Connor Brannan</v>
      </c>
      <c r="C43" s="118">
        <f ca="1">IFERROR(__xludf.DUMMYFUNCTION("""COMPUTED_VALUE"""),10)</f>
        <v>10</v>
      </c>
      <c r="D43" s="118" t="str">
        <f ca="1">IFERROR(__xludf.DUMMYFUNCTION("""COMPUTED_VALUE"""),"B")</f>
        <v>B</v>
      </c>
      <c r="E43" s="118" t="str">
        <f ca="1">IFERROR(__xludf.DUMMYFUNCTION("""COMPUTED_VALUE"""),"F")</f>
        <v>F</v>
      </c>
      <c r="F43" s="118" t="str">
        <f ca="1">IFERROR(__xludf.DUMMYFUNCTION("""COMPUTED_VALUE"""),"J")</f>
        <v>J</v>
      </c>
      <c r="G43" s="118">
        <f ca="1">IFERROR(__xludf.DUMMYFUNCTION("""COMPUTED_VALUE"""),7)</f>
        <v>7</v>
      </c>
      <c r="H43" s="118" t="str">
        <f ca="1">IFERROR(__xludf.DUMMYFUNCTION("""COMPUTED_VALUE"""),"AF")</f>
        <v>AF</v>
      </c>
      <c r="I43" s="118">
        <f ca="1">IFERROR(__xludf.DUMMYFUNCTION("""COMPUTED_VALUE"""),5)</f>
        <v>5</v>
      </c>
      <c r="J43" s="118">
        <f ca="1">IFERROR(__xludf.DUMMYFUNCTION("""COMPUTED_VALUE"""),0)</f>
        <v>0</v>
      </c>
      <c r="K43" s="120"/>
      <c r="L43" s="121"/>
      <c r="M43" s="120"/>
      <c r="N43" s="121"/>
      <c r="O43" s="120"/>
      <c r="P43" s="122"/>
      <c r="Q43" s="123" t="str">
        <f ca="1">IFERROR(__xludf.DUMMYFUNCTION("""COMPUTED_VALUE"""),"Alexa Rusk")</f>
        <v>Alexa Rusk</v>
      </c>
      <c r="R43" s="123" t="str">
        <f ca="1">IFERROR(__xludf.DUMMYFUNCTION("""COMPUTED_VALUE"""),"Arlo Kapadia")</f>
        <v>Arlo Kapadia</v>
      </c>
      <c r="S43" s="123" t="str">
        <f ca="1">IFERROR(__xludf.DUMMYFUNCTION("""COMPUTED_VALUE"""),"Agnes Robert")</f>
        <v>Agnes Robert</v>
      </c>
      <c r="T43" s="123" t="str">
        <f ca="1">IFERROR(__xludf.DUMMYFUNCTION("""COMPUTED_VALUE"""),"Amias Paz")</f>
        <v>Amias Paz</v>
      </c>
    </row>
    <row r="44" spans="1:20" ht="13.8">
      <c r="A44" s="118" t="str">
        <f ca="1">IFERROR(__xludf.DUMMYFUNCTION("""COMPUTED_VALUE"""),"AF")</f>
        <v>AF</v>
      </c>
      <c r="B44" s="119" t="str">
        <f ca="1">IFERROR(__xludf.DUMMYFUNCTION("""COMPUTED_VALUE"""),"Gibson Cagianesa")</f>
        <v>Gibson Cagianesa</v>
      </c>
      <c r="C44" s="118">
        <f ca="1">IFERROR(__xludf.DUMMYFUNCTION("""COMPUTED_VALUE"""),4)</f>
        <v>4</v>
      </c>
      <c r="D44" s="118" t="str">
        <f ca="1">IFERROR(__xludf.DUMMYFUNCTION("""COMPUTED_VALUE"""),"B")</f>
        <v>B</v>
      </c>
      <c r="E44" s="118" t="str">
        <f ca="1">IFERROR(__xludf.DUMMYFUNCTION("""COMPUTED_VALUE"""),"F")</f>
        <v>F</v>
      </c>
      <c r="F44" s="118" t="str">
        <f ca="1">IFERROR(__xludf.DUMMYFUNCTION("""COMPUTED_VALUE"""),"J")</f>
        <v>J</v>
      </c>
      <c r="G44" s="118">
        <f ca="1">IFERROR(__xludf.DUMMYFUNCTION("""COMPUTED_VALUE"""),7)</f>
        <v>7</v>
      </c>
      <c r="H44" s="118" t="str">
        <f ca="1">IFERROR(__xludf.DUMMYFUNCTION("""COMPUTED_VALUE"""),"AF")</f>
        <v>AF</v>
      </c>
      <c r="I44" s="118">
        <f ca="1">IFERROR(__xludf.DUMMYFUNCTION("""COMPUTED_VALUE"""),5)</f>
        <v>5</v>
      </c>
      <c r="J44" s="118">
        <f ca="1">IFERROR(__xludf.DUMMYFUNCTION("""COMPUTED_VALUE"""),0)</f>
        <v>0</v>
      </c>
      <c r="K44" s="120"/>
      <c r="L44" s="121"/>
      <c r="M44" s="120"/>
      <c r="N44" s="121"/>
      <c r="O44" s="120"/>
      <c r="P44" s="122"/>
      <c r="Q44" s="123" t="str">
        <f ca="1">IFERROR(__xludf.DUMMYFUNCTION("""COMPUTED_VALUE"""),"Alexandra Bagully")</f>
        <v>Alexandra Bagully</v>
      </c>
      <c r="R44" s="123" t="str">
        <f ca="1">IFERROR(__xludf.DUMMYFUNCTION("""COMPUTED_VALUE"""),"Arthur Fleischer")</f>
        <v>Arthur Fleischer</v>
      </c>
      <c r="S44" s="123" t="str">
        <f ca="1">IFERROR(__xludf.DUMMYFUNCTION("""COMPUTED_VALUE"""),"Aicha Boyd")</f>
        <v>Aicha Boyd</v>
      </c>
      <c r="T44" s="123" t="str">
        <f ca="1">IFERROR(__xludf.DUMMYFUNCTION("""COMPUTED_VALUE"""),"Amir Owens")</f>
        <v>Amir Owens</v>
      </c>
    </row>
    <row r="45" spans="1:20" ht="13.8">
      <c r="A45" s="118" t="str">
        <f ca="1">IFERROR(__xludf.DUMMYFUNCTION("""COMPUTED_VALUE"""),"AF")</f>
        <v>AF</v>
      </c>
      <c r="B45" s="119" t="str">
        <f ca="1">IFERROR(__xludf.DUMMYFUNCTION("""COMPUTED_VALUE"""),"Hershey Zeeman")</f>
        <v>Hershey Zeeman</v>
      </c>
      <c r="C45" s="118">
        <f ca="1">IFERROR(__xludf.DUMMYFUNCTION("""COMPUTED_VALUE"""),9)</f>
        <v>9</v>
      </c>
      <c r="D45" s="118" t="str">
        <f ca="1">IFERROR(__xludf.DUMMYFUNCTION("""COMPUTED_VALUE"""),"B")</f>
        <v>B</v>
      </c>
      <c r="E45" s="118" t="str">
        <f ca="1">IFERROR(__xludf.DUMMYFUNCTION("""COMPUTED_VALUE"""),"F")</f>
        <v>F</v>
      </c>
      <c r="F45" s="118" t="str">
        <f ca="1">IFERROR(__xludf.DUMMYFUNCTION("""COMPUTED_VALUE"""),"J")</f>
        <v>J</v>
      </c>
      <c r="G45" s="118">
        <f ca="1">IFERROR(__xludf.DUMMYFUNCTION("""COMPUTED_VALUE"""),7)</f>
        <v>7</v>
      </c>
      <c r="H45" s="118" t="str">
        <f ca="1">IFERROR(__xludf.DUMMYFUNCTION("""COMPUTED_VALUE"""),"AF")</f>
        <v>AF</v>
      </c>
      <c r="I45" s="118">
        <f ca="1">IFERROR(__xludf.DUMMYFUNCTION("""COMPUTED_VALUE"""),5)</f>
        <v>5</v>
      </c>
      <c r="J45" s="118">
        <f ca="1">IFERROR(__xludf.DUMMYFUNCTION("""COMPUTED_VALUE"""),0)</f>
        <v>0</v>
      </c>
      <c r="K45" s="120"/>
      <c r="L45" s="121"/>
      <c r="M45" s="120"/>
      <c r="N45" s="121"/>
      <c r="O45" s="120"/>
      <c r="P45" s="122"/>
      <c r="Q45" s="123" t="str">
        <f ca="1">IFERROR(__xludf.DUMMYFUNCTION("""COMPUTED_VALUE"""),"Alexandra Grant")</f>
        <v>Alexandra Grant</v>
      </c>
      <c r="R45" s="123" t="str">
        <f ca="1">IFERROR(__xludf.DUMMYFUNCTION("""COMPUTED_VALUE"""),"Arthur Jozefczyk")</f>
        <v>Arthur Jozefczyk</v>
      </c>
      <c r="S45" s="123" t="str">
        <f ca="1">IFERROR(__xludf.DUMMYFUNCTION("""COMPUTED_VALUE"""),"Ainslee Girard")</f>
        <v>Ainslee Girard</v>
      </c>
      <c r="T45" s="123" t="str">
        <f ca="1">IFERROR(__xludf.DUMMYFUNCTION("""COMPUTED_VALUE"""),"Andrew Baldovich")</f>
        <v>Andrew Baldovich</v>
      </c>
    </row>
    <row r="46" spans="1:20" ht="13.8">
      <c r="A46" s="118" t="str">
        <f ca="1">IFERROR(__xludf.DUMMYFUNCTION("""COMPUTED_VALUE"""),"AF")</f>
        <v>AF</v>
      </c>
      <c r="B46" s="119" t="str">
        <f ca="1">IFERROR(__xludf.DUMMYFUNCTION("""COMPUTED_VALUE"""),"R. Emerson Koch")</f>
        <v>R. Emerson Koch</v>
      </c>
      <c r="C46" s="118">
        <f ca="1">IFERROR(__xludf.DUMMYFUNCTION("""COMPUTED_VALUE"""),10)</f>
        <v>10</v>
      </c>
      <c r="D46" s="118" t="str">
        <f ca="1">IFERROR(__xludf.DUMMYFUNCTION("""COMPUTED_VALUE"""),"B")</f>
        <v>B</v>
      </c>
      <c r="E46" s="118" t="str">
        <f ca="1">IFERROR(__xludf.DUMMYFUNCTION("""COMPUTED_VALUE"""),"F")</f>
        <v>F</v>
      </c>
      <c r="F46" s="118" t="str">
        <f ca="1">IFERROR(__xludf.DUMMYFUNCTION("""COMPUTED_VALUE"""),"J")</f>
        <v>J</v>
      </c>
      <c r="G46" s="118">
        <f ca="1">IFERROR(__xludf.DUMMYFUNCTION("""COMPUTED_VALUE"""),7)</f>
        <v>7</v>
      </c>
      <c r="H46" s="118" t="str">
        <f ca="1">IFERROR(__xludf.DUMMYFUNCTION("""COMPUTED_VALUE"""),"AF")</f>
        <v>AF</v>
      </c>
      <c r="I46" s="118">
        <f ca="1">IFERROR(__xludf.DUMMYFUNCTION("""COMPUTED_VALUE"""),5)</f>
        <v>5</v>
      </c>
      <c r="J46" s="118">
        <f ca="1">IFERROR(__xludf.DUMMYFUNCTION("""COMPUTED_VALUE"""),4)</f>
        <v>4</v>
      </c>
      <c r="K46" s="120">
        <f ca="1">IFERROR(__xludf.DUMMYFUNCTION("""COMPUTED_VALUE"""),45.6)</f>
        <v>45.6</v>
      </c>
      <c r="L46" s="121"/>
      <c r="M46" s="120">
        <f ca="1">IFERROR(__xludf.DUMMYFUNCTION("""COMPUTED_VALUE"""),45.6)</f>
        <v>45.6</v>
      </c>
      <c r="N46" s="121"/>
      <c r="O46" s="120"/>
      <c r="P46" s="122"/>
      <c r="Q46" s="123" t="str">
        <f ca="1">IFERROR(__xludf.DUMMYFUNCTION("""COMPUTED_VALUE"""),"Alexandra Kennedy")</f>
        <v>Alexandra Kennedy</v>
      </c>
      <c r="R46" s="123" t="str">
        <f ca="1">IFERROR(__xludf.DUMMYFUNCTION("""COMPUTED_VALUE"""),"Asher Arnic")</f>
        <v>Asher Arnic</v>
      </c>
      <c r="S46" s="123" t="str">
        <f ca="1">IFERROR(__xludf.DUMMYFUNCTION("""COMPUTED_VALUE"""),"Aira Kayastha")</f>
        <v>Aira Kayastha</v>
      </c>
      <c r="T46" s="123" t="str">
        <f ca="1">IFERROR(__xludf.DUMMYFUNCTION("""COMPUTED_VALUE"""),"Andrew Bean")</f>
        <v>Andrew Bean</v>
      </c>
    </row>
    <row r="47" spans="1:20" ht="13.8">
      <c r="A47" s="118" t="str">
        <f ca="1">IFERROR(__xludf.DUMMYFUNCTION("""COMPUTED_VALUE"""),"AF")</f>
        <v>AF</v>
      </c>
      <c r="B47" s="119" t="str">
        <f ca="1">IFERROR(__xludf.DUMMYFUNCTION("""COMPUTED_VALUE"""),"Tristan Dasch")</f>
        <v>Tristan Dasch</v>
      </c>
      <c r="C47" s="118">
        <f ca="1">IFERROR(__xludf.DUMMYFUNCTION("""COMPUTED_VALUE"""),7)</f>
        <v>7</v>
      </c>
      <c r="D47" s="118" t="str">
        <f ca="1">IFERROR(__xludf.DUMMYFUNCTION("""COMPUTED_VALUE"""),"B")</f>
        <v>B</v>
      </c>
      <c r="E47" s="118" t="str">
        <f ca="1">IFERROR(__xludf.DUMMYFUNCTION("""COMPUTED_VALUE"""),"F")</f>
        <v>F</v>
      </c>
      <c r="F47" s="118" t="str">
        <f ca="1">IFERROR(__xludf.DUMMYFUNCTION("""COMPUTED_VALUE"""),"J")</f>
        <v>J</v>
      </c>
      <c r="G47" s="118">
        <f ca="1">IFERROR(__xludf.DUMMYFUNCTION("""COMPUTED_VALUE"""),7)</f>
        <v>7</v>
      </c>
      <c r="H47" s="118" t="str">
        <f ca="1">IFERROR(__xludf.DUMMYFUNCTION("""COMPUTED_VALUE"""),"AF")</f>
        <v>AF</v>
      </c>
      <c r="I47" s="118">
        <f ca="1">IFERROR(__xludf.DUMMYFUNCTION("""COMPUTED_VALUE"""),5)</f>
        <v>5</v>
      </c>
      <c r="J47" s="118">
        <f ca="1">IFERROR(__xludf.DUMMYFUNCTION("""COMPUTED_VALUE"""),4)</f>
        <v>4</v>
      </c>
      <c r="K47" s="120">
        <f ca="1">IFERROR(__xludf.DUMMYFUNCTION("""COMPUTED_VALUE"""),37.1)</f>
        <v>37.1</v>
      </c>
      <c r="L47" s="121"/>
      <c r="M47" s="120"/>
      <c r="N47" s="121"/>
      <c r="O47" s="120">
        <f ca="1">IFERROR(__xludf.DUMMYFUNCTION("""COMPUTED_VALUE"""),37.1)</f>
        <v>37.1</v>
      </c>
      <c r="P47" s="122"/>
      <c r="Q47" s="123" t="str">
        <f ca="1">IFERROR(__xludf.DUMMYFUNCTION("""COMPUTED_VALUE"""),"Alexandra Steber")</f>
        <v>Alexandra Steber</v>
      </c>
      <c r="R47" s="123" t="str">
        <f ca="1">IFERROR(__xludf.DUMMYFUNCTION("""COMPUTED_VALUE"""),"Asher Cameron")</f>
        <v>Asher Cameron</v>
      </c>
      <c r="S47" s="123" t="str">
        <f ca="1">IFERROR(__xludf.DUMMYFUNCTION("""COMPUTED_VALUE"""),"Aislyn Burnside")</f>
        <v>Aislyn Burnside</v>
      </c>
      <c r="T47" s="123" t="str">
        <f ca="1">IFERROR(__xludf.DUMMYFUNCTION("""COMPUTED_VALUE"""),"Andrew Beck")</f>
        <v>Andrew Beck</v>
      </c>
    </row>
    <row r="48" spans="1:20" ht="13.8">
      <c r="A48" s="118" t="str">
        <f ca="1">IFERROR(__xludf.DUMMYFUNCTION("""COMPUTED_VALUE"""),"AF")</f>
        <v>AF</v>
      </c>
      <c r="B48" s="119" t="str">
        <f ca="1">IFERROR(__xludf.DUMMYFUNCTION("""COMPUTED_VALUE"""),"Campbell Black")</f>
        <v>Campbell Black</v>
      </c>
      <c r="C48" s="118">
        <f ca="1">IFERROR(__xludf.DUMMYFUNCTION("""COMPUTED_VALUE"""),11)</f>
        <v>11</v>
      </c>
      <c r="D48" s="118" t="str">
        <f ca="1">IFERROR(__xludf.DUMMYFUNCTION("""COMPUTED_VALUE"""),"G")</f>
        <v>G</v>
      </c>
      <c r="E48" s="118" t="str">
        <f ca="1">IFERROR(__xludf.DUMMYFUNCTION("""COMPUTED_VALUE"""),"J")</f>
        <v>J</v>
      </c>
      <c r="F48" s="118" t="str">
        <f ca="1">IFERROR(__xludf.DUMMYFUNCTION("""COMPUTED_VALUE"""),"I")</f>
        <v>I</v>
      </c>
      <c r="G48" s="118">
        <f ca="1">IFERROR(__xludf.DUMMYFUNCTION("""COMPUTED_VALUE"""),7)</f>
        <v>7</v>
      </c>
      <c r="H48" s="118" t="str">
        <f ca="1">IFERROR(__xludf.DUMMYFUNCTION("""COMPUTED_VALUE"""),"AF")</f>
        <v>AF</v>
      </c>
      <c r="I48" s="118">
        <f ca="1">IFERROR(__xludf.DUMMYFUNCTION("""COMPUTED_VALUE"""),6)</f>
        <v>6</v>
      </c>
      <c r="J48" s="118">
        <f ca="1">IFERROR(__xludf.DUMMYFUNCTION("""COMPUTED_VALUE"""),4)</f>
        <v>4</v>
      </c>
      <c r="K48" s="120">
        <f ca="1">IFERROR(__xludf.DUMMYFUNCTION("""COMPUTED_VALUE"""),80.8)</f>
        <v>80.8</v>
      </c>
      <c r="L48" s="121"/>
      <c r="M48" s="120">
        <f ca="1">IFERROR(__xludf.DUMMYFUNCTION("""COMPUTED_VALUE"""),67.55)</f>
        <v>67.55</v>
      </c>
      <c r="N48" s="121"/>
      <c r="O48" s="120">
        <f ca="1">IFERROR(__xludf.DUMMYFUNCTION("""COMPUTED_VALUE"""),78.15)</f>
        <v>78.150000000000006</v>
      </c>
      <c r="P48" s="122"/>
      <c r="Q48" s="123" t="str">
        <f ca="1">IFERROR(__xludf.DUMMYFUNCTION("""COMPUTED_VALUE"""),"Alexandra Torrez")</f>
        <v>Alexandra Torrez</v>
      </c>
      <c r="R48" s="123" t="str">
        <f ca="1">IFERROR(__xludf.DUMMYFUNCTION("""COMPUTED_VALUE"""),"Ashton Akers")</f>
        <v>Ashton Akers</v>
      </c>
      <c r="S48" s="123" t="str">
        <f ca="1">IFERROR(__xludf.DUMMYFUNCTION("""COMPUTED_VALUE"""),"Alessandra Falsone")</f>
        <v>Alessandra Falsone</v>
      </c>
      <c r="T48" s="123" t="str">
        <f ca="1">IFERROR(__xludf.DUMMYFUNCTION("""COMPUTED_VALUE"""),"Andrew Cho")</f>
        <v>Andrew Cho</v>
      </c>
    </row>
    <row r="49" spans="1:20" ht="13.8">
      <c r="A49" s="118" t="str">
        <f ca="1">IFERROR(__xludf.DUMMYFUNCTION("""COMPUTED_VALUE"""),"AF")</f>
        <v>AF</v>
      </c>
      <c r="B49" s="119" t="str">
        <f ca="1">IFERROR(__xludf.DUMMYFUNCTION("""COMPUTED_VALUE"""),"Ella Turner")</f>
        <v>Ella Turner</v>
      </c>
      <c r="C49" s="118">
        <f ca="1">IFERROR(__xludf.DUMMYFUNCTION("""COMPUTED_VALUE"""),11)</f>
        <v>11</v>
      </c>
      <c r="D49" s="118" t="str">
        <f ca="1">IFERROR(__xludf.DUMMYFUNCTION("""COMPUTED_VALUE"""),"G")</f>
        <v>G</v>
      </c>
      <c r="E49" s="118" t="str">
        <f ca="1">IFERROR(__xludf.DUMMYFUNCTION("""COMPUTED_VALUE"""),"J")</f>
        <v>J</v>
      </c>
      <c r="F49" s="118" t="str">
        <f ca="1">IFERROR(__xludf.DUMMYFUNCTION("""COMPUTED_VALUE"""),"I")</f>
        <v>I</v>
      </c>
      <c r="G49" s="118">
        <f ca="1">IFERROR(__xludf.DUMMYFUNCTION("""COMPUTED_VALUE"""),7)</f>
        <v>7</v>
      </c>
      <c r="H49" s="118" t="str">
        <f ca="1">IFERROR(__xludf.DUMMYFUNCTION("""COMPUTED_VALUE"""),"AF")</f>
        <v>AF</v>
      </c>
      <c r="I49" s="118">
        <f ca="1">IFERROR(__xludf.DUMMYFUNCTION("""COMPUTED_VALUE"""),6)</f>
        <v>6</v>
      </c>
      <c r="J49" s="118">
        <f ca="1">IFERROR(__xludf.DUMMYFUNCTION("""COMPUTED_VALUE"""),3)</f>
        <v>3</v>
      </c>
      <c r="K49" s="120">
        <f ca="1">IFERROR(__xludf.DUMMYFUNCTION("""COMPUTED_VALUE"""),77.85)</f>
        <v>77.849999999999994</v>
      </c>
      <c r="L49" s="121"/>
      <c r="M49" s="120">
        <f ca="1">IFERROR(__xludf.DUMMYFUNCTION("""COMPUTED_VALUE"""),71.4)</f>
        <v>71.400000000000006</v>
      </c>
      <c r="N49" s="121"/>
      <c r="O49" s="120">
        <f ca="1">IFERROR(__xludf.DUMMYFUNCTION("""COMPUTED_VALUE"""),77.85)</f>
        <v>77.849999999999994</v>
      </c>
      <c r="P49" s="122"/>
      <c r="Q49" s="123" t="str">
        <f ca="1">IFERROR(__xludf.DUMMYFUNCTION("""COMPUTED_VALUE"""),"Alice Beaudoin")</f>
        <v>Alice Beaudoin</v>
      </c>
      <c r="R49" s="123" t="str">
        <f ca="1">IFERROR(__xludf.DUMMYFUNCTION("""COMPUTED_VALUE"""),"Atticus Lee")</f>
        <v>Atticus Lee</v>
      </c>
      <c r="S49" s="123" t="str">
        <f ca="1">IFERROR(__xludf.DUMMYFUNCTION("""COMPUTED_VALUE"""),"Aletheia Wiley-Jimenez")</f>
        <v>Aletheia Wiley-Jimenez</v>
      </c>
      <c r="T49" s="123" t="str">
        <f ca="1">IFERROR(__xludf.DUMMYFUNCTION("""COMPUTED_VALUE"""),"Andrew Haldeman")</f>
        <v>Andrew Haldeman</v>
      </c>
    </row>
    <row r="50" spans="1:20" ht="13.8">
      <c r="A50" s="118" t="str">
        <f ca="1">IFERROR(__xludf.DUMMYFUNCTION("""COMPUTED_VALUE"""),"AF")</f>
        <v>AF</v>
      </c>
      <c r="B50" s="119" t="str">
        <f ca="1">IFERROR(__xludf.DUMMYFUNCTION("""COMPUTED_VALUE"""),"Fiona Bergen")</f>
        <v>Fiona Bergen</v>
      </c>
      <c r="C50" s="118">
        <f ca="1">IFERROR(__xludf.DUMMYFUNCTION("""COMPUTED_VALUE"""),11)</f>
        <v>11</v>
      </c>
      <c r="D50" s="118" t="str">
        <f ca="1">IFERROR(__xludf.DUMMYFUNCTION("""COMPUTED_VALUE"""),"G")</f>
        <v>G</v>
      </c>
      <c r="E50" s="118" t="str">
        <f ca="1">IFERROR(__xludf.DUMMYFUNCTION("""COMPUTED_VALUE"""),"J")</f>
        <v>J</v>
      </c>
      <c r="F50" s="118" t="str">
        <f ca="1">IFERROR(__xludf.DUMMYFUNCTION("""COMPUTED_VALUE"""),"I")</f>
        <v>I</v>
      </c>
      <c r="G50" s="118">
        <f ca="1">IFERROR(__xludf.DUMMYFUNCTION("""COMPUTED_VALUE"""),7)</f>
        <v>7</v>
      </c>
      <c r="H50" s="118" t="str">
        <f ca="1">IFERROR(__xludf.DUMMYFUNCTION("""COMPUTED_VALUE"""),"AF")</f>
        <v>AF</v>
      </c>
      <c r="I50" s="118">
        <f ca="1">IFERROR(__xludf.DUMMYFUNCTION("""COMPUTED_VALUE"""),6)</f>
        <v>6</v>
      </c>
      <c r="J50" s="118">
        <f ca="1">IFERROR(__xludf.DUMMYFUNCTION("""COMPUTED_VALUE"""),0)</f>
        <v>0</v>
      </c>
      <c r="K50" s="120"/>
      <c r="L50" s="121"/>
      <c r="M50" s="120"/>
      <c r="N50" s="121"/>
      <c r="O50" s="120"/>
      <c r="P50" s="122"/>
      <c r="Q50" s="123" t="str">
        <f ca="1">IFERROR(__xludf.DUMMYFUNCTION("""COMPUTED_VALUE"""),"Alice Henderson")</f>
        <v>Alice Henderson</v>
      </c>
      <c r="R50" s="123" t="str">
        <f ca="1">IFERROR(__xludf.DUMMYFUNCTION("""COMPUTED_VALUE"""),"Augie Rusnak")</f>
        <v>Augie Rusnak</v>
      </c>
      <c r="S50" s="123" t="str">
        <f ca="1">IFERROR(__xludf.DUMMYFUNCTION("""COMPUTED_VALUE"""),"Alex Klimek")</f>
        <v>Alex Klimek</v>
      </c>
      <c r="T50" s="123" t="str">
        <f ca="1">IFERROR(__xludf.DUMMYFUNCTION("""COMPUTED_VALUE"""),"Andrew Parente")</f>
        <v>Andrew Parente</v>
      </c>
    </row>
    <row r="51" spans="1:20" ht="13.8">
      <c r="A51" s="118" t="str">
        <f ca="1">IFERROR(__xludf.DUMMYFUNCTION("""COMPUTED_VALUE"""),"AF")</f>
        <v>AF</v>
      </c>
      <c r="B51" s="119" t="str">
        <f ca="1">IFERROR(__xludf.DUMMYFUNCTION("""COMPUTED_VALUE"""),"Helen Huggler")</f>
        <v>Helen Huggler</v>
      </c>
      <c r="C51" s="118">
        <f ca="1">IFERROR(__xludf.DUMMYFUNCTION("""COMPUTED_VALUE"""),11)</f>
        <v>11</v>
      </c>
      <c r="D51" s="118" t="str">
        <f ca="1">IFERROR(__xludf.DUMMYFUNCTION("""COMPUTED_VALUE"""),"G")</f>
        <v>G</v>
      </c>
      <c r="E51" s="118" t="str">
        <f ca="1">IFERROR(__xludf.DUMMYFUNCTION("""COMPUTED_VALUE"""),"J")</f>
        <v>J</v>
      </c>
      <c r="F51" s="118" t="str">
        <f ca="1">IFERROR(__xludf.DUMMYFUNCTION("""COMPUTED_VALUE"""),"I")</f>
        <v>I</v>
      </c>
      <c r="G51" s="118">
        <f ca="1">IFERROR(__xludf.DUMMYFUNCTION("""COMPUTED_VALUE"""),7)</f>
        <v>7</v>
      </c>
      <c r="H51" s="118" t="str">
        <f ca="1">IFERROR(__xludf.DUMMYFUNCTION("""COMPUTED_VALUE"""),"AF")</f>
        <v>AF</v>
      </c>
      <c r="I51" s="118">
        <f ca="1">IFERROR(__xludf.DUMMYFUNCTION("""COMPUTED_VALUE"""),6)</f>
        <v>6</v>
      </c>
      <c r="J51" s="118">
        <f ca="1">IFERROR(__xludf.DUMMYFUNCTION("""COMPUTED_VALUE"""),5)</f>
        <v>5</v>
      </c>
      <c r="K51" s="120">
        <f ca="1">IFERROR(__xludf.DUMMYFUNCTION("""COMPUTED_VALUE"""),72.9)</f>
        <v>72.900000000000006</v>
      </c>
      <c r="L51" s="121"/>
      <c r="M51" s="120">
        <f ca="1">IFERROR(__xludf.DUMMYFUNCTION("""COMPUTED_VALUE"""),68.4)</f>
        <v>68.400000000000006</v>
      </c>
      <c r="N51" s="121"/>
      <c r="O51" s="120">
        <f ca="1">IFERROR(__xludf.DUMMYFUNCTION("""COMPUTED_VALUE"""),72.9)</f>
        <v>72.900000000000006</v>
      </c>
      <c r="P51" s="122"/>
      <c r="Q51" s="123" t="str">
        <f ca="1">IFERROR(__xludf.DUMMYFUNCTION("""COMPUTED_VALUE"""),"Alice Uhl")</f>
        <v>Alice Uhl</v>
      </c>
      <c r="R51" s="123" t="str">
        <f ca="1">IFERROR(__xludf.DUMMYFUNCTION("""COMPUTED_VALUE"""),"Augusto Sondoval")</f>
        <v>Augusto Sondoval</v>
      </c>
      <c r="S51" s="123" t="str">
        <f ca="1">IFERROR(__xludf.DUMMYFUNCTION("""COMPUTED_VALUE"""),"Alex Shrieves")</f>
        <v>Alex Shrieves</v>
      </c>
      <c r="T51" s="123" t="str">
        <f ca="1">IFERROR(__xludf.DUMMYFUNCTION("""COMPUTED_VALUE"""),"Andrew Werlinger")</f>
        <v>Andrew Werlinger</v>
      </c>
    </row>
    <row r="52" spans="1:20" ht="13.8">
      <c r="A52" s="118" t="str">
        <f ca="1">IFERROR(__xludf.DUMMYFUNCTION("""COMPUTED_VALUE"""),"AF")</f>
        <v>AF</v>
      </c>
      <c r="B52" s="119" t="str">
        <f ca="1">IFERROR(__xludf.DUMMYFUNCTION("""COMPUTED_VALUE"""),"Lottie Robert")</f>
        <v>Lottie Robert</v>
      </c>
      <c r="C52" s="118">
        <f ca="1">IFERROR(__xludf.DUMMYFUNCTION("""COMPUTED_VALUE"""),12)</f>
        <v>12</v>
      </c>
      <c r="D52" s="118" t="str">
        <f ca="1">IFERROR(__xludf.DUMMYFUNCTION("""COMPUTED_VALUE"""),"G")</f>
        <v>G</v>
      </c>
      <c r="E52" s="118" t="str">
        <f ca="1">IFERROR(__xludf.DUMMYFUNCTION("""COMPUTED_VALUE"""),"J")</f>
        <v>J</v>
      </c>
      <c r="F52" s="118" t="str">
        <f ca="1">IFERROR(__xludf.DUMMYFUNCTION("""COMPUTED_VALUE"""),"I")</f>
        <v>I</v>
      </c>
      <c r="G52" s="118">
        <f ca="1">IFERROR(__xludf.DUMMYFUNCTION("""COMPUTED_VALUE"""),7)</f>
        <v>7</v>
      </c>
      <c r="H52" s="118" t="str">
        <f ca="1">IFERROR(__xludf.DUMMYFUNCTION("""COMPUTED_VALUE"""),"AF")</f>
        <v>AF</v>
      </c>
      <c r="I52" s="118">
        <f ca="1">IFERROR(__xludf.DUMMYFUNCTION("""COMPUTED_VALUE"""),6)</f>
        <v>6</v>
      </c>
      <c r="J52" s="118">
        <f ca="1">IFERROR(__xludf.DUMMYFUNCTION("""COMPUTED_VALUE"""),4)</f>
        <v>4</v>
      </c>
      <c r="K52" s="120">
        <f ca="1">IFERROR(__xludf.DUMMYFUNCTION("""COMPUTED_VALUE"""),-57.35)</f>
        <v>-57.35</v>
      </c>
      <c r="L52" s="121"/>
      <c r="M52" s="120">
        <f ca="1">IFERROR(__xludf.DUMMYFUNCTION("""COMPUTED_VALUE"""),-85.75)</f>
        <v>-85.75</v>
      </c>
      <c r="N52" s="121"/>
      <c r="O52" s="120">
        <f ca="1">IFERROR(__xludf.DUMMYFUNCTION("""COMPUTED_VALUE"""),-72)</f>
        <v>-72</v>
      </c>
      <c r="P52" s="122"/>
      <c r="Q52" s="123" t="str">
        <f ca="1">IFERROR(__xludf.DUMMYFUNCTION("""COMPUTED_VALUE"""),"Alicia Pereira Kim")</f>
        <v>Alicia Pereira Kim</v>
      </c>
      <c r="R52" s="123" t="str">
        <f ca="1">IFERROR(__xludf.DUMMYFUNCTION("""COMPUTED_VALUE"""),"Austin Brooks")</f>
        <v>Austin Brooks</v>
      </c>
      <c r="S52" s="123" t="str">
        <f ca="1">IFERROR(__xludf.DUMMYFUNCTION("""COMPUTED_VALUE"""),"Alexa Mansuy")</f>
        <v>Alexa Mansuy</v>
      </c>
      <c r="T52" s="123" t="str">
        <f ca="1">IFERROR(__xludf.DUMMYFUNCTION("""COMPUTED_VALUE"""),"Andrew Zemek")</f>
        <v>Andrew Zemek</v>
      </c>
    </row>
    <row r="53" spans="1:20" ht="13.8">
      <c r="A53" s="118" t="str">
        <f ca="1">IFERROR(__xludf.DUMMYFUNCTION("""COMPUTED_VALUE"""),"AF")</f>
        <v>AF</v>
      </c>
      <c r="B53" s="119" t="str">
        <f ca="1">IFERROR(__xludf.DUMMYFUNCTION("""COMPUTED_VALUE"""),"Savannah Lehman")</f>
        <v>Savannah Lehman</v>
      </c>
      <c r="C53" s="118">
        <f ca="1">IFERROR(__xludf.DUMMYFUNCTION("""COMPUTED_VALUE"""),11)</f>
        <v>11</v>
      </c>
      <c r="D53" s="118" t="str">
        <f ca="1">IFERROR(__xludf.DUMMYFUNCTION("""COMPUTED_VALUE"""),"G")</f>
        <v>G</v>
      </c>
      <c r="E53" s="118" t="str">
        <f ca="1">IFERROR(__xludf.DUMMYFUNCTION("""COMPUTED_VALUE"""),"J")</f>
        <v>J</v>
      </c>
      <c r="F53" s="118" t="str">
        <f ca="1">IFERROR(__xludf.DUMMYFUNCTION("""COMPUTED_VALUE"""),"I")</f>
        <v>I</v>
      </c>
      <c r="G53" s="118">
        <f ca="1">IFERROR(__xludf.DUMMYFUNCTION("""COMPUTED_VALUE"""),7)</f>
        <v>7</v>
      </c>
      <c r="H53" s="118" t="str">
        <f ca="1">IFERROR(__xludf.DUMMYFUNCTION("""COMPUTED_VALUE"""),"AF")</f>
        <v>AF</v>
      </c>
      <c r="I53" s="118">
        <f ca="1">IFERROR(__xludf.DUMMYFUNCTION("""COMPUTED_VALUE"""),6)</f>
        <v>6</v>
      </c>
      <c r="J53" s="118">
        <f ca="1">IFERROR(__xludf.DUMMYFUNCTION("""COMPUTED_VALUE"""),0)</f>
        <v>0</v>
      </c>
      <c r="K53" s="120"/>
      <c r="L53" s="121"/>
      <c r="M53" s="120"/>
      <c r="N53" s="121"/>
      <c r="O53" s="120"/>
      <c r="P53" s="122"/>
      <c r="Q53" s="123" t="str">
        <f ca="1">IFERROR(__xludf.DUMMYFUNCTION("""COMPUTED_VALUE"""),"Aliyah Benmbarek")</f>
        <v>Aliyah Benmbarek</v>
      </c>
      <c r="R53" s="123" t="str">
        <f ca="1">IFERROR(__xludf.DUMMYFUNCTION("""COMPUTED_VALUE"""),"Austin Moss")</f>
        <v>Austin Moss</v>
      </c>
      <c r="S53" s="123" t="str">
        <f ca="1">IFERROR(__xludf.DUMMYFUNCTION("""COMPUTED_VALUE"""),"Alexa Rusk")</f>
        <v>Alexa Rusk</v>
      </c>
      <c r="T53" s="123" t="str">
        <f ca="1">IFERROR(__xludf.DUMMYFUNCTION("""COMPUTED_VALUE"""),"Aniket Agarwal")</f>
        <v>Aniket Agarwal</v>
      </c>
    </row>
    <row r="54" spans="1:20" ht="13.8">
      <c r="A54" s="118" t="str">
        <f ca="1">IFERROR(__xludf.DUMMYFUNCTION("""COMPUTED_VALUE"""),"AF")</f>
        <v>AF</v>
      </c>
      <c r="B54" s="119" t="str">
        <f ca="1">IFERROR(__xludf.DUMMYFUNCTION("""COMPUTED_VALUE"""),"Alexander Stewart")</f>
        <v>Alexander Stewart</v>
      </c>
      <c r="C54" s="118">
        <f ca="1">IFERROR(__xludf.DUMMYFUNCTION("""COMPUTED_VALUE"""),12)</f>
        <v>12</v>
      </c>
      <c r="D54" s="118" t="str">
        <f ca="1">IFERROR(__xludf.DUMMYFUNCTION("""COMPUTED_VALUE"""),"B")</f>
        <v>B</v>
      </c>
      <c r="E54" s="118" t="str">
        <f ca="1">IFERROR(__xludf.DUMMYFUNCTION("""COMPUTED_VALUE"""),"J")</f>
        <v>J</v>
      </c>
      <c r="F54" s="118" t="str">
        <f ca="1">IFERROR(__xludf.DUMMYFUNCTION("""COMPUTED_VALUE"""),"I")</f>
        <v>I</v>
      </c>
      <c r="G54" s="118">
        <f ca="1">IFERROR(__xludf.DUMMYFUNCTION("""COMPUTED_VALUE"""),7)</f>
        <v>7</v>
      </c>
      <c r="H54" s="118" t="str">
        <f ca="1">IFERROR(__xludf.DUMMYFUNCTION("""COMPUTED_VALUE"""),"AF")</f>
        <v>AF</v>
      </c>
      <c r="I54" s="118">
        <f ca="1">IFERROR(__xludf.DUMMYFUNCTION("""COMPUTED_VALUE"""),7)</f>
        <v>7</v>
      </c>
      <c r="J54" s="118">
        <f ca="1">IFERROR(__xludf.DUMMYFUNCTION("""COMPUTED_VALUE"""),3)</f>
        <v>3</v>
      </c>
      <c r="K54" s="120">
        <f ca="1">IFERROR(__xludf.DUMMYFUNCTION("""COMPUTED_VALUE"""),93)</f>
        <v>93</v>
      </c>
      <c r="L54" s="121"/>
      <c r="M54" s="120"/>
      <c r="N54" s="121"/>
      <c r="O54" s="120"/>
      <c r="P54" s="122"/>
      <c r="Q54" s="123" t="str">
        <f ca="1">IFERROR(__xludf.DUMMYFUNCTION("""COMPUTED_VALUE"""),"Aliyah Pleisch")</f>
        <v>Aliyah Pleisch</v>
      </c>
      <c r="R54" s="123" t="str">
        <f ca="1">IFERROR(__xludf.DUMMYFUNCTION("""COMPUTED_VALUE"""),"Babi Aldonas")</f>
        <v>Babi Aldonas</v>
      </c>
      <c r="S54" s="123" t="str">
        <f ca="1">IFERROR(__xludf.DUMMYFUNCTION("""COMPUTED_VALUE"""),"Alexandra Bagully")</f>
        <v>Alexandra Bagully</v>
      </c>
      <c r="T54" s="123" t="str">
        <f ca="1">IFERROR(__xludf.DUMMYFUNCTION("""COMPUTED_VALUE"""),"Anthony Maull")</f>
        <v>Anthony Maull</v>
      </c>
    </row>
    <row r="55" spans="1:20" ht="13.8">
      <c r="A55" s="118" t="str">
        <f ca="1">IFERROR(__xludf.DUMMYFUNCTION("""COMPUTED_VALUE"""),"AF")</f>
        <v>AF</v>
      </c>
      <c r="B55" s="119" t="str">
        <f ca="1">IFERROR(__xludf.DUMMYFUNCTION("""COMPUTED_VALUE"""),"Jack Snow")</f>
        <v>Jack Snow</v>
      </c>
      <c r="C55" s="118">
        <f ca="1">IFERROR(__xludf.DUMMYFUNCTION("""COMPUTED_VALUE"""),11)</f>
        <v>11</v>
      </c>
      <c r="D55" s="118" t="str">
        <f ca="1">IFERROR(__xludf.DUMMYFUNCTION("""COMPUTED_VALUE"""),"B")</f>
        <v>B</v>
      </c>
      <c r="E55" s="118" t="str">
        <f ca="1">IFERROR(__xludf.DUMMYFUNCTION("""COMPUTED_VALUE"""),"J")</f>
        <v>J</v>
      </c>
      <c r="F55" s="118" t="str">
        <f ca="1">IFERROR(__xludf.DUMMYFUNCTION("""COMPUTED_VALUE"""),"I")</f>
        <v>I</v>
      </c>
      <c r="G55" s="118">
        <f ca="1">IFERROR(__xludf.DUMMYFUNCTION("""COMPUTED_VALUE"""),7)</f>
        <v>7</v>
      </c>
      <c r="H55" s="118" t="str">
        <f ca="1">IFERROR(__xludf.DUMMYFUNCTION("""COMPUTED_VALUE"""),"AF")</f>
        <v>AF</v>
      </c>
      <c r="I55" s="118">
        <f ca="1">IFERROR(__xludf.DUMMYFUNCTION("""COMPUTED_VALUE"""),7)</f>
        <v>7</v>
      </c>
      <c r="J55" s="118">
        <f ca="1">IFERROR(__xludf.DUMMYFUNCTION("""COMPUTED_VALUE"""),3)</f>
        <v>3</v>
      </c>
      <c r="K55" s="120">
        <f ca="1">IFERROR(__xludf.DUMMYFUNCTION("""COMPUTED_VALUE"""),62.95)</f>
        <v>62.95</v>
      </c>
      <c r="L55" s="121"/>
      <c r="M55" s="120">
        <f ca="1">IFERROR(__xludf.DUMMYFUNCTION("""COMPUTED_VALUE"""),61.45)</f>
        <v>61.45</v>
      </c>
      <c r="N55" s="121"/>
      <c r="O55" s="120"/>
      <c r="P55" s="122"/>
      <c r="Q55" s="123" t="str">
        <f ca="1">IFERROR(__xludf.DUMMYFUNCTION("""COMPUTED_VALUE"""),"Aliza Cohen")</f>
        <v>Aliza Cohen</v>
      </c>
      <c r="R55" s="123" t="str">
        <f ca="1">IFERROR(__xludf.DUMMYFUNCTION("""COMPUTED_VALUE"""),"Baiden Vu")</f>
        <v>Baiden Vu</v>
      </c>
      <c r="S55" s="123" t="str">
        <f ca="1">IFERROR(__xludf.DUMMYFUNCTION("""COMPUTED_VALUE"""),"Alexandra Grant")</f>
        <v>Alexandra Grant</v>
      </c>
      <c r="T55" s="123" t="str">
        <f ca="1">IFERROR(__xludf.DUMMYFUNCTION("""COMPUTED_VALUE"""),"Archer Kouhestani")</f>
        <v>Archer Kouhestani</v>
      </c>
    </row>
    <row r="56" spans="1:20" ht="13.8">
      <c r="A56" s="118" t="str">
        <f ca="1">IFERROR(__xludf.DUMMYFUNCTION("""COMPUTED_VALUE"""),"AF")</f>
        <v>AF</v>
      </c>
      <c r="B56" s="119" t="str">
        <f ca="1">IFERROR(__xludf.DUMMYFUNCTION("""COMPUTED_VALUE"""),"Konrad Epley")</f>
        <v>Konrad Epley</v>
      </c>
      <c r="C56" s="118">
        <f ca="1">IFERROR(__xludf.DUMMYFUNCTION("""COMPUTED_VALUE"""),11)</f>
        <v>11</v>
      </c>
      <c r="D56" s="118" t="str">
        <f ca="1">IFERROR(__xludf.DUMMYFUNCTION("""COMPUTED_VALUE"""),"B")</f>
        <v>B</v>
      </c>
      <c r="E56" s="118" t="str">
        <f ca="1">IFERROR(__xludf.DUMMYFUNCTION("""COMPUTED_VALUE"""),"J")</f>
        <v>J</v>
      </c>
      <c r="F56" s="118" t="str">
        <f ca="1">IFERROR(__xludf.DUMMYFUNCTION("""COMPUTED_VALUE"""),"I")</f>
        <v>I</v>
      </c>
      <c r="G56" s="118">
        <f ca="1">IFERROR(__xludf.DUMMYFUNCTION("""COMPUTED_VALUE"""),7)</f>
        <v>7</v>
      </c>
      <c r="H56" s="118" t="str">
        <f ca="1">IFERROR(__xludf.DUMMYFUNCTION("""COMPUTED_VALUE"""),"AF")</f>
        <v>AF</v>
      </c>
      <c r="I56" s="118">
        <f ca="1">IFERROR(__xludf.DUMMYFUNCTION("""COMPUTED_VALUE"""),7)</f>
        <v>7</v>
      </c>
      <c r="J56" s="118">
        <f ca="1">IFERROR(__xludf.DUMMYFUNCTION("""COMPUTED_VALUE"""),2)</f>
        <v>2</v>
      </c>
      <c r="K56" s="120">
        <f ca="1">IFERROR(__xludf.DUMMYFUNCTION("""COMPUTED_VALUE"""),61.7)</f>
        <v>61.7</v>
      </c>
      <c r="L56" s="121"/>
      <c r="M56" s="120"/>
      <c r="N56" s="121"/>
      <c r="O56" s="120"/>
      <c r="P56" s="122"/>
      <c r="Q56" s="123" t="str">
        <f ca="1">IFERROR(__xludf.DUMMYFUNCTION("""COMPUTED_VALUE"""),"Allie Benone")</f>
        <v>Allie Benone</v>
      </c>
      <c r="R56" s="123" t="str">
        <f ca="1">IFERROR(__xludf.DUMMYFUNCTION("""COMPUTED_VALUE"""),"Baxter Shimooka")</f>
        <v>Baxter Shimooka</v>
      </c>
      <c r="S56" s="123" t="str">
        <f ca="1">IFERROR(__xludf.DUMMYFUNCTION("""COMPUTED_VALUE"""),"Alexandra Kennedy")</f>
        <v>Alexandra Kennedy</v>
      </c>
      <c r="T56" s="123" t="str">
        <f ca="1">IFERROR(__xludf.DUMMYFUNCTION("""COMPUTED_VALUE"""),"Archie Wiedemann")</f>
        <v>Archie Wiedemann</v>
      </c>
    </row>
    <row r="57" spans="1:20" ht="13.8">
      <c r="A57" s="118" t="str">
        <f ca="1">IFERROR(__xludf.DUMMYFUNCTION("""COMPUTED_VALUE"""),"AF")</f>
        <v>AF</v>
      </c>
      <c r="B57" s="119" t="str">
        <f ca="1">IFERROR(__xludf.DUMMYFUNCTION("""COMPUTED_VALUE"""),"Nathaniel Cassatt")</f>
        <v>Nathaniel Cassatt</v>
      </c>
      <c r="C57" s="118">
        <f ca="1">IFERROR(__xludf.DUMMYFUNCTION("""COMPUTED_VALUE"""),12)</f>
        <v>12</v>
      </c>
      <c r="D57" s="118" t="str">
        <f ca="1">IFERROR(__xludf.DUMMYFUNCTION("""COMPUTED_VALUE"""),"B")</f>
        <v>B</v>
      </c>
      <c r="E57" s="118" t="str">
        <f ca="1">IFERROR(__xludf.DUMMYFUNCTION("""COMPUTED_VALUE"""),"J")</f>
        <v>J</v>
      </c>
      <c r="F57" s="118" t="str">
        <f ca="1">IFERROR(__xludf.DUMMYFUNCTION("""COMPUTED_VALUE"""),"I")</f>
        <v>I</v>
      </c>
      <c r="G57" s="118">
        <f ca="1">IFERROR(__xludf.DUMMYFUNCTION("""COMPUTED_VALUE"""),7)</f>
        <v>7</v>
      </c>
      <c r="H57" s="118" t="str">
        <f ca="1">IFERROR(__xludf.DUMMYFUNCTION("""COMPUTED_VALUE"""),"AF")</f>
        <v>AF</v>
      </c>
      <c r="I57" s="118">
        <f ca="1">IFERROR(__xludf.DUMMYFUNCTION("""COMPUTED_VALUE"""),7)</f>
        <v>7</v>
      </c>
      <c r="J57" s="118">
        <f ca="1">IFERROR(__xludf.DUMMYFUNCTION("""COMPUTED_VALUE"""),2)</f>
        <v>2</v>
      </c>
      <c r="K57" s="120">
        <f ca="1">IFERROR(__xludf.DUMMYFUNCTION("""COMPUTED_VALUE"""),-63.8)</f>
        <v>-63.8</v>
      </c>
      <c r="L57" s="121"/>
      <c r="M57" s="120"/>
      <c r="N57" s="121"/>
      <c r="O57" s="120"/>
      <c r="P57" s="122"/>
      <c r="Q57" s="123" t="str">
        <f ca="1">IFERROR(__xludf.DUMMYFUNCTION("""COMPUTED_VALUE"""),"Allie Pearson")</f>
        <v>Allie Pearson</v>
      </c>
      <c r="R57" s="123" t="str">
        <f ca="1">IFERROR(__xludf.DUMMYFUNCTION("""COMPUTED_VALUE"""),"Bear Jackson")</f>
        <v>Bear Jackson</v>
      </c>
      <c r="S57" s="123" t="str">
        <f ca="1">IFERROR(__xludf.DUMMYFUNCTION("""COMPUTED_VALUE"""),"Alexandra Lee")</f>
        <v>Alexandra Lee</v>
      </c>
      <c r="T57" s="123" t="str">
        <f ca="1">IFERROR(__xludf.DUMMYFUNCTION("""COMPUTED_VALUE"""),"Ari Yarmolovich")</f>
        <v>Ari Yarmolovich</v>
      </c>
    </row>
    <row r="58" spans="1:20" ht="13.8">
      <c r="A58" s="118" t="str">
        <f ca="1">IFERROR(__xludf.DUMMYFUNCTION("""COMPUTED_VALUE"""),"AF")</f>
        <v>AF</v>
      </c>
      <c r="B58" s="119" t="str">
        <f ca="1">IFERROR(__xludf.DUMMYFUNCTION("""COMPUTED_VALUE"""),"Nicholas Beier")</f>
        <v>Nicholas Beier</v>
      </c>
      <c r="C58" s="118">
        <f ca="1">IFERROR(__xludf.DUMMYFUNCTION("""COMPUTED_VALUE"""),12)</f>
        <v>12</v>
      </c>
      <c r="D58" s="118" t="str">
        <f ca="1">IFERROR(__xludf.DUMMYFUNCTION("""COMPUTED_VALUE"""),"B")</f>
        <v>B</v>
      </c>
      <c r="E58" s="118" t="str">
        <f ca="1">IFERROR(__xludf.DUMMYFUNCTION("""COMPUTED_VALUE"""),"J")</f>
        <v>J</v>
      </c>
      <c r="F58" s="118" t="str">
        <f ca="1">IFERROR(__xludf.DUMMYFUNCTION("""COMPUTED_VALUE"""),"I")</f>
        <v>I</v>
      </c>
      <c r="G58" s="118">
        <f ca="1">IFERROR(__xludf.DUMMYFUNCTION("""COMPUTED_VALUE"""),7)</f>
        <v>7</v>
      </c>
      <c r="H58" s="118" t="str">
        <f ca="1">IFERROR(__xludf.DUMMYFUNCTION("""COMPUTED_VALUE"""),"AF")</f>
        <v>AF</v>
      </c>
      <c r="I58" s="118">
        <f ca="1">IFERROR(__xludf.DUMMYFUNCTION("""COMPUTED_VALUE"""),7)</f>
        <v>7</v>
      </c>
      <c r="J58" s="118">
        <f ca="1">IFERROR(__xludf.DUMMYFUNCTION("""COMPUTED_VALUE"""),5)</f>
        <v>5</v>
      </c>
      <c r="K58" s="120">
        <f ca="1">IFERROR(__xludf.DUMMYFUNCTION("""COMPUTED_VALUE"""),76.15)</f>
        <v>76.150000000000006</v>
      </c>
      <c r="L58" s="121"/>
      <c r="M58" s="120">
        <f ca="1">IFERROR(__xludf.DUMMYFUNCTION("""COMPUTED_VALUE"""),76.15)</f>
        <v>76.150000000000006</v>
      </c>
      <c r="N58" s="121"/>
      <c r="O58" s="120">
        <f ca="1">IFERROR(__xludf.DUMMYFUNCTION("""COMPUTED_VALUE"""),74)</f>
        <v>74</v>
      </c>
      <c r="P58" s="122"/>
      <c r="Q58" s="123" t="str">
        <f ca="1">IFERROR(__xludf.DUMMYFUNCTION("""COMPUTED_VALUE"""),"Ally Argenta")</f>
        <v>Ally Argenta</v>
      </c>
      <c r="R58" s="123" t="str">
        <f ca="1">IFERROR(__xludf.DUMMYFUNCTION("""COMPUTED_VALUE"""),"Beau Rosser")</f>
        <v>Beau Rosser</v>
      </c>
      <c r="S58" s="123" t="str">
        <f ca="1">IFERROR(__xludf.DUMMYFUNCTION("""COMPUTED_VALUE"""),"Alexandra Steber")</f>
        <v>Alexandra Steber</v>
      </c>
      <c r="T58" s="123" t="str">
        <f ca="1">IFERROR(__xludf.DUMMYFUNCTION("""COMPUTED_VALUE"""),"Arlo Creen")</f>
        <v>Arlo Creen</v>
      </c>
    </row>
    <row r="59" spans="1:20" ht="13.8">
      <c r="A59" s="118" t="str">
        <f ca="1">IFERROR(__xludf.DUMMYFUNCTION("""COMPUTED_VALUE"""),"AF")</f>
        <v>AF</v>
      </c>
      <c r="B59" s="119" t="str">
        <f ca="1">IFERROR(__xludf.DUMMYFUNCTION("""COMPUTED_VALUE"""),"Nicholas Petruccelli")</f>
        <v>Nicholas Petruccelli</v>
      </c>
      <c r="C59" s="118">
        <f ca="1">IFERROR(__xludf.DUMMYFUNCTION("""COMPUTED_VALUE"""),11)</f>
        <v>11</v>
      </c>
      <c r="D59" s="118" t="str">
        <f ca="1">IFERROR(__xludf.DUMMYFUNCTION("""COMPUTED_VALUE"""),"B")</f>
        <v>B</v>
      </c>
      <c r="E59" s="118" t="str">
        <f ca="1">IFERROR(__xludf.DUMMYFUNCTION("""COMPUTED_VALUE"""),"J")</f>
        <v>J</v>
      </c>
      <c r="F59" s="118" t="str">
        <f ca="1">IFERROR(__xludf.DUMMYFUNCTION("""COMPUTED_VALUE"""),"I")</f>
        <v>I</v>
      </c>
      <c r="G59" s="118">
        <f ca="1">IFERROR(__xludf.DUMMYFUNCTION("""COMPUTED_VALUE"""),7)</f>
        <v>7</v>
      </c>
      <c r="H59" s="118" t="str">
        <f ca="1">IFERROR(__xludf.DUMMYFUNCTION("""COMPUTED_VALUE"""),"AF")</f>
        <v>AF</v>
      </c>
      <c r="I59" s="118">
        <f ca="1">IFERROR(__xludf.DUMMYFUNCTION("""COMPUTED_VALUE"""),7)</f>
        <v>7</v>
      </c>
      <c r="J59" s="118">
        <f ca="1">IFERROR(__xludf.DUMMYFUNCTION("""COMPUTED_VALUE"""),5)</f>
        <v>5</v>
      </c>
      <c r="K59" s="120">
        <f ca="1">IFERROR(__xludf.DUMMYFUNCTION("""COMPUTED_VALUE"""),78.9)</f>
        <v>78.900000000000006</v>
      </c>
      <c r="L59" s="121"/>
      <c r="M59" s="120">
        <f ca="1">IFERROR(__xludf.DUMMYFUNCTION("""COMPUTED_VALUE"""),78.9)</f>
        <v>78.900000000000006</v>
      </c>
      <c r="N59" s="121"/>
      <c r="O59" s="120">
        <f ca="1">IFERROR(__xludf.DUMMYFUNCTION("""COMPUTED_VALUE"""),61)</f>
        <v>61</v>
      </c>
      <c r="P59" s="122"/>
      <c r="Q59" s="123" t="str">
        <f ca="1">IFERROR(__xludf.DUMMYFUNCTION("""COMPUTED_VALUE"""),"Ally Han")</f>
        <v>Ally Han</v>
      </c>
      <c r="R59" s="123" t="str">
        <f ca="1">IFERROR(__xludf.DUMMYFUNCTION("""COMPUTED_VALUE"""),"Beck Nazarshoyev")</f>
        <v>Beck Nazarshoyev</v>
      </c>
      <c r="S59" s="123" t="str">
        <f ca="1">IFERROR(__xludf.DUMMYFUNCTION("""COMPUTED_VALUE"""),"Alexandra Torrez")</f>
        <v>Alexandra Torrez</v>
      </c>
      <c r="T59" s="123" t="str">
        <f ca="1">IFERROR(__xludf.DUMMYFUNCTION("""COMPUTED_VALUE"""),"Arlo Kapadia")</f>
        <v>Arlo Kapadia</v>
      </c>
    </row>
    <row r="60" spans="1:20" ht="13.8">
      <c r="A60" s="118" t="str">
        <f ca="1">IFERROR(__xludf.DUMMYFUNCTION("""COMPUTED_VALUE"""),"AF")</f>
        <v>AF</v>
      </c>
      <c r="B60" s="119" t="str">
        <f ca="1">IFERROR(__xludf.DUMMYFUNCTION("""COMPUTED_VALUE"""),"Ryan Foshay")</f>
        <v>Ryan Foshay</v>
      </c>
      <c r="C60" s="118">
        <f ca="1">IFERROR(__xludf.DUMMYFUNCTION("""COMPUTED_VALUE"""),11)</f>
        <v>11</v>
      </c>
      <c r="D60" s="118" t="str">
        <f ca="1">IFERROR(__xludf.DUMMYFUNCTION("""COMPUTED_VALUE"""),"B")</f>
        <v>B</v>
      </c>
      <c r="E60" s="118" t="str">
        <f ca="1">IFERROR(__xludf.DUMMYFUNCTION("""COMPUTED_VALUE"""),"J")</f>
        <v>J</v>
      </c>
      <c r="F60" s="118" t="str">
        <f ca="1">IFERROR(__xludf.DUMMYFUNCTION("""COMPUTED_VALUE"""),"I")</f>
        <v>I</v>
      </c>
      <c r="G60" s="118">
        <f ca="1">IFERROR(__xludf.DUMMYFUNCTION("""COMPUTED_VALUE"""),7)</f>
        <v>7</v>
      </c>
      <c r="H60" s="118" t="str">
        <f ca="1">IFERROR(__xludf.DUMMYFUNCTION("""COMPUTED_VALUE"""),"AF")</f>
        <v>AF</v>
      </c>
      <c r="I60" s="118">
        <f ca="1">IFERROR(__xludf.DUMMYFUNCTION("""COMPUTED_VALUE"""),7)</f>
        <v>7</v>
      </c>
      <c r="J60" s="118">
        <f ca="1">IFERROR(__xludf.DUMMYFUNCTION("""COMPUTED_VALUE"""),4)</f>
        <v>4</v>
      </c>
      <c r="K60" s="120">
        <f ca="1">IFERROR(__xludf.DUMMYFUNCTION("""COMPUTED_VALUE"""),48.15)</f>
        <v>48.15</v>
      </c>
      <c r="L60" s="121"/>
      <c r="M60" s="120">
        <f ca="1">IFERROR(__xludf.DUMMYFUNCTION("""COMPUTED_VALUE"""),46.9)</f>
        <v>46.9</v>
      </c>
      <c r="N60" s="121"/>
      <c r="O60" s="120"/>
      <c r="P60" s="122"/>
      <c r="Q60" s="123" t="str">
        <f ca="1">IFERROR(__xludf.DUMMYFUNCTION("""COMPUTED_VALUE"""),"Alma Cappitelli")</f>
        <v>Alma Cappitelli</v>
      </c>
      <c r="R60" s="123" t="str">
        <f ca="1">IFERROR(__xludf.DUMMYFUNCTION("""COMPUTED_VALUE"""),"Ben Baker")</f>
        <v>Ben Baker</v>
      </c>
      <c r="S60" s="123" t="str">
        <f ca="1">IFERROR(__xludf.DUMMYFUNCTION("""COMPUTED_VALUE"""),"Ali Gurganus")</f>
        <v>Ali Gurganus</v>
      </c>
      <c r="T60" s="123" t="str">
        <f ca="1">IFERROR(__xludf.DUMMYFUNCTION("""COMPUTED_VALUE"""),"Arthur Fleischer")</f>
        <v>Arthur Fleischer</v>
      </c>
    </row>
    <row r="61" spans="1:20" ht="13.8">
      <c r="A61" s="118" t="str">
        <f ca="1">IFERROR(__xludf.DUMMYFUNCTION("""COMPUTED_VALUE"""),"AF")</f>
        <v>AF</v>
      </c>
      <c r="B61" s="119" t="str">
        <f ca="1">IFERROR(__xludf.DUMMYFUNCTION("""COMPUTED_VALUE"""),"Tanner Green")</f>
        <v>Tanner Green</v>
      </c>
      <c r="C61" s="118">
        <f ca="1">IFERROR(__xludf.DUMMYFUNCTION("""COMPUTED_VALUE"""),12)</f>
        <v>12</v>
      </c>
      <c r="D61" s="118" t="str">
        <f ca="1">IFERROR(__xludf.DUMMYFUNCTION("""COMPUTED_VALUE"""),"B")</f>
        <v>B</v>
      </c>
      <c r="E61" s="118" t="str">
        <f ca="1">IFERROR(__xludf.DUMMYFUNCTION("""COMPUTED_VALUE"""),"J")</f>
        <v>J</v>
      </c>
      <c r="F61" s="118" t="str">
        <f ca="1">IFERROR(__xludf.DUMMYFUNCTION("""COMPUTED_VALUE"""),"I")</f>
        <v>I</v>
      </c>
      <c r="G61" s="118">
        <f ca="1">IFERROR(__xludf.DUMMYFUNCTION("""COMPUTED_VALUE"""),7)</f>
        <v>7</v>
      </c>
      <c r="H61" s="118" t="str">
        <f ca="1">IFERROR(__xludf.DUMMYFUNCTION("""COMPUTED_VALUE"""),"AF")</f>
        <v>AF</v>
      </c>
      <c r="I61" s="118">
        <f ca="1">IFERROR(__xludf.DUMMYFUNCTION("""COMPUTED_VALUE"""),7)</f>
        <v>7</v>
      </c>
      <c r="J61" s="118">
        <f ca="1">IFERROR(__xludf.DUMMYFUNCTION("""COMPUTED_VALUE"""),4)</f>
        <v>4</v>
      </c>
      <c r="K61" s="120">
        <f ca="1">IFERROR(__xludf.DUMMYFUNCTION("""COMPUTED_VALUE"""),97.95)</f>
        <v>97.95</v>
      </c>
      <c r="L61" s="121"/>
      <c r="M61" s="120">
        <f ca="1">IFERROR(__xludf.DUMMYFUNCTION("""COMPUTED_VALUE"""),97.95)</f>
        <v>97.95</v>
      </c>
      <c r="N61" s="121"/>
      <c r="O61" s="120">
        <f ca="1">IFERROR(__xludf.DUMMYFUNCTION("""COMPUTED_VALUE"""),92.1)</f>
        <v>92.1</v>
      </c>
      <c r="P61" s="122"/>
      <c r="Q61" s="123" t="str">
        <f ca="1">IFERROR(__xludf.DUMMYFUNCTION("""COMPUTED_VALUE"""),"Amelia Gentry")</f>
        <v>Amelia Gentry</v>
      </c>
      <c r="R61" s="123" t="str">
        <f ca="1">IFERROR(__xludf.DUMMYFUNCTION("""COMPUTED_VALUE"""),"Ben Blaeuer")</f>
        <v>Ben Blaeuer</v>
      </c>
      <c r="S61" s="123" t="str">
        <f ca="1">IFERROR(__xludf.DUMMYFUNCTION("""COMPUTED_VALUE"""),"Alice Beaudoin")</f>
        <v>Alice Beaudoin</v>
      </c>
      <c r="T61" s="123" t="str">
        <f ca="1">IFERROR(__xludf.DUMMYFUNCTION("""COMPUTED_VALUE"""),"Arthur Jozefczyk")</f>
        <v>Arthur Jozefczyk</v>
      </c>
    </row>
    <row r="62" spans="1:20" ht="13.8">
      <c r="A62" s="118" t="str">
        <f ca="1">IFERROR(__xludf.DUMMYFUNCTION("""COMPUTED_VALUE"""),"AF")</f>
        <v>AF</v>
      </c>
      <c r="B62" s="119" t="str">
        <f ca="1">IFERROR(__xludf.DUMMYFUNCTION("""COMPUTED_VALUE"""),"William Kunkle")</f>
        <v>William Kunkle</v>
      </c>
      <c r="C62" s="118">
        <f ca="1">IFERROR(__xludf.DUMMYFUNCTION("""COMPUTED_VALUE"""),11)</f>
        <v>11</v>
      </c>
      <c r="D62" s="118" t="str">
        <f ca="1">IFERROR(__xludf.DUMMYFUNCTION("""COMPUTED_VALUE"""),"B")</f>
        <v>B</v>
      </c>
      <c r="E62" s="118" t="str">
        <f ca="1">IFERROR(__xludf.DUMMYFUNCTION("""COMPUTED_VALUE"""),"J")</f>
        <v>J</v>
      </c>
      <c r="F62" s="118" t="str">
        <f ca="1">IFERROR(__xludf.DUMMYFUNCTION("""COMPUTED_VALUE"""),"I")</f>
        <v>I</v>
      </c>
      <c r="G62" s="118">
        <f ca="1">IFERROR(__xludf.DUMMYFUNCTION("""COMPUTED_VALUE"""),7)</f>
        <v>7</v>
      </c>
      <c r="H62" s="118" t="str">
        <f ca="1">IFERROR(__xludf.DUMMYFUNCTION("""COMPUTED_VALUE"""),"AF")</f>
        <v>AF</v>
      </c>
      <c r="I62" s="118">
        <f ca="1">IFERROR(__xludf.DUMMYFUNCTION("""COMPUTED_VALUE"""),7)</f>
        <v>7</v>
      </c>
      <c r="J62" s="118">
        <f ca="1">IFERROR(__xludf.DUMMYFUNCTION("""COMPUTED_VALUE"""),3)</f>
        <v>3</v>
      </c>
      <c r="K62" s="120">
        <f ca="1">IFERROR(__xludf.DUMMYFUNCTION("""COMPUTED_VALUE"""),33.2)</f>
        <v>33.200000000000003</v>
      </c>
      <c r="L62" s="121"/>
      <c r="M62" s="120"/>
      <c r="N62" s="121"/>
      <c r="O62" s="120">
        <f ca="1">IFERROR(__xludf.DUMMYFUNCTION("""COMPUTED_VALUE"""),-66.1)</f>
        <v>-66.099999999999994</v>
      </c>
      <c r="P62" s="122"/>
      <c r="Q62" s="123" t="str">
        <f ca="1">IFERROR(__xludf.DUMMYFUNCTION("""COMPUTED_VALUE"""),"Amelia Koch")</f>
        <v>Amelia Koch</v>
      </c>
      <c r="R62" s="123" t="str">
        <f ca="1">IFERROR(__xludf.DUMMYFUNCTION("""COMPUTED_VALUE"""),"Ben Gulotta")</f>
        <v>Ben Gulotta</v>
      </c>
      <c r="S62" s="123" t="str">
        <f ca="1">IFERROR(__xludf.DUMMYFUNCTION("""COMPUTED_VALUE"""),"Alice Henderson")</f>
        <v>Alice Henderson</v>
      </c>
      <c r="T62" s="123" t="str">
        <f ca="1">IFERROR(__xludf.DUMMYFUNCTION("""COMPUTED_VALUE"""),"Asa Keller")</f>
        <v>Asa Keller</v>
      </c>
    </row>
    <row r="63" spans="1:20" ht="13.8">
      <c r="A63" s="118" t="str">
        <f ca="1">IFERROR(__xludf.DUMMYFUNCTION("""COMPUTED_VALUE"""),"AF")</f>
        <v>AF</v>
      </c>
      <c r="B63" s="119" t="str">
        <f ca="1">IFERROR(__xludf.DUMMYFUNCTION("""COMPUTED_VALUE"""),"Claire Polsinelli")</f>
        <v>Claire Polsinelli</v>
      </c>
      <c r="C63" s="118">
        <f ca="1">IFERROR(__xludf.DUMMYFUNCTION("""COMPUTED_VALUE"""),13)</f>
        <v>13</v>
      </c>
      <c r="D63" s="118" t="str">
        <f ca="1">IFERROR(__xludf.DUMMYFUNCTION("""COMPUTED_VALUE"""),"G")</f>
        <v>G</v>
      </c>
      <c r="E63" s="118" t="str">
        <f ca="1">IFERROR(__xludf.DUMMYFUNCTION("""COMPUTED_VALUE"""),"I")</f>
        <v>I</v>
      </c>
      <c r="F63" s="118" t="str">
        <f ca="1">IFERROR(__xludf.DUMMYFUNCTION("""COMPUTED_VALUE"""),"S")</f>
        <v>S</v>
      </c>
      <c r="G63" s="118">
        <f ca="1">IFERROR(__xludf.DUMMYFUNCTION("""COMPUTED_VALUE"""),7)</f>
        <v>7</v>
      </c>
      <c r="H63" s="118" t="str">
        <f ca="1">IFERROR(__xludf.DUMMYFUNCTION("""COMPUTED_VALUE"""),"AF")</f>
        <v>AF</v>
      </c>
      <c r="I63" s="118">
        <f ca="1">IFERROR(__xludf.DUMMYFUNCTION("""COMPUTED_VALUE"""),8)</f>
        <v>8</v>
      </c>
      <c r="J63" s="118">
        <f ca="1">IFERROR(__xludf.DUMMYFUNCTION("""COMPUTED_VALUE"""),5)</f>
        <v>5</v>
      </c>
      <c r="K63" s="120">
        <f ca="1">IFERROR(__xludf.DUMMYFUNCTION("""COMPUTED_VALUE"""),107.25)</f>
        <v>107.25</v>
      </c>
      <c r="L63" s="121"/>
      <c r="M63" s="120">
        <f ca="1">IFERROR(__xludf.DUMMYFUNCTION("""COMPUTED_VALUE"""),103.35)</f>
        <v>103.35</v>
      </c>
      <c r="N63" s="121"/>
      <c r="O63" s="120">
        <f ca="1">IFERROR(__xludf.DUMMYFUNCTION("""COMPUTED_VALUE"""),100.5)</f>
        <v>100.5</v>
      </c>
      <c r="P63" s="122"/>
      <c r="Q63" s="123" t="str">
        <f ca="1">IFERROR(__xludf.DUMMYFUNCTION("""COMPUTED_VALUE"""),"Amelia Rigoli")</f>
        <v>Amelia Rigoli</v>
      </c>
      <c r="R63" s="123" t="str">
        <f ca="1">IFERROR(__xludf.DUMMYFUNCTION("""COMPUTED_VALUE"""),"Ben Jacobs")</f>
        <v>Ben Jacobs</v>
      </c>
      <c r="S63" s="123" t="str">
        <f ca="1">IFERROR(__xludf.DUMMYFUNCTION("""COMPUTED_VALUE"""),"Alice Uhl")</f>
        <v>Alice Uhl</v>
      </c>
      <c r="T63" s="123" t="str">
        <f ca="1">IFERROR(__xludf.DUMMYFUNCTION("""COMPUTED_VALUE"""),"Asher Arnic")</f>
        <v>Asher Arnic</v>
      </c>
    </row>
    <row r="64" spans="1:20" ht="13.8">
      <c r="A64" s="118" t="str">
        <f ca="1">IFERROR(__xludf.DUMMYFUNCTION("""COMPUTED_VALUE"""),"AF")</f>
        <v>AF</v>
      </c>
      <c r="B64" s="119" t="str">
        <f ca="1">IFERROR(__xludf.DUMMYFUNCTION("""COMPUTED_VALUE"""),"Banks Buergler")</f>
        <v>Banks Buergler</v>
      </c>
      <c r="C64" s="118">
        <f ca="1">IFERROR(__xludf.DUMMYFUNCTION("""COMPUTED_VALUE"""),13)</f>
        <v>13</v>
      </c>
      <c r="D64" s="118" t="str">
        <f ca="1">IFERROR(__xludf.DUMMYFUNCTION("""COMPUTED_VALUE"""),"B")</f>
        <v>B</v>
      </c>
      <c r="E64" s="118" t="str">
        <f ca="1">IFERROR(__xludf.DUMMYFUNCTION("""COMPUTED_VALUE"""),"I")</f>
        <v>I</v>
      </c>
      <c r="F64" s="118" t="str">
        <f ca="1">IFERROR(__xludf.DUMMYFUNCTION("""COMPUTED_VALUE"""),"S")</f>
        <v>S</v>
      </c>
      <c r="G64" s="118">
        <f ca="1">IFERROR(__xludf.DUMMYFUNCTION("""COMPUTED_VALUE"""),7)</f>
        <v>7</v>
      </c>
      <c r="H64" s="118" t="str">
        <f ca="1">IFERROR(__xludf.DUMMYFUNCTION("""COMPUTED_VALUE"""),"AF")</f>
        <v>AF</v>
      </c>
      <c r="I64" s="118">
        <f ca="1">IFERROR(__xludf.DUMMYFUNCTION("""COMPUTED_VALUE"""),9)</f>
        <v>9</v>
      </c>
      <c r="J64" s="118">
        <f ca="1">IFERROR(__xludf.DUMMYFUNCTION("""COMPUTED_VALUE"""),4)</f>
        <v>4</v>
      </c>
      <c r="K64" s="120">
        <f ca="1">IFERROR(__xludf.DUMMYFUNCTION("""COMPUTED_VALUE"""),130.25)</f>
        <v>130.25</v>
      </c>
      <c r="L64" s="121"/>
      <c r="M64" s="120">
        <f ca="1">IFERROR(__xludf.DUMMYFUNCTION("""COMPUTED_VALUE"""),130.25)</f>
        <v>130.25</v>
      </c>
      <c r="N64" s="121"/>
      <c r="O64" s="120"/>
      <c r="P64" s="122"/>
      <c r="Q64" s="123" t="str">
        <f ca="1">IFERROR(__xludf.DUMMYFUNCTION("""COMPUTED_VALUE"""),"Amelia Wisniewski")</f>
        <v>Amelia Wisniewski</v>
      </c>
      <c r="R64" s="123" t="str">
        <f ca="1">IFERROR(__xludf.DUMMYFUNCTION("""COMPUTED_VALUE"""),"Ben Lyon")</f>
        <v>Ben Lyon</v>
      </c>
      <c r="S64" s="123" t="str">
        <f ca="1">IFERROR(__xludf.DUMMYFUNCTION("""COMPUTED_VALUE"""),"Alicia Pereira Kim")</f>
        <v>Alicia Pereira Kim</v>
      </c>
      <c r="T64" s="123" t="str">
        <f ca="1">IFERROR(__xludf.DUMMYFUNCTION("""COMPUTED_VALUE"""),"Asher Cameron")</f>
        <v>Asher Cameron</v>
      </c>
    </row>
    <row r="65" spans="1:20" ht="13.8">
      <c r="A65" s="118" t="str">
        <f ca="1">IFERROR(__xludf.DUMMYFUNCTION("""COMPUTED_VALUE"""),"AF")</f>
        <v>AF</v>
      </c>
      <c r="B65" s="119" t="str">
        <f ca="1">IFERROR(__xludf.DUMMYFUNCTION("""COMPUTED_VALUE"""),"Elias Cater")</f>
        <v>Elias Cater</v>
      </c>
      <c r="C65" s="118">
        <f ca="1">IFERROR(__xludf.DUMMYFUNCTION("""COMPUTED_VALUE"""),13)</f>
        <v>13</v>
      </c>
      <c r="D65" s="118" t="str">
        <f ca="1">IFERROR(__xludf.DUMMYFUNCTION("""COMPUTED_VALUE"""),"B")</f>
        <v>B</v>
      </c>
      <c r="E65" s="118" t="str">
        <f ca="1">IFERROR(__xludf.DUMMYFUNCTION("""COMPUTED_VALUE"""),"I")</f>
        <v>I</v>
      </c>
      <c r="F65" s="118" t="str">
        <f ca="1">IFERROR(__xludf.DUMMYFUNCTION("""COMPUTED_VALUE"""),"S")</f>
        <v>S</v>
      </c>
      <c r="G65" s="118">
        <f ca="1">IFERROR(__xludf.DUMMYFUNCTION("""COMPUTED_VALUE"""),7)</f>
        <v>7</v>
      </c>
      <c r="H65" s="118" t="str">
        <f ca="1">IFERROR(__xludf.DUMMYFUNCTION("""COMPUTED_VALUE"""),"AF")</f>
        <v>AF</v>
      </c>
      <c r="I65" s="118">
        <f ca="1">IFERROR(__xludf.DUMMYFUNCTION("""COMPUTED_VALUE"""),9)</f>
        <v>9</v>
      </c>
      <c r="J65" s="118">
        <f ca="1">IFERROR(__xludf.DUMMYFUNCTION("""COMPUTED_VALUE"""),0)</f>
        <v>0</v>
      </c>
      <c r="K65" s="120"/>
      <c r="L65" s="121"/>
      <c r="M65" s="120"/>
      <c r="N65" s="121"/>
      <c r="O65" s="120"/>
      <c r="P65" s="122"/>
      <c r="Q65" s="123" t="str">
        <f ca="1">IFERROR(__xludf.DUMMYFUNCTION("""COMPUTED_VALUE"""),"Ana Negrelli")</f>
        <v>Ana Negrelli</v>
      </c>
      <c r="R65" s="123" t="str">
        <f ca="1">IFERROR(__xludf.DUMMYFUNCTION("""COMPUTED_VALUE"""),"Ben Margolis")</f>
        <v>Ben Margolis</v>
      </c>
      <c r="S65" s="123" t="str">
        <f ca="1">IFERROR(__xludf.DUMMYFUNCTION("""COMPUTED_VALUE"""),"Aliyah Benmbarek")</f>
        <v>Aliyah Benmbarek</v>
      </c>
      <c r="T65" s="123" t="str">
        <f ca="1">IFERROR(__xludf.DUMMYFUNCTION("""COMPUTED_VALUE"""),"Asher Lanthier")</f>
        <v>Asher Lanthier</v>
      </c>
    </row>
    <row r="66" spans="1:20" ht="13.8">
      <c r="A66" s="118" t="str">
        <f ca="1">IFERROR(__xludf.DUMMYFUNCTION("""COMPUTED_VALUE"""),"AF")</f>
        <v>AF</v>
      </c>
      <c r="B66" s="119" t="str">
        <f ca="1">IFERROR(__xludf.DUMMYFUNCTION("""COMPUTED_VALUE"""),"Matthew Petruccelli")</f>
        <v>Matthew Petruccelli</v>
      </c>
      <c r="C66" s="118">
        <f ca="1">IFERROR(__xludf.DUMMYFUNCTION("""COMPUTED_VALUE"""),13)</f>
        <v>13</v>
      </c>
      <c r="D66" s="118" t="str">
        <f ca="1">IFERROR(__xludf.DUMMYFUNCTION("""COMPUTED_VALUE"""),"B")</f>
        <v>B</v>
      </c>
      <c r="E66" s="118" t="str">
        <f ca="1">IFERROR(__xludf.DUMMYFUNCTION("""COMPUTED_VALUE"""),"I")</f>
        <v>I</v>
      </c>
      <c r="F66" s="118" t="str">
        <f ca="1">IFERROR(__xludf.DUMMYFUNCTION("""COMPUTED_VALUE"""),"S")</f>
        <v>S</v>
      </c>
      <c r="G66" s="118">
        <f ca="1">IFERROR(__xludf.DUMMYFUNCTION("""COMPUTED_VALUE"""),7)</f>
        <v>7</v>
      </c>
      <c r="H66" s="118" t="str">
        <f ca="1">IFERROR(__xludf.DUMMYFUNCTION("""COMPUTED_VALUE"""),"AF")</f>
        <v>AF</v>
      </c>
      <c r="I66" s="118">
        <f ca="1">IFERROR(__xludf.DUMMYFUNCTION("""COMPUTED_VALUE"""),9)</f>
        <v>9</v>
      </c>
      <c r="J66" s="118">
        <f ca="1">IFERROR(__xludf.DUMMYFUNCTION("""COMPUTED_VALUE"""),5)</f>
        <v>5</v>
      </c>
      <c r="K66" s="120">
        <f ca="1">IFERROR(__xludf.DUMMYFUNCTION("""COMPUTED_VALUE"""),127.35)</f>
        <v>127.35</v>
      </c>
      <c r="L66" s="121"/>
      <c r="M66" s="120">
        <f ca="1">IFERROR(__xludf.DUMMYFUNCTION("""COMPUTED_VALUE"""),127.35)</f>
        <v>127.35</v>
      </c>
      <c r="N66" s="121"/>
      <c r="O66" s="120">
        <f ca="1">IFERROR(__xludf.DUMMYFUNCTION("""COMPUTED_VALUE"""),110)</f>
        <v>110</v>
      </c>
      <c r="P66" s="122"/>
      <c r="Q66" s="123" t="str">
        <f ca="1">IFERROR(__xludf.DUMMYFUNCTION("""COMPUTED_VALUE"""),"Anabel Bezdieck")</f>
        <v>Anabel Bezdieck</v>
      </c>
      <c r="R66" s="123" t="str">
        <f ca="1">IFERROR(__xludf.DUMMYFUNCTION("""COMPUTED_VALUE"""),"Ben Panko")</f>
        <v>Ben Panko</v>
      </c>
      <c r="S66" s="123" t="str">
        <f ca="1">IFERROR(__xludf.DUMMYFUNCTION("""COMPUTED_VALUE"""),"Aliyah Pleisch")</f>
        <v>Aliyah Pleisch</v>
      </c>
      <c r="T66" s="123" t="str">
        <f ca="1">IFERROR(__xludf.DUMMYFUNCTION("""COMPUTED_VALUE"""),"Ashton Akers")</f>
        <v>Ashton Akers</v>
      </c>
    </row>
    <row r="67" spans="1:20" ht="13.8">
      <c r="A67" s="118" t="str">
        <f ca="1">IFERROR(__xludf.DUMMYFUNCTION("""COMPUTED_VALUE"""),"AF")</f>
        <v>AF</v>
      </c>
      <c r="B67" s="119" t="str">
        <f ca="1">IFERROR(__xludf.DUMMYFUNCTION("""COMPUTED_VALUE"""),"Quinn Coogen")</f>
        <v>Quinn Coogen</v>
      </c>
      <c r="C67" s="118">
        <f ca="1">IFERROR(__xludf.DUMMYFUNCTION("""COMPUTED_VALUE"""),14)</f>
        <v>14</v>
      </c>
      <c r="D67" s="118" t="str">
        <f ca="1">IFERROR(__xludf.DUMMYFUNCTION("""COMPUTED_VALUE"""),"B")</f>
        <v>B</v>
      </c>
      <c r="E67" s="118" t="str">
        <f ca="1">IFERROR(__xludf.DUMMYFUNCTION("""COMPUTED_VALUE"""),"I")</f>
        <v>I</v>
      </c>
      <c r="F67" s="118" t="str">
        <f ca="1">IFERROR(__xludf.DUMMYFUNCTION("""COMPUTED_VALUE"""),"S")</f>
        <v>S</v>
      </c>
      <c r="G67" s="118">
        <f ca="1">IFERROR(__xludf.DUMMYFUNCTION("""COMPUTED_VALUE"""),7)</f>
        <v>7</v>
      </c>
      <c r="H67" s="118" t="str">
        <f ca="1">IFERROR(__xludf.DUMMYFUNCTION("""COMPUTED_VALUE"""),"AF")</f>
        <v>AF</v>
      </c>
      <c r="I67" s="118">
        <f ca="1">IFERROR(__xludf.DUMMYFUNCTION("""COMPUTED_VALUE"""),9)</f>
        <v>9</v>
      </c>
      <c r="J67" s="118">
        <f ca="1">IFERROR(__xludf.DUMMYFUNCTION("""COMPUTED_VALUE"""),5)</f>
        <v>5</v>
      </c>
      <c r="K67" s="120">
        <f ca="1">IFERROR(__xludf.DUMMYFUNCTION("""COMPUTED_VALUE"""),148.8)</f>
        <v>148.80000000000001</v>
      </c>
      <c r="L67" s="121"/>
      <c r="M67" s="120">
        <f ca="1">IFERROR(__xludf.DUMMYFUNCTION("""COMPUTED_VALUE"""),145.1)</f>
        <v>145.1</v>
      </c>
      <c r="N67" s="121"/>
      <c r="O67" s="120">
        <f ca="1">IFERROR(__xludf.DUMMYFUNCTION("""COMPUTED_VALUE"""),-156.55)</f>
        <v>-156.55000000000001</v>
      </c>
      <c r="P67" s="122"/>
      <c r="Q67" s="123" t="str">
        <f ca="1">IFERROR(__xludf.DUMMYFUNCTION("""COMPUTED_VALUE"""),"Anabelle Chan")</f>
        <v>Anabelle Chan</v>
      </c>
      <c r="R67" s="123" t="str">
        <f ca="1">IFERROR(__xludf.DUMMYFUNCTION("""COMPUTED_VALUE"""),"Ben Root")</f>
        <v>Ben Root</v>
      </c>
      <c r="S67" s="123" t="str">
        <f ca="1">IFERROR(__xludf.DUMMYFUNCTION("""COMPUTED_VALUE"""),"Aliza Cohen")</f>
        <v>Aliza Cohen</v>
      </c>
      <c r="T67" s="123" t="str">
        <f ca="1">IFERROR(__xludf.DUMMYFUNCTION("""COMPUTED_VALUE"""),"Atticus Lee")</f>
        <v>Atticus Lee</v>
      </c>
    </row>
    <row r="68" spans="1:20" ht="13.8">
      <c r="A68" s="118" t="str">
        <f ca="1">IFERROR(__xludf.DUMMYFUNCTION("""COMPUTED_VALUE"""),"AF")</f>
        <v>AF</v>
      </c>
      <c r="B68" s="119" t="str">
        <f ca="1">IFERROR(__xludf.DUMMYFUNCTION("""COMPUTED_VALUE"""),"Ada Jordan")</f>
        <v>Ada Jordan</v>
      </c>
      <c r="C68" s="118">
        <f ca="1">IFERROR(__xludf.DUMMYFUNCTION("""COMPUTED_VALUE"""),16)</f>
        <v>16</v>
      </c>
      <c r="D68" s="118" t="str">
        <f ca="1">IFERROR(__xludf.DUMMYFUNCTION("""COMPUTED_VALUE"""),"G")</f>
        <v>G</v>
      </c>
      <c r="E68" s="118" t="str">
        <f ca="1">IFERROR(__xludf.DUMMYFUNCTION("""COMPUTED_VALUE"""),"S")</f>
        <v>S</v>
      </c>
      <c r="F68" s="118" t="str">
        <f ca="1">IFERROR(__xludf.DUMMYFUNCTION("""COMPUTED_VALUE"""),"S")</f>
        <v>S</v>
      </c>
      <c r="G68" s="118">
        <f ca="1">IFERROR(__xludf.DUMMYFUNCTION("""COMPUTED_VALUE"""),7)</f>
        <v>7</v>
      </c>
      <c r="H68" s="118" t="str">
        <f ca="1">IFERROR(__xludf.DUMMYFUNCTION("""COMPUTED_VALUE"""),"AF")</f>
        <v>AF</v>
      </c>
      <c r="I68" s="118">
        <f ca="1">IFERROR(__xludf.DUMMYFUNCTION("""COMPUTED_VALUE"""),10)</f>
        <v>10</v>
      </c>
      <c r="J68" s="118">
        <f ca="1">IFERROR(__xludf.DUMMYFUNCTION("""COMPUTED_VALUE"""),5)</f>
        <v>5</v>
      </c>
      <c r="K68" s="120">
        <f ca="1">IFERROR(__xludf.DUMMYFUNCTION("""COMPUTED_VALUE"""),128.7)</f>
        <v>128.69999999999999</v>
      </c>
      <c r="L68" s="121"/>
      <c r="M68" s="120">
        <f ca="1">IFERROR(__xludf.DUMMYFUNCTION("""COMPUTED_VALUE"""),121.75)</f>
        <v>121.75</v>
      </c>
      <c r="N68" s="121"/>
      <c r="O68" s="120">
        <f ca="1">IFERROR(__xludf.DUMMYFUNCTION("""COMPUTED_VALUE"""),128.7)</f>
        <v>128.69999999999999</v>
      </c>
      <c r="P68" s="122"/>
      <c r="Q68" s="123" t="str">
        <f ca="1">IFERROR(__xludf.DUMMYFUNCTION("""COMPUTED_VALUE"""),"Anastasia Wendle")</f>
        <v>Anastasia Wendle</v>
      </c>
      <c r="R68" s="123" t="str">
        <f ca="1">IFERROR(__xludf.DUMMYFUNCTION("""COMPUTED_VALUE"""),"Ben Thoman")</f>
        <v>Ben Thoman</v>
      </c>
      <c r="S68" s="123" t="str">
        <f ca="1">IFERROR(__xludf.DUMMYFUNCTION("""COMPUTED_VALUE"""),"Allie Benone")</f>
        <v>Allie Benone</v>
      </c>
      <c r="T68" s="123" t="str">
        <f ca="1">IFERROR(__xludf.DUMMYFUNCTION("""COMPUTED_VALUE"""),"Augie Rusnak")</f>
        <v>Augie Rusnak</v>
      </c>
    </row>
    <row r="69" spans="1:20" ht="13.8">
      <c r="A69" s="118" t="str">
        <f ca="1">IFERROR(__xludf.DUMMYFUNCTION("""COMPUTED_VALUE"""),"AF")</f>
        <v>AF</v>
      </c>
      <c r="B69" s="119" t="str">
        <f ca="1">IFERROR(__xludf.DUMMYFUNCTION("""COMPUTED_VALUE"""),"Julia Green")</f>
        <v>Julia Green</v>
      </c>
      <c r="C69" s="118">
        <f ca="1">IFERROR(__xludf.DUMMYFUNCTION("""COMPUTED_VALUE"""),15)</f>
        <v>15</v>
      </c>
      <c r="D69" s="118" t="str">
        <f ca="1">IFERROR(__xludf.DUMMYFUNCTION("""COMPUTED_VALUE"""),"G")</f>
        <v>G</v>
      </c>
      <c r="E69" s="118" t="str">
        <f ca="1">IFERROR(__xludf.DUMMYFUNCTION("""COMPUTED_VALUE"""),"S")</f>
        <v>S</v>
      </c>
      <c r="F69" s="118" t="str">
        <f ca="1">IFERROR(__xludf.DUMMYFUNCTION("""COMPUTED_VALUE"""),"S")</f>
        <v>S</v>
      </c>
      <c r="G69" s="118">
        <f ca="1">IFERROR(__xludf.DUMMYFUNCTION("""COMPUTED_VALUE"""),7)</f>
        <v>7</v>
      </c>
      <c r="H69" s="118" t="str">
        <f ca="1">IFERROR(__xludf.DUMMYFUNCTION("""COMPUTED_VALUE"""),"AF")</f>
        <v>AF</v>
      </c>
      <c r="I69" s="118">
        <f ca="1">IFERROR(__xludf.DUMMYFUNCTION("""COMPUTED_VALUE"""),10)</f>
        <v>10</v>
      </c>
      <c r="J69" s="118">
        <f ca="1">IFERROR(__xludf.DUMMYFUNCTION("""COMPUTED_VALUE"""),5)</f>
        <v>5</v>
      </c>
      <c r="K69" s="120">
        <f ca="1">IFERROR(__xludf.DUMMYFUNCTION("""COMPUTED_VALUE"""),157.5)</f>
        <v>157.5</v>
      </c>
      <c r="L69" s="121"/>
      <c r="M69" s="120">
        <f ca="1">IFERROR(__xludf.DUMMYFUNCTION("""COMPUTED_VALUE"""),157.5)</f>
        <v>157.5</v>
      </c>
      <c r="N69" s="121"/>
      <c r="O69" s="120">
        <f ca="1">IFERROR(__xludf.DUMMYFUNCTION("""COMPUTED_VALUE"""),143.35)</f>
        <v>143.35</v>
      </c>
      <c r="P69" s="122"/>
      <c r="Q69" s="123" t="str">
        <f ca="1">IFERROR(__xludf.DUMMYFUNCTION("""COMPUTED_VALUE"""),"Anaya Bose")</f>
        <v>Anaya Bose</v>
      </c>
      <c r="R69" s="123" t="str">
        <f ca="1">IFERROR(__xludf.DUMMYFUNCTION("""COMPUTED_VALUE"""),"Benjamin Weitz")</f>
        <v>Benjamin Weitz</v>
      </c>
      <c r="S69" s="123" t="str">
        <f ca="1">IFERROR(__xludf.DUMMYFUNCTION("""COMPUTED_VALUE"""),"Allie Duffield")</f>
        <v>Allie Duffield</v>
      </c>
      <c r="T69" s="123" t="str">
        <f ca="1">IFERROR(__xludf.DUMMYFUNCTION("""COMPUTED_VALUE"""),"Augusto Sondoval")</f>
        <v>Augusto Sondoval</v>
      </c>
    </row>
    <row r="70" spans="1:20" ht="13.8">
      <c r="A70" s="118" t="str">
        <f ca="1">IFERROR(__xludf.DUMMYFUNCTION("""COMPUTED_VALUE"""),"AF")</f>
        <v>AF</v>
      </c>
      <c r="B70" s="119" t="str">
        <f ca="1">IFERROR(__xludf.DUMMYFUNCTION("""COMPUTED_VALUE"""),"Connor Hogan")</f>
        <v>Connor Hogan</v>
      </c>
      <c r="C70" s="118">
        <f ca="1">IFERROR(__xludf.DUMMYFUNCTION("""COMPUTED_VALUE"""),15)</f>
        <v>15</v>
      </c>
      <c r="D70" s="118" t="str">
        <f ca="1">IFERROR(__xludf.DUMMYFUNCTION("""COMPUTED_VALUE"""),"B")</f>
        <v>B</v>
      </c>
      <c r="E70" s="118" t="str">
        <f ca="1">IFERROR(__xludf.DUMMYFUNCTION("""COMPUTED_VALUE"""),"S")</f>
        <v>S</v>
      </c>
      <c r="F70" s="118" t="str">
        <f ca="1">IFERROR(__xludf.DUMMYFUNCTION("""COMPUTED_VALUE"""),"S")</f>
        <v>S</v>
      </c>
      <c r="G70" s="118">
        <f ca="1">IFERROR(__xludf.DUMMYFUNCTION("""COMPUTED_VALUE"""),7)</f>
        <v>7</v>
      </c>
      <c r="H70" s="118" t="str">
        <f ca="1">IFERROR(__xludf.DUMMYFUNCTION("""COMPUTED_VALUE"""),"AF")</f>
        <v>AF</v>
      </c>
      <c r="I70" s="118">
        <f ca="1">IFERROR(__xludf.DUMMYFUNCTION("""COMPUTED_VALUE"""),11)</f>
        <v>11</v>
      </c>
      <c r="J70" s="118">
        <f ca="1">IFERROR(__xludf.DUMMYFUNCTION("""COMPUTED_VALUE"""),4)</f>
        <v>4</v>
      </c>
      <c r="K70" s="120">
        <f ca="1">IFERROR(__xludf.DUMMYFUNCTION("""COMPUTED_VALUE"""),146.85)</f>
        <v>146.85</v>
      </c>
      <c r="L70" s="121"/>
      <c r="M70" s="120">
        <f ca="1">IFERROR(__xludf.DUMMYFUNCTION("""COMPUTED_VALUE"""),131.7)</f>
        <v>131.69999999999999</v>
      </c>
      <c r="N70" s="121"/>
      <c r="O70" s="120">
        <f ca="1">IFERROR(__xludf.DUMMYFUNCTION("""COMPUTED_VALUE"""),132.45)</f>
        <v>132.44999999999999</v>
      </c>
      <c r="P70" s="122"/>
      <c r="Q70" s="123" t="str">
        <f ca="1">IFERROR(__xludf.DUMMYFUNCTION("""COMPUTED_VALUE"""),"Angelina Katsas")</f>
        <v>Angelina Katsas</v>
      </c>
      <c r="R70" s="123" t="str">
        <f ca="1">IFERROR(__xludf.DUMMYFUNCTION("""COMPUTED_VALUE"""),"Benjamin Werlinger")</f>
        <v>Benjamin Werlinger</v>
      </c>
      <c r="S70" s="123" t="str">
        <f ca="1">IFERROR(__xludf.DUMMYFUNCTION("""COMPUTED_VALUE"""),"Allie Farello")</f>
        <v>Allie Farello</v>
      </c>
      <c r="T70" s="123" t="str">
        <f ca="1">IFERROR(__xludf.DUMMYFUNCTION("""COMPUTED_VALUE"""),"Austin Brooks")</f>
        <v>Austin Brooks</v>
      </c>
    </row>
    <row r="71" spans="1:20" ht="13.8">
      <c r="A71" s="118" t="str">
        <f ca="1">IFERROR(__xludf.DUMMYFUNCTION("""COMPUTED_VALUE"""),"AF")</f>
        <v>AF</v>
      </c>
      <c r="B71" s="119" t="str">
        <f ca="1">IFERROR(__xludf.DUMMYFUNCTION("""COMPUTED_VALUE"""),"David Alves")</f>
        <v>David Alves</v>
      </c>
      <c r="C71" s="118">
        <f ca="1">IFERROR(__xludf.DUMMYFUNCTION("""COMPUTED_VALUE"""),18)</f>
        <v>18</v>
      </c>
      <c r="D71" s="118" t="str">
        <f ca="1">IFERROR(__xludf.DUMMYFUNCTION("""COMPUTED_VALUE"""),"B")</f>
        <v>B</v>
      </c>
      <c r="E71" s="118" t="str">
        <f ca="1">IFERROR(__xludf.DUMMYFUNCTION("""COMPUTED_VALUE"""),"S")</f>
        <v>S</v>
      </c>
      <c r="F71" s="118" t="str">
        <f ca="1">IFERROR(__xludf.DUMMYFUNCTION("""COMPUTED_VALUE"""),"S")</f>
        <v>S</v>
      </c>
      <c r="G71" s="118">
        <f ca="1">IFERROR(__xludf.DUMMYFUNCTION("""COMPUTED_VALUE"""),7)</f>
        <v>7</v>
      </c>
      <c r="H71" s="118" t="str">
        <f ca="1">IFERROR(__xludf.DUMMYFUNCTION("""COMPUTED_VALUE"""),"AF")</f>
        <v>AF</v>
      </c>
      <c r="I71" s="118">
        <f ca="1">IFERROR(__xludf.DUMMYFUNCTION("""COMPUTED_VALUE"""),11)</f>
        <v>11</v>
      </c>
      <c r="J71" s="118">
        <f ca="1">IFERROR(__xludf.DUMMYFUNCTION("""COMPUTED_VALUE"""),1)</f>
        <v>1</v>
      </c>
      <c r="K71" s="120">
        <f ca="1">IFERROR(__xludf.DUMMYFUNCTION("""COMPUTED_VALUE"""),111.6)</f>
        <v>111.6</v>
      </c>
      <c r="L71" s="121"/>
      <c r="M71" s="120">
        <f ca="1">IFERROR(__xludf.DUMMYFUNCTION("""COMPUTED_VALUE"""),111.6)</f>
        <v>111.6</v>
      </c>
      <c r="N71" s="121"/>
      <c r="O71" s="120"/>
      <c r="P71" s="122"/>
      <c r="Q71" s="123" t="str">
        <f ca="1">IFERROR(__xludf.DUMMYFUNCTION("""COMPUTED_VALUE"""),"Anh Trac")</f>
        <v>Anh Trac</v>
      </c>
      <c r="R71" s="123" t="str">
        <f ca="1">IFERROR(__xludf.DUMMYFUNCTION("""COMPUTED_VALUE"""),"Bennett Birkelbach")</f>
        <v>Bennett Birkelbach</v>
      </c>
      <c r="S71" s="123" t="str">
        <f ca="1">IFERROR(__xludf.DUMMYFUNCTION("""COMPUTED_VALUE"""),"Allie Pearson")</f>
        <v>Allie Pearson</v>
      </c>
      <c r="T71" s="123" t="str">
        <f ca="1">IFERROR(__xludf.DUMMYFUNCTION("""COMPUTED_VALUE"""),"Austin Moss")</f>
        <v>Austin Moss</v>
      </c>
    </row>
    <row r="72" spans="1:20" ht="13.8">
      <c r="A72" s="118" t="str">
        <f ca="1">IFERROR(__xludf.DUMMYFUNCTION("""COMPUTED_VALUE"""),"AF")</f>
        <v>AF</v>
      </c>
      <c r="B72" s="119" t="str">
        <f ca="1">IFERROR(__xludf.DUMMYFUNCTION("""COMPUTED_VALUE"""),"Max Cassatt")</f>
        <v>Max Cassatt</v>
      </c>
      <c r="C72" s="118">
        <f ca="1">IFERROR(__xludf.DUMMYFUNCTION("""COMPUTED_VALUE"""),18)</f>
        <v>18</v>
      </c>
      <c r="D72" s="118" t="str">
        <f ca="1">IFERROR(__xludf.DUMMYFUNCTION("""COMPUTED_VALUE"""),"B")</f>
        <v>B</v>
      </c>
      <c r="E72" s="118" t="str">
        <f ca="1">IFERROR(__xludf.DUMMYFUNCTION("""COMPUTED_VALUE"""),"S")</f>
        <v>S</v>
      </c>
      <c r="F72" s="118" t="str">
        <f ca="1">IFERROR(__xludf.DUMMYFUNCTION("""COMPUTED_VALUE"""),"S")</f>
        <v>S</v>
      </c>
      <c r="G72" s="118">
        <f ca="1">IFERROR(__xludf.DUMMYFUNCTION("""COMPUTED_VALUE"""),7)</f>
        <v>7</v>
      </c>
      <c r="H72" s="118" t="str">
        <f ca="1">IFERROR(__xludf.DUMMYFUNCTION("""COMPUTED_VALUE"""),"AF")</f>
        <v>AF</v>
      </c>
      <c r="I72" s="118">
        <f ca="1">IFERROR(__xludf.DUMMYFUNCTION("""COMPUTED_VALUE"""),11)</f>
        <v>11</v>
      </c>
      <c r="J72" s="118">
        <f ca="1">IFERROR(__xludf.DUMMYFUNCTION("""COMPUTED_VALUE"""),3)</f>
        <v>3</v>
      </c>
      <c r="K72" s="120">
        <f ca="1">IFERROR(__xludf.DUMMYFUNCTION("""COMPUTED_VALUE"""),155.3)</f>
        <v>155.30000000000001</v>
      </c>
      <c r="L72" s="121"/>
      <c r="M72" s="120"/>
      <c r="N72" s="121"/>
      <c r="O72" s="120"/>
      <c r="P72" s="122"/>
      <c r="Q72" s="123" t="str">
        <f ca="1">IFERROR(__xludf.DUMMYFUNCTION("""COMPUTED_VALUE"""),"Anika Chaturvedi")</f>
        <v>Anika Chaturvedi</v>
      </c>
      <c r="R72" s="123" t="str">
        <f ca="1">IFERROR(__xludf.DUMMYFUNCTION("""COMPUTED_VALUE"""),"Bennett Gilbert")</f>
        <v>Bennett Gilbert</v>
      </c>
      <c r="S72" s="123" t="str">
        <f ca="1">IFERROR(__xludf.DUMMYFUNCTION("""COMPUTED_VALUE"""),"Allie Reback")</f>
        <v>Allie Reback</v>
      </c>
      <c r="T72" s="123" t="str">
        <f ca="1">IFERROR(__xludf.DUMMYFUNCTION("""COMPUTED_VALUE"""),"Babi Aldonas")</f>
        <v>Babi Aldonas</v>
      </c>
    </row>
    <row r="73" spans="1:20" ht="13.8">
      <c r="A73" s="118" t="str">
        <f ca="1">IFERROR(__xludf.DUMMYFUNCTION("""COMPUTED_VALUE"""),"CB")</f>
        <v>CB</v>
      </c>
      <c r="B73" s="119" t="str">
        <f ca="1">IFERROR(__xludf.DUMMYFUNCTION("""COMPUTED_VALUE"""),"Audrey Magolies")</f>
        <v>Audrey Magolies</v>
      </c>
      <c r="C73" s="118">
        <f ca="1">IFERROR(__xludf.DUMMYFUNCTION("""COMPUTED_VALUE"""),8)</f>
        <v>8</v>
      </c>
      <c r="D73" s="118" t="str">
        <f ca="1">IFERROR(__xludf.DUMMYFUNCTION("""COMPUTED_VALUE"""),"G")</f>
        <v>G</v>
      </c>
      <c r="E73" s="118" t="str">
        <f ca="1">IFERROR(__xludf.DUMMYFUNCTION("""COMPUTED_VALUE"""),"F")</f>
        <v>F</v>
      </c>
      <c r="F73" s="118" t="str">
        <f ca="1">IFERROR(__xludf.DUMMYFUNCTION("""COMPUTED_VALUE"""),"J")</f>
        <v>J</v>
      </c>
      <c r="G73" s="118">
        <f ca="1">IFERROR(__xludf.DUMMYFUNCTION("""COMPUTED_VALUE"""),4)</f>
        <v>4</v>
      </c>
      <c r="H73" s="118" t="str">
        <f ca="1">IFERROR(__xludf.DUMMYFUNCTION("""COMPUTED_VALUE"""),"CB")</f>
        <v>CB</v>
      </c>
      <c r="I73" s="118">
        <f ca="1">IFERROR(__xludf.DUMMYFUNCTION("""COMPUTED_VALUE"""),4)</f>
        <v>4</v>
      </c>
      <c r="J73" s="118">
        <f ca="1">IFERROR(__xludf.DUMMYFUNCTION("""COMPUTED_VALUE"""),0)</f>
        <v>0</v>
      </c>
      <c r="K73" s="120"/>
      <c r="L73" s="121"/>
      <c r="M73" s="120"/>
      <c r="N73" s="121"/>
      <c r="O73" s="120"/>
      <c r="P73" s="122"/>
      <c r="Q73" s="123" t="str">
        <f ca="1">IFERROR(__xludf.DUMMYFUNCTION("""COMPUTED_VALUE"""),"Anika Sander")</f>
        <v>Anika Sander</v>
      </c>
      <c r="R73" s="123" t="str">
        <f ca="1">IFERROR(__xludf.DUMMYFUNCTION("""COMPUTED_VALUE"""),"Benny DeLong")</f>
        <v>Benny DeLong</v>
      </c>
      <c r="S73" s="123" t="str">
        <f ca="1">IFERROR(__xludf.DUMMYFUNCTION("""COMPUTED_VALUE"""),"Ally Argenta")</f>
        <v>Ally Argenta</v>
      </c>
      <c r="T73" s="123" t="str">
        <f ca="1">IFERROR(__xludf.DUMMYFUNCTION("""COMPUTED_VALUE"""),"Baiden Vu")</f>
        <v>Baiden Vu</v>
      </c>
    </row>
    <row r="74" spans="1:20" ht="13.8">
      <c r="A74" s="118" t="str">
        <f ca="1">IFERROR(__xludf.DUMMYFUNCTION("""COMPUTED_VALUE"""),"CB")</f>
        <v>CB</v>
      </c>
      <c r="B74" s="119" t="str">
        <f ca="1">IFERROR(__xludf.DUMMYFUNCTION("""COMPUTED_VALUE"""),"Bri Whitney")</f>
        <v>Bri Whitney</v>
      </c>
      <c r="C74" s="118">
        <f ca="1">IFERROR(__xludf.DUMMYFUNCTION("""COMPUTED_VALUE"""),10)</f>
        <v>10</v>
      </c>
      <c r="D74" s="118" t="str">
        <f ca="1">IFERROR(__xludf.DUMMYFUNCTION("""COMPUTED_VALUE"""),"G")</f>
        <v>G</v>
      </c>
      <c r="E74" s="118" t="str">
        <f ca="1">IFERROR(__xludf.DUMMYFUNCTION("""COMPUTED_VALUE"""),"F")</f>
        <v>F</v>
      </c>
      <c r="F74" s="118" t="str">
        <f ca="1">IFERROR(__xludf.DUMMYFUNCTION("""COMPUTED_VALUE"""),"J")</f>
        <v>J</v>
      </c>
      <c r="G74" s="118">
        <f ca="1">IFERROR(__xludf.DUMMYFUNCTION("""COMPUTED_VALUE"""),4)</f>
        <v>4</v>
      </c>
      <c r="H74" s="118" t="str">
        <f ca="1">IFERROR(__xludf.DUMMYFUNCTION("""COMPUTED_VALUE"""),"CB")</f>
        <v>CB</v>
      </c>
      <c r="I74" s="118">
        <f ca="1">IFERROR(__xludf.DUMMYFUNCTION("""COMPUTED_VALUE"""),4)</f>
        <v>4</v>
      </c>
      <c r="J74" s="118">
        <f ca="1">IFERROR(__xludf.DUMMYFUNCTION("""COMPUTED_VALUE"""),0)</f>
        <v>0</v>
      </c>
      <c r="K74" s="120"/>
      <c r="L74" s="121"/>
      <c r="M74" s="120"/>
      <c r="N74" s="121"/>
      <c r="O74" s="120"/>
      <c r="P74" s="122"/>
      <c r="Q74" s="123" t="str">
        <f ca="1">IFERROR(__xludf.DUMMYFUNCTION("""COMPUTED_VALUE"""),"Anna Barry")</f>
        <v>Anna Barry</v>
      </c>
      <c r="R74" s="123" t="str">
        <f ca="1">IFERROR(__xludf.DUMMYFUNCTION("""COMPUTED_VALUE"""),"Benton Bower")</f>
        <v>Benton Bower</v>
      </c>
      <c r="S74" s="123" t="str">
        <f ca="1">IFERROR(__xludf.DUMMYFUNCTION("""COMPUTED_VALUE"""),"Ally Han")</f>
        <v>Ally Han</v>
      </c>
      <c r="T74" s="123" t="str">
        <f ca="1">IFERROR(__xludf.DUMMYFUNCTION("""COMPUTED_VALUE"""),"Banks Buergler")</f>
        <v>Banks Buergler</v>
      </c>
    </row>
    <row r="75" spans="1:20" ht="13.8">
      <c r="A75" s="118" t="str">
        <f ca="1">IFERROR(__xludf.DUMMYFUNCTION("""COMPUTED_VALUE"""),"CB")</f>
        <v>CB</v>
      </c>
      <c r="B75" s="119" t="str">
        <f ca="1">IFERROR(__xludf.DUMMYFUNCTION("""COMPUTED_VALUE"""),"Claire Scarlett")</f>
        <v>Claire Scarlett</v>
      </c>
      <c r="C75" s="118">
        <f ca="1">IFERROR(__xludf.DUMMYFUNCTION("""COMPUTED_VALUE"""),6)</f>
        <v>6</v>
      </c>
      <c r="D75" s="118" t="str">
        <f ca="1">IFERROR(__xludf.DUMMYFUNCTION("""COMPUTED_VALUE"""),"G")</f>
        <v>G</v>
      </c>
      <c r="E75" s="118" t="str">
        <f ca="1">IFERROR(__xludf.DUMMYFUNCTION("""COMPUTED_VALUE"""),"F")</f>
        <v>F</v>
      </c>
      <c r="F75" s="118" t="str">
        <f ca="1">IFERROR(__xludf.DUMMYFUNCTION("""COMPUTED_VALUE"""),"J")</f>
        <v>J</v>
      </c>
      <c r="G75" s="118">
        <f ca="1">IFERROR(__xludf.DUMMYFUNCTION("""COMPUTED_VALUE"""),4)</f>
        <v>4</v>
      </c>
      <c r="H75" s="118" t="str">
        <f ca="1">IFERROR(__xludf.DUMMYFUNCTION("""COMPUTED_VALUE"""),"CB")</f>
        <v>CB</v>
      </c>
      <c r="I75" s="118">
        <f ca="1">IFERROR(__xludf.DUMMYFUNCTION("""COMPUTED_VALUE"""),4)</f>
        <v>4</v>
      </c>
      <c r="J75" s="118">
        <f ca="1">IFERROR(__xludf.DUMMYFUNCTION("""COMPUTED_VALUE"""),2)</f>
        <v>2</v>
      </c>
      <c r="K75" s="120">
        <f ca="1">IFERROR(__xludf.DUMMYFUNCTION("""COMPUTED_VALUE"""),36)</f>
        <v>36</v>
      </c>
      <c r="L75" s="121"/>
      <c r="M75" s="120">
        <f ca="1">IFERROR(__xludf.DUMMYFUNCTION("""COMPUTED_VALUE"""),20.85)</f>
        <v>20.85</v>
      </c>
      <c r="N75" s="121"/>
      <c r="O75" s="120"/>
      <c r="P75" s="122"/>
      <c r="Q75" s="123" t="str">
        <f ca="1">IFERROR(__xludf.DUMMYFUNCTION("""COMPUTED_VALUE"""),"Anna Dreyer")</f>
        <v>Anna Dreyer</v>
      </c>
      <c r="R75" s="123" t="str">
        <f ca="1">IFERROR(__xludf.DUMMYFUNCTION("""COMPUTED_VALUE"""),"Blaise Bailey")</f>
        <v>Blaise Bailey</v>
      </c>
      <c r="S75" s="123" t="str">
        <f ca="1">IFERROR(__xludf.DUMMYFUNCTION("""COMPUTED_VALUE"""),"Alma Cappitelli")</f>
        <v>Alma Cappitelli</v>
      </c>
      <c r="T75" s="123" t="str">
        <f ca="1">IFERROR(__xludf.DUMMYFUNCTION("""COMPUTED_VALUE"""),"Batyr Turatbekov")</f>
        <v>Batyr Turatbekov</v>
      </c>
    </row>
    <row r="76" spans="1:20" ht="13.8">
      <c r="A76" s="118" t="str">
        <f ca="1">IFERROR(__xludf.DUMMYFUNCTION("""COMPUTED_VALUE"""),"CB")</f>
        <v>CB</v>
      </c>
      <c r="B76" s="119" t="str">
        <f ca="1">IFERROR(__xludf.DUMMYFUNCTION("""COMPUTED_VALUE"""),"Grace Luk")</f>
        <v>Grace Luk</v>
      </c>
      <c r="C76" s="118">
        <f ca="1">IFERROR(__xludf.DUMMYFUNCTION("""COMPUTED_VALUE"""),10)</f>
        <v>10</v>
      </c>
      <c r="D76" s="118" t="str">
        <f ca="1">IFERROR(__xludf.DUMMYFUNCTION("""COMPUTED_VALUE"""),"G")</f>
        <v>G</v>
      </c>
      <c r="E76" s="118" t="str">
        <f ca="1">IFERROR(__xludf.DUMMYFUNCTION("""COMPUTED_VALUE"""),"F")</f>
        <v>F</v>
      </c>
      <c r="F76" s="118" t="str">
        <f ca="1">IFERROR(__xludf.DUMMYFUNCTION("""COMPUTED_VALUE"""),"J")</f>
        <v>J</v>
      </c>
      <c r="G76" s="118">
        <f ca="1">IFERROR(__xludf.DUMMYFUNCTION("""COMPUTED_VALUE"""),4)</f>
        <v>4</v>
      </c>
      <c r="H76" s="118" t="str">
        <f ca="1">IFERROR(__xludf.DUMMYFUNCTION("""COMPUTED_VALUE"""),"CB")</f>
        <v>CB</v>
      </c>
      <c r="I76" s="118">
        <f ca="1">IFERROR(__xludf.DUMMYFUNCTION("""COMPUTED_VALUE"""),4)</f>
        <v>4</v>
      </c>
      <c r="J76" s="118">
        <f ca="1">IFERROR(__xludf.DUMMYFUNCTION("""COMPUTED_VALUE"""),0)</f>
        <v>0</v>
      </c>
      <c r="K76" s="120"/>
      <c r="L76" s="121"/>
      <c r="M76" s="120"/>
      <c r="N76" s="121"/>
      <c r="O76" s="120"/>
      <c r="P76" s="122"/>
      <c r="Q76" s="123" t="str">
        <f ca="1">IFERROR(__xludf.DUMMYFUNCTION("""COMPUTED_VALUE"""),"Anna Goodell")</f>
        <v>Anna Goodell</v>
      </c>
      <c r="R76" s="123" t="str">
        <f ca="1">IFERROR(__xludf.DUMMYFUNCTION("""COMPUTED_VALUE"""),"Blaise Hawley")</f>
        <v>Blaise Hawley</v>
      </c>
      <c r="S76" s="123" t="str">
        <f ca="1">IFERROR(__xludf.DUMMYFUNCTION("""COMPUTED_VALUE"""),"Alyssa Proulx")</f>
        <v>Alyssa Proulx</v>
      </c>
      <c r="T76" s="123" t="str">
        <f ca="1">IFERROR(__xludf.DUMMYFUNCTION("""COMPUTED_VALUE"""),"Baxter Shimooka")</f>
        <v>Baxter Shimooka</v>
      </c>
    </row>
    <row r="77" spans="1:20" ht="13.8">
      <c r="A77" s="118" t="str">
        <f ca="1">IFERROR(__xludf.DUMMYFUNCTION("""COMPUTED_VALUE"""),"CB")</f>
        <v>CB</v>
      </c>
      <c r="B77" s="119" t="str">
        <f ca="1">IFERROR(__xludf.DUMMYFUNCTION("""COMPUTED_VALUE"""),"Harper Easley")</f>
        <v>Harper Easley</v>
      </c>
      <c r="C77" s="118">
        <f ca="1">IFERROR(__xludf.DUMMYFUNCTION("""COMPUTED_VALUE"""),10)</f>
        <v>10</v>
      </c>
      <c r="D77" s="118" t="str">
        <f ca="1">IFERROR(__xludf.DUMMYFUNCTION("""COMPUTED_VALUE"""),"G")</f>
        <v>G</v>
      </c>
      <c r="E77" s="118" t="str">
        <f ca="1">IFERROR(__xludf.DUMMYFUNCTION("""COMPUTED_VALUE"""),"F")</f>
        <v>F</v>
      </c>
      <c r="F77" s="118" t="str">
        <f ca="1">IFERROR(__xludf.DUMMYFUNCTION("""COMPUTED_VALUE"""),"J")</f>
        <v>J</v>
      </c>
      <c r="G77" s="118">
        <f ca="1">IFERROR(__xludf.DUMMYFUNCTION("""COMPUTED_VALUE"""),4)</f>
        <v>4</v>
      </c>
      <c r="H77" s="118" t="str">
        <f ca="1">IFERROR(__xludf.DUMMYFUNCTION("""COMPUTED_VALUE"""),"CB")</f>
        <v>CB</v>
      </c>
      <c r="I77" s="118">
        <f ca="1">IFERROR(__xludf.DUMMYFUNCTION("""COMPUTED_VALUE"""),4)</f>
        <v>4</v>
      </c>
      <c r="J77" s="118">
        <f ca="1">IFERROR(__xludf.DUMMYFUNCTION("""COMPUTED_VALUE"""),1)</f>
        <v>1</v>
      </c>
      <c r="K77" s="120">
        <f ca="1">IFERROR(__xludf.DUMMYFUNCTION("""COMPUTED_VALUE"""),51.2)</f>
        <v>51.2</v>
      </c>
      <c r="L77" s="121"/>
      <c r="M77" s="120">
        <f ca="1">IFERROR(__xludf.DUMMYFUNCTION("""COMPUTED_VALUE"""),51.2)</f>
        <v>51.2</v>
      </c>
      <c r="N77" s="121"/>
      <c r="O77" s="120"/>
      <c r="P77" s="122"/>
      <c r="Q77" s="123" t="str">
        <f ca="1">IFERROR(__xludf.DUMMYFUNCTION("""COMPUTED_VALUE"""),"Anna Hunt")</f>
        <v>Anna Hunt</v>
      </c>
      <c r="R77" s="123" t="str">
        <f ca="1">IFERROR(__xludf.DUMMYFUNCTION("""COMPUTED_VALUE"""),"Bobby Ferssizidis")</f>
        <v>Bobby Ferssizidis</v>
      </c>
      <c r="S77" s="123" t="str">
        <f ca="1">IFERROR(__xludf.DUMMYFUNCTION("""COMPUTED_VALUE"""),"Amelia Buczek")</f>
        <v>Amelia Buczek</v>
      </c>
      <c r="T77" s="123" t="str">
        <f ca="1">IFERROR(__xludf.DUMMYFUNCTION("""COMPUTED_VALUE"""),"Bear Jackson")</f>
        <v>Bear Jackson</v>
      </c>
    </row>
    <row r="78" spans="1:20" ht="13.8">
      <c r="A78" s="118" t="str">
        <f ca="1">IFERROR(__xludf.DUMMYFUNCTION("""COMPUTED_VALUE"""),"CB")</f>
        <v>CB</v>
      </c>
      <c r="B78" s="119" t="str">
        <f ca="1">IFERROR(__xludf.DUMMYFUNCTION("""COMPUTED_VALUE"""),"Katherine Lazarus")</f>
        <v>Katherine Lazarus</v>
      </c>
      <c r="C78" s="118">
        <f ca="1">IFERROR(__xludf.DUMMYFUNCTION("""COMPUTED_VALUE"""),9)</f>
        <v>9</v>
      </c>
      <c r="D78" s="118" t="str">
        <f ca="1">IFERROR(__xludf.DUMMYFUNCTION("""COMPUTED_VALUE"""),"G")</f>
        <v>G</v>
      </c>
      <c r="E78" s="118" t="str">
        <f ca="1">IFERROR(__xludf.DUMMYFUNCTION("""COMPUTED_VALUE"""),"F")</f>
        <v>F</v>
      </c>
      <c r="F78" s="118" t="str">
        <f ca="1">IFERROR(__xludf.DUMMYFUNCTION("""COMPUTED_VALUE"""),"J")</f>
        <v>J</v>
      </c>
      <c r="G78" s="118">
        <f ca="1">IFERROR(__xludf.DUMMYFUNCTION("""COMPUTED_VALUE"""),4)</f>
        <v>4</v>
      </c>
      <c r="H78" s="118" t="str">
        <f ca="1">IFERROR(__xludf.DUMMYFUNCTION("""COMPUTED_VALUE"""),"CB")</f>
        <v>CB</v>
      </c>
      <c r="I78" s="118">
        <f ca="1">IFERROR(__xludf.DUMMYFUNCTION("""COMPUTED_VALUE"""),4)</f>
        <v>4</v>
      </c>
      <c r="J78" s="118">
        <f ca="1">IFERROR(__xludf.DUMMYFUNCTION("""COMPUTED_VALUE"""),3)</f>
        <v>3</v>
      </c>
      <c r="K78" s="120">
        <f ca="1">IFERROR(__xludf.DUMMYFUNCTION("""COMPUTED_VALUE"""),55.85)</f>
        <v>55.85</v>
      </c>
      <c r="L78" s="121"/>
      <c r="M78" s="120">
        <f ca="1">IFERROR(__xludf.DUMMYFUNCTION("""COMPUTED_VALUE"""),55.85)</f>
        <v>55.85</v>
      </c>
      <c r="N78" s="121"/>
      <c r="O78" s="120"/>
      <c r="P78" s="122"/>
      <c r="Q78" s="123" t="str">
        <f ca="1">IFERROR(__xludf.DUMMYFUNCTION("""COMPUTED_VALUE"""),"Anna Kosowski")</f>
        <v>Anna Kosowski</v>
      </c>
      <c r="R78" s="123" t="str">
        <f ca="1">IFERROR(__xludf.DUMMYFUNCTION("""COMPUTED_VALUE"""),"Bode Lamkin")</f>
        <v>Bode Lamkin</v>
      </c>
      <c r="S78" s="123" t="str">
        <f ca="1">IFERROR(__xludf.DUMMYFUNCTION("""COMPUTED_VALUE"""),"Amelia Gentry")</f>
        <v>Amelia Gentry</v>
      </c>
      <c r="T78" s="123" t="str">
        <f ca="1">IFERROR(__xludf.DUMMYFUNCTION("""COMPUTED_VALUE"""),"Beau Lochmann")</f>
        <v>Beau Lochmann</v>
      </c>
    </row>
    <row r="79" spans="1:20" ht="13.8">
      <c r="A79" s="118" t="str">
        <f ca="1">IFERROR(__xludf.DUMMYFUNCTION("""COMPUTED_VALUE"""),"CB")</f>
        <v>CB</v>
      </c>
      <c r="B79" s="119" t="str">
        <f ca="1">IFERROR(__xludf.DUMMYFUNCTION("""COMPUTED_VALUE"""),"Makenzie Case")</f>
        <v>Makenzie Case</v>
      </c>
      <c r="C79" s="118">
        <f ca="1">IFERROR(__xludf.DUMMYFUNCTION("""COMPUTED_VALUE"""),8)</f>
        <v>8</v>
      </c>
      <c r="D79" s="118" t="str">
        <f ca="1">IFERROR(__xludf.DUMMYFUNCTION("""COMPUTED_VALUE"""),"G")</f>
        <v>G</v>
      </c>
      <c r="E79" s="118" t="str">
        <f ca="1">IFERROR(__xludf.DUMMYFUNCTION("""COMPUTED_VALUE"""),"F")</f>
        <v>F</v>
      </c>
      <c r="F79" s="118" t="str">
        <f ca="1">IFERROR(__xludf.DUMMYFUNCTION("""COMPUTED_VALUE"""),"J")</f>
        <v>J</v>
      </c>
      <c r="G79" s="118">
        <f ca="1">IFERROR(__xludf.DUMMYFUNCTION("""COMPUTED_VALUE"""),4)</f>
        <v>4</v>
      </c>
      <c r="H79" s="118" t="str">
        <f ca="1">IFERROR(__xludf.DUMMYFUNCTION("""COMPUTED_VALUE"""),"CB")</f>
        <v>CB</v>
      </c>
      <c r="I79" s="118">
        <f ca="1">IFERROR(__xludf.DUMMYFUNCTION("""COMPUTED_VALUE"""),4)</f>
        <v>4</v>
      </c>
      <c r="J79" s="118">
        <f ca="1">IFERROR(__xludf.DUMMYFUNCTION("""COMPUTED_VALUE"""),5)</f>
        <v>5</v>
      </c>
      <c r="K79" s="120">
        <f ca="1">IFERROR(__xludf.DUMMYFUNCTION("""COMPUTED_VALUE"""),50.95)</f>
        <v>50.95</v>
      </c>
      <c r="L79" s="121"/>
      <c r="M79" s="120">
        <f ca="1">IFERROR(__xludf.DUMMYFUNCTION("""COMPUTED_VALUE"""),50.95)</f>
        <v>50.95</v>
      </c>
      <c r="N79" s="121"/>
      <c r="O79" s="120">
        <f ca="1">IFERROR(__xludf.DUMMYFUNCTION("""COMPUTED_VALUE"""),49.45)</f>
        <v>49.45</v>
      </c>
      <c r="P79" s="122"/>
      <c r="Q79" s="123" t="str">
        <f ca="1">IFERROR(__xludf.DUMMYFUNCTION("""COMPUTED_VALUE"""),"Anna Shrieves")</f>
        <v>Anna Shrieves</v>
      </c>
      <c r="R79" s="123" t="str">
        <f ca="1">IFERROR(__xludf.DUMMYFUNCTION("""COMPUTED_VALUE"""),"Bode Pierce")</f>
        <v>Bode Pierce</v>
      </c>
      <c r="S79" s="123" t="str">
        <f ca="1">IFERROR(__xludf.DUMMYFUNCTION("""COMPUTED_VALUE"""),"Amelia Koch")</f>
        <v>Amelia Koch</v>
      </c>
      <c r="T79" s="123" t="str">
        <f ca="1">IFERROR(__xludf.DUMMYFUNCTION("""COMPUTED_VALUE"""),"Beau Rosser")</f>
        <v>Beau Rosser</v>
      </c>
    </row>
    <row r="80" spans="1:20" ht="13.8">
      <c r="A80" s="118" t="str">
        <f ca="1">IFERROR(__xludf.DUMMYFUNCTION("""COMPUTED_VALUE"""),"CB")</f>
        <v>CB</v>
      </c>
      <c r="B80" s="119" t="str">
        <f ca="1">IFERROR(__xludf.DUMMYFUNCTION("""COMPUTED_VALUE"""),"Melody MacGarvey")</f>
        <v>Melody MacGarvey</v>
      </c>
      <c r="C80" s="118">
        <f ca="1">IFERROR(__xludf.DUMMYFUNCTION("""COMPUTED_VALUE"""),7)</f>
        <v>7</v>
      </c>
      <c r="D80" s="118" t="str">
        <f ca="1">IFERROR(__xludf.DUMMYFUNCTION("""COMPUTED_VALUE"""),"G")</f>
        <v>G</v>
      </c>
      <c r="E80" s="118" t="str">
        <f ca="1">IFERROR(__xludf.DUMMYFUNCTION("""COMPUTED_VALUE"""),"F")</f>
        <v>F</v>
      </c>
      <c r="F80" s="118" t="str">
        <f ca="1">IFERROR(__xludf.DUMMYFUNCTION("""COMPUTED_VALUE"""),"J")</f>
        <v>J</v>
      </c>
      <c r="G80" s="118">
        <f ca="1">IFERROR(__xludf.DUMMYFUNCTION("""COMPUTED_VALUE"""),4)</f>
        <v>4</v>
      </c>
      <c r="H80" s="118" t="str">
        <f ca="1">IFERROR(__xludf.DUMMYFUNCTION("""COMPUTED_VALUE"""),"CB")</f>
        <v>CB</v>
      </c>
      <c r="I80" s="118">
        <f ca="1">IFERROR(__xludf.DUMMYFUNCTION("""COMPUTED_VALUE"""),4)</f>
        <v>4</v>
      </c>
      <c r="J80" s="118">
        <f ca="1">IFERROR(__xludf.DUMMYFUNCTION("""COMPUTED_VALUE"""),0)</f>
        <v>0</v>
      </c>
      <c r="K80" s="120"/>
      <c r="L80" s="121"/>
      <c r="M80" s="120"/>
      <c r="N80" s="121"/>
      <c r="O80" s="120"/>
      <c r="P80" s="122"/>
      <c r="Q80" s="123" t="str">
        <f ca="1">IFERROR(__xludf.DUMMYFUNCTION("""COMPUTED_VALUE"""),"Anna Silver")</f>
        <v>Anna Silver</v>
      </c>
      <c r="R80" s="123" t="str">
        <f ca="1">IFERROR(__xludf.DUMMYFUNCTION("""COMPUTED_VALUE"""),"Bodhi Bailey")</f>
        <v>Bodhi Bailey</v>
      </c>
      <c r="S80" s="123" t="str">
        <f ca="1">IFERROR(__xludf.DUMMYFUNCTION("""COMPUTED_VALUE"""),"Amelia Rigoli")</f>
        <v>Amelia Rigoli</v>
      </c>
      <c r="T80" s="123" t="str">
        <f ca="1">IFERROR(__xludf.DUMMYFUNCTION("""COMPUTED_VALUE"""),"Beck Nazarshoyev")</f>
        <v>Beck Nazarshoyev</v>
      </c>
    </row>
    <row r="81" spans="1:20" ht="13.8">
      <c r="A81" s="118" t="str">
        <f ca="1">IFERROR(__xludf.DUMMYFUNCTION("""COMPUTED_VALUE"""),"CB")</f>
        <v>CB</v>
      </c>
      <c r="B81" s="119" t="str">
        <f ca="1">IFERROR(__xludf.DUMMYFUNCTION("""COMPUTED_VALUE"""),"Parker Georgas")</f>
        <v>Parker Georgas</v>
      </c>
      <c r="C81" s="118">
        <f ca="1">IFERROR(__xludf.DUMMYFUNCTION("""COMPUTED_VALUE"""),7)</f>
        <v>7</v>
      </c>
      <c r="D81" s="118" t="str">
        <f ca="1">IFERROR(__xludf.DUMMYFUNCTION("""COMPUTED_VALUE"""),"G")</f>
        <v>G</v>
      </c>
      <c r="E81" s="118" t="str">
        <f ca="1">IFERROR(__xludf.DUMMYFUNCTION("""COMPUTED_VALUE"""),"F")</f>
        <v>F</v>
      </c>
      <c r="F81" s="118" t="str">
        <f ca="1">IFERROR(__xludf.DUMMYFUNCTION("""COMPUTED_VALUE"""),"J")</f>
        <v>J</v>
      </c>
      <c r="G81" s="118">
        <f ca="1">IFERROR(__xludf.DUMMYFUNCTION("""COMPUTED_VALUE"""),4)</f>
        <v>4</v>
      </c>
      <c r="H81" s="118" t="str">
        <f ca="1">IFERROR(__xludf.DUMMYFUNCTION("""COMPUTED_VALUE"""),"CB")</f>
        <v>CB</v>
      </c>
      <c r="I81" s="118">
        <f ca="1">IFERROR(__xludf.DUMMYFUNCTION("""COMPUTED_VALUE"""),4)</f>
        <v>4</v>
      </c>
      <c r="J81" s="118">
        <f ca="1">IFERROR(__xludf.DUMMYFUNCTION("""COMPUTED_VALUE"""),0)</f>
        <v>0</v>
      </c>
      <c r="K81" s="120"/>
      <c r="L81" s="121"/>
      <c r="M81" s="120"/>
      <c r="N81" s="121"/>
      <c r="O81" s="120"/>
      <c r="P81" s="122"/>
      <c r="Q81" s="123" t="str">
        <f ca="1">IFERROR(__xludf.DUMMYFUNCTION("""COMPUTED_VALUE"""),"Anna Walsh")</f>
        <v>Anna Walsh</v>
      </c>
      <c r="R81" s="123" t="str">
        <f ca="1">IFERROR(__xludf.DUMMYFUNCTION("""COMPUTED_VALUE"""),"Booth Mitchell")</f>
        <v>Booth Mitchell</v>
      </c>
      <c r="S81" s="123" t="str">
        <f ca="1">IFERROR(__xludf.DUMMYFUNCTION("""COMPUTED_VALUE"""),"Amelia Wisniewski")</f>
        <v>Amelia Wisniewski</v>
      </c>
      <c r="T81" s="123" t="str">
        <f ca="1">IFERROR(__xludf.DUMMYFUNCTION("""COMPUTED_VALUE"""),"Ben Baker")</f>
        <v>Ben Baker</v>
      </c>
    </row>
    <row r="82" spans="1:20" ht="13.8">
      <c r="A82" s="118" t="str">
        <f ca="1">IFERROR(__xludf.DUMMYFUNCTION("""COMPUTED_VALUE"""),"CB")</f>
        <v>CB</v>
      </c>
      <c r="B82" s="119" t="str">
        <f ca="1">IFERROR(__xludf.DUMMYFUNCTION("""COMPUTED_VALUE"""),"Ryan King")</f>
        <v>Ryan King</v>
      </c>
      <c r="C82" s="118">
        <f ca="1">IFERROR(__xludf.DUMMYFUNCTION("""COMPUTED_VALUE"""),6)</f>
        <v>6</v>
      </c>
      <c r="D82" s="118" t="str">
        <f ca="1">IFERROR(__xludf.DUMMYFUNCTION("""COMPUTED_VALUE"""),"G")</f>
        <v>G</v>
      </c>
      <c r="E82" s="118" t="str">
        <f ca="1">IFERROR(__xludf.DUMMYFUNCTION("""COMPUTED_VALUE"""),"F")</f>
        <v>F</v>
      </c>
      <c r="F82" s="118" t="str">
        <f ca="1">IFERROR(__xludf.DUMMYFUNCTION("""COMPUTED_VALUE"""),"J")</f>
        <v>J</v>
      </c>
      <c r="G82" s="118">
        <f ca="1">IFERROR(__xludf.DUMMYFUNCTION("""COMPUTED_VALUE"""),4)</f>
        <v>4</v>
      </c>
      <c r="H82" s="118" t="str">
        <f ca="1">IFERROR(__xludf.DUMMYFUNCTION("""COMPUTED_VALUE"""),"CB")</f>
        <v>CB</v>
      </c>
      <c r="I82" s="118">
        <f ca="1">IFERROR(__xludf.DUMMYFUNCTION("""COMPUTED_VALUE"""),4)</f>
        <v>4</v>
      </c>
      <c r="J82" s="118">
        <f ca="1">IFERROR(__xludf.DUMMYFUNCTION("""COMPUTED_VALUE"""),0)</f>
        <v>0</v>
      </c>
      <c r="K82" s="120"/>
      <c r="L82" s="121"/>
      <c r="M82" s="120"/>
      <c r="N82" s="121"/>
      <c r="O82" s="120"/>
      <c r="P82" s="122"/>
      <c r="Q82" s="123" t="str">
        <f ca="1">IFERROR(__xludf.DUMMYFUNCTION("""COMPUTED_VALUE"""),"Anna Zrembski")</f>
        <v>Anna Zrembski</v>
      </c>
      <c r="R82" s="123" t="str">
        <f ca="1">IFERROR(__xludf.DUMMYFUNCTION("""COMPUTED_VALUE"""),"Braden Healey")</f>
        <v>Braden Healey</v>
      </c>
      <c r="S82" s="123" t="str">
        <f ca="1">IFERROR(__xludf.DUMMYFUNCTION("""COMPUTED_VALUE"""),"Amy Nam")</f>
        <v>Amy Nam</v>
      </c>
      <c r="T82" s="123" t="str">
        <f ca="1">IFERROR(__xludf.DUMMYFUNCTION("""COMPUTED_VALUE"""),"Ben Blaeuer")</f>
        <v>Ben Blaeuer</v>
      </c>
    </row>
    <row r="83" spans="1:20" ht="13.8">
      <c r="A83" s="118" t="str">
        <f ca="1">IFERROR(__xludf.DUMMYFUNCTION("""COMPUTED_VALUE"""),"CB")</f>
        <v>CB</v>
      </c>
      <c r="B83" s="119" t="str">
        <f ca="1">IFERROR(__xludf.DUMMYFUNCTION("""COMPUTED_VALUE"""),"Sofia Grantz")</f>
        <v>Sofia Grantz</v>
      </c>
      <c r="C83" s="118">
        <f ca="1">IFERROR(__xludf.DUMMYFUNCTION("""COMPUTED_VALUE"""),8)</f>
        <v>8</v>
      </c>
      <c r="D83" s="118" t="str">
        <f ca="1">IFERROR(__xludf.DUMMYFUNCTION("""COMPUTED_VALUE"""),"G")</f>
        <v>G</v>
      </c>
      <c r="E83" s="118" t="str">
        <f ca="1">IFERROR(__xludf.DUMMYFUNCTION("""COMPUTED_VALUE"""),"F")</f>
        <v>F</v>
      </c>
      <c r="F83" s="118" t="str">
        <f ca="1">IFERROR(__xludf.DUMMYFUNCTION("""COMPUTED_VALUE"""),"J")</f>
        <v>J</v>
      </c>
      <c r="G83" s="118">
        <f ca="1">IFERROR(__xludf.DUMMYFUNCTION("""COMPUTED_VALUE"""),4)</f>
        <v>4</v>
      </c>
      <c r="H83" s="118" t="str">
        <f ca="1">IFERROR(__xludf.DUMMYFUNCTION("""COMPUTED_VALUE"""),"CB")</f>
        <v>CB</v>
      </c>
      <c r="I83" s="118">
        <f ca="1">IFERROR(__xludf.DUMMYFUNCTION("""COMPUTED_VALUE"""),4)</f>
        <v>4</v>
      </c>
      <c r="J83" s="118">
        <f ca="1">IFERROR(__xludf.DUMMYFUNCTION("""COMPUTED_VALUE"""),4)</f>
        <v>4</v>
      </c>
      <c r="K83" s="120">
        <f ca="1">IFERROR(__xludf.DUMMYFUNCTION("""COMPUTED_VALUE"""),34.55)</f>
        <v>34.549999999999997</v>
      </c>
      <c r="L83" s="121"/>
      <c r="M83" s="120">
        <f ca="1">IFERROR(__xludf.DUMMYFUNCTION("""COMPUTED_VALUE"""),28.35)</f>
        <v>28.35</v>
      </c>
      <c r="N83" s="121"/>
      <c r="O83" s="120">
        <f ca="1">IFERROR(__xludf.DUMMYFUNCTION("""COMPUTED_VALUE"""),32.4)</f>
        <v>32.4</v>
      </c>
      <c r="P83" s="122"/>
      <c r="Q83" s="123" t="str">
        <f ca="1">IFERROR(__xludf.DUMMYFUNCTION("""COMPUTED_VALUE"""),"Annabel Manegold")</f>
        <v>Annabel Manegold</v>
      </c>
      <c r="R83" s="123" t="str">
        <f ca="1">IFERROR(__xludf.DUMMYFUNCTION("""COMPUTED_VALUE"""),"Bradley Barry")</f>
        <v>Bradley Barry</v>
      </c>
      <c r="S83" s="123" t="str">
        <f ca="1">IFERROR(__xludf.DUMMYFUNCTION("""COMPUTED_VALUE"""),"Ana Negrelli")</f>
        <v>Ana Negrelli</v>
      </c>
      <c r="T83" s="123" t="str">
        <f ca="1">IFERROR(__xludf.DUMMYFUNCTION("""COMPUTED_VALUE"""),"Ben Fletcher")</f>
        <v>Ben Fletcher</v>
      </c>
    </row>
    <row r="84" spans="1:20" ht="13.8">
      <c r="A84" s="118" t="str">
        <f ca="1">IFERROR(__xludf.DUMMYFUNCTION("""COMPUTED_VALUE"""),"CB")</f>
        <v>CB</v>
      </c>
      <c r="B84" s="119" t="str">
        <f ca="1">IFERROR(__xludf.DUMMYFUNCTION("""COMPUTED_VALUE"""),"Whitney Grantz")</f>
        <v>Whitney Grantz</v>
      </c>
      <c r="C84" s="118">
        <f ca="1">IFERROR(__xludf.DUMMYFUNCTION("""COMPUTED_VALUE"""),8)</f>
        <v>8</v>
      </c>
      <c r="D84" s="118" t="str">
        <f ca="1">IFERROR(__xludf.DUMMYFUNCTION("""COMPUTED_VALUE"""),"G")</f>
        <v>G</v>
      </c>
      <c r="E84" s="118" t="str">
        <f ca="1">IFERROR(__xludf.DUMMYFUNCTION("""COMPUTED_VALUE"""),"F")</f>
        <v>F</v>
      </c>
      <c r="F84" s="118" t="str">
        <f ca="1">IFERROR(__xludf.DUMMYFUNCTION("""COMPUTED_VALUE"""),"J")</f>
        <v>J</v>
      </c>
      <c r="G84" s="118">
        <f ca="1">IFERROR(__xludf.DUMMYFUNCTION("""COMPUTED_VALUE"""),4)</f>
        <v>4</v>
      </c>
      <c r="H84" s="118" t="str">
        <f ca="1">IFERROR(__xludf.DUMMYFUNCTION("""COMPUTED_VALUE"""),"CB")</f>
        <v>CB</v>
      </c>
      <c r="I84" s="118">
        <f ca="1">IFERROR(__xludf.DUMMYFUNCTION("""COMPUTED_VALUE"""),4)</f>
        <v>4</v>
      </c>
      <c r="J84" s="118">
        <f ca="1">IFERROR(__xludf.DUMMYFUNCTION("""COMPUTED_VALUE"""),4)</f>
        <v>4</v>
      </c>
      <c r="K84" s="120">
        <f ca="1">IFERROR(__xludf.DUMMYFUNCTION("""COMPUTED_VALUE"""),35.55)</f>
        <v>35.549999999999997</v>
      </c>
      <c r="L84" s="121"/>
      <c r="M84" s="120">
        <f ca="1">IFERROR(__xludf.DUMMYFUNCTION("""COMPUTED_VALUE"""),23.8)</f>
        <v>23.8</v>
      </c>
      <c r="N84" s="121"/>
      <c r="O84" s="120">
        <f ca="1">IFERROR(__xludf.DUMMYFUNCTION("""COMPUTED_VALUE"""),35.55)</f>
        <v>35.549999999999997</v>
      </c>
      <c r="P84" s="122"/>
      <c r="Q84" s="123" t="str">
        <f ca="1">IFERROR(__xludf.DUMMYFUNCTION("""COMPUTED_VALUE"""),"Annabel Rider")</f>
        <v>Annabel Rider</v>
      </c>
      <c r="R84" s="123" t="str">
        <f ca="1">IFERROR(__xludf.DUMMYFUNCTION("""COMPUTED_VALUE"""),"Bradley Johnson")</f>
        <v>Bradley Johnson</v>
      </c>
      <c r="S84" s="123" t="str">
        <f ca="1">IFERROR(__xludf.DUMMYFUNCTION("""COMPUTED_VALUE"""),"Anabel Bezdieck")</f>
        <v>Anabel Bezdieck</v>
      </c>
      <c r="T84" s="123" t="str">
        <f ca="1">IFERROR(__xludf.DUMMYFUNCTION("""COMPUTED_VALUE"""),"Ben Gulotta")</f>
        <v>Ben Gulotta</v>
      </c>
    </row>
    <row r="85" spans="1:20" ht="13.8">
      <c r="A85" s="118" t="str">
        <f ca="1">IFERROR(__xludf.DUMMYFUNCTION("""COMPUTED_VALUE"""),"CB")</f>
        <v>CB</v>
      </c>
      <c r="B85" s="119" t="str">
        <f ca="1">IFERROR(__xludf.DUMMYFUNCTION("""COMPUTED_VALUE"""),"Clayton MacGarvey")</f>
        <v>Clayton MacGarvey</v>
      </c>
      <c r="C85" s="118">
        <f ca="1">IFERROR(__xludf.DUMMYFUNCTION("""COMPUTED_VALUE"""),9)</f>
        <v>9</v>
      </c>
      <c r="D85" s="118" t="str">
        <f ca="1">IFERROR(__xludf.DUMMYFUNCTION("""COMPUTED_VALUE"""),"B")</f>
        <v>B</v>
      </c>
      <c r="E85" s="118" t="str">
        <f ca="1">IFERROR(__xludf.DUMMYFUNCTION("""COMPUTED_VALUE"""),"F")</f>
        <v>F</v>
      </c>
      <c r="F85" s="118" t="str">
        <f ca="1">IFERROR(__xludf.DUMMYFUNCTION("""COMPUTED_VALUE"""),"J")</f>
        <v>J</v>
      </c>
      <c r="G85" s="118">
        <f ca="1">IFERROR(__xludf.DUMMYFUNCTION("""COMPUTED_VALUE"""),4)</f>
        <v>4</v>
      </c>
      <c r="H85" s="118" t="str">
        <f ca="1">IFERROR(__xludf.DUMMYFUNCTION("""COMPUTED_VALUE"""),"CB")</f>
        <v>CB</v>
      </c>
      <c r="I85" s="118">
        <f ca="1">IFERROR(__xludf.DUMMYFUNCTION("""COMPUTED_VALUE"""),5)</f>
        <v>5</v>
      </c>
      <c r="J85" s="118">
        <f ca="1">IFERROR(__xludf.DUMMYFUNCTION("""COMPUTED_VALUE"""),1)</f>
        <v>1</v>
      </c>
      <c r="K85" s="120">
        <f ca="1">IFERROR(__xludf.DUMMYFUNCTION("""COMPUTED_VALUE"""),52.35)</f>
        <v>52.35</v>
      </c>
      <c r="L85" s="121"/>
      <c r="M85" s="120"/>
      <c r="N85" s="121"/>
      <c r="O85" s="120"/>
      <c r="P85" s="122"/>
      <c r="Q85" s="123" t="str">
        <f ca="1">IFERROR(__xludf.DUMMYFUNCTION("""COMPUTED_VALUE"""),"Annabelle Freshman")</f>
        <v>Annabelle Freshman</v>
      </c>
      <c r="R85" s="123" t="str">
        <f ca="1">IFERROR(__xludf.DUMMYFUNCTION("""COMPUTED_VALUE"""),"Brandon Dasch")</f>
        <v>Brandon Dasch</v>
      </c>
      <c r="S85" s="123" t="str">
        <f ca="1">IFERROR(__xludf.DUMMYFUNCTION("""COMPUTED_VALUE"""),"Anabel Kemp")</f>
        <v>Anabel Kemp</v>
      </c>
      <c r="T85" s="123" t="str">
        <f ca="1">IFERROR(__xludf.DUMMYFUNCTION("""COMPUTED_VALUE"""),"Ben Jacobs")</f>
        <v>Ben Jacobs</v>
      </c>
    </row>
    <row r="86" spans="1:20" ht="13.8">
      <c r="A86" s="118" t="str">
        <f ca="1">IFERROR(__xludf.DUMMYFUNCTION("""COMPUTED_VALUE"""),"CB")</f>
        <v>CB</v>
      </c>
      <c r="B86" s="119" t="str">
        <f ca="1">IFERROR(__xludf.DUMMYFUNCTION("""COMPUTED_VALUE"""),"Evan Tan")</f>
        <v>Evan Tan</v>
      </c>
      <c r="C86" s="118">
        <f ca="1">IFERROR(__xludf.DUMMYFUNCTION("""COMPUTED_VALUE"""),9)</f>
        <v>9</v>
      </c>
      <c r="D86" s="118" t="str">
        <f ca="1">IFERROR(__xludf.DUMMYFUNCTION("""COMPUTED_VALUE"""),"B")</f>
        <v>B</v>
      </c>
      <c r="E86" s="118" t="str">
        <f ca="1">IFERROR(__xludf.DUMMYFUNCTION("""COMPUTED_VALUE"""),"F")</f>
        <v>F</v>
      </c>
      <c r="F86" s="118" t="str">
        <f ca="1">IFERROR(__xludf.DUMMYFUNCTION("""COMPUTED_VALUE"""),"J")</f>
        <v>J</v>
      </c>
      <c r="G86" s="118">
        <f ca="1">IFERROR(__xludf.DUMMYFUNCTION("""COMPUTED_VALUE"""),4)</f>
        <v>4</v>
      </c>
      <c r="H86" s="118" t="str">
        <f ca="1">IFERROR(__xludf.DUMMYFUNCTION("""COMPUTED_VALUE"""),"CB")</f>
        <v>CB</v>
      </c>
      <c r="I86" s="118">
        <f ca="1">IFERROR(__xludf.DUMMYFUNCTION("""COMPUTED_VALUE"""),5)</f>
        <v>5</v>
      </c>
      <c r="J86" s="118">
        <f ca="1">IFERROR(__xludf.DUMMYFUNCTION("""COMPUTED_VALUE"""),4)</f>
        <v>4</v>
      </c>
      <c r="K86" s="120">
        <f ca="1">IFERROR(__xludf.DUMMYFUNCTION("""COMPUTED_VALUE"""),48.55)</f>
        <v>48.55</v>
      </c>
      <c r="L86" s="121"/>
      <c r="M86" s="120">
        <f ca="1">IFERROR(__xludf.DUMMYFUNCTION("""COMPUTED_VALUE"""),48.15)</f>
        <v>48.15</v>
      </c>
      <c r="N86" s="121"/>
      <c r="O86" s="120">
        <f ca="1">IFERROR(__xludf.DUMMYFUNCTION("""COMPUTED_VALUE"""),48.55)</f>
        <v>48.55</v>
      </c>
      <c r="P86" s="122"/>
      <c r="Q86" s="123" t="str">
        <f ca="1">IFERROR(__xludf.DUMMYFUNCTION("""COMPUTED_VALUE"""),"Annabeth Volosin")</f>
        <v>Annabeth Volosin</v>
      </c>
      <c r="R86" s="123" t="str">
        <f ca="1">IFERROR(__xludf.DUMMYFUNCTION("""COMPUTED_VALUE"""),"Brandon HO")</f>
        <v>Brandon HO</v>
      </c>
      <c r="S86" s="123" t="str">
        <f ca="1">IFERROR(__xludf.DUMMYFUNCTION("""COMPUTED_VALUE"""),"Anabelle Chan")</f>
        <v>Anabelle Chan</v>
      </c>
      <c r="T86" s="123" t="str">
        <f ca="1">IFERROR(__xludf.DUMMYFUNCTION("""COMPUTED_VALUE"""),"Ben Keppler")</f>
        <v>Ben Keppler</v>
      </c>
    </row>
    <row r="87" spans="1:20" ht="13.8">
      <c r="A87" s="118" t="str">
        <f ca="1">IFERROR(__xludf.DUMMYFUNCTION("""COMPUTED_VALUE"""),"CB")</f>
        <v>CB</v>
      </c>
      <c r="B87" s="119" t="str">
        <f ca="1">IFERROR(__xludf.DUMMYFUNCTION("""COMPUTED_VALUE"""),"Ezra Landman")</f>
        <v>Ezra Landman</v>
      </c>
      <c r="C87" s="118">
        <f ca="1">IFERROR(__xludf.DUMMYFUNCTION("""COMPUTED_VALUE"""),8)</f>
        <v>8</v>
      </c>
      <c r="D87" s="118" t="str">
        <f ca="1">IFERROR(__xludf.DUMMYFUNCTION("""COMPUTED_VALUE"""),"B")</f>
        <v>B</v>
      </c>
      <c r="E87" s="118" t="str">
        <f ca="1">IFERROR(__xludf.DUMMYFUNCTION("""COMPUTED_VALUE"""),"F")</f>
        <v>F</v>
      </c>
      <c r="F87" s="118" t="str">
        <f ca="1">IFERROR(__xludf.DUMMYFUNCTION("""COMPUTED_VALUE"""),"J")</f>
        <v>J</v>
      </c>
      <c r="G87" s="118">
        <f ca="1">IFERROR(__xludf.DUMMYFUNCTION("""COMPUTED_VALUE"""),4)</f>
        <v>4</v>
      </c>
      <c r="H87" s="118" t="str">
        <f ca="1">IFERROR(__xludf.DUMMYFUNCTION("""COMPUTED_VALUE"""),"CB")</f>
        <v>CB</v>
      </c>
      <c r="I87" s="118">
        <f ca="1">IFERROR(__xludf.DUMMYFUNCTION("""COMPUTED_VALUE"""),5)</f>
        <v>5</v>
      </c>
      <c r="J87" s="118">
        <f ca="1">IFERROR(__xludf.DUMMYFUNCTION("""COMPUTED_VALUE"""),4)</f>
        <v>4</v>
      </c>
      <c r="K87" s="120">
        <f ca="1">IFERROR(__xludf.DUMMYFUNCTION("""COMPUTED_VALUE"""),56.55)</f>
        <v>56.55</v>
      </c>
      <c r="L87" s="121"/>
      <c r="M87" s="120">
        <f ca="1">IFERROR(__xludf.DUMMYFUNCTION("""COMPUTED_VALUE"""),50.95)</f>
        <v>50.95</v>
      </c>
      <c r="N87" s="121"/>
      <c r="O87" s="120">
        <f ca="1">IFERROR(__xludf.DUMMYFUNCTION("""COMPUTED_VALUE"""),56.55)</f>
        <v>56.55</v>
      </c>
      <c r="P87" s="122"/>
      <c r="Q87" s="123" t="str">
        <f ca="1">IFERROR(__xludf.DUMMYFUNCTION("""COMPUTED_VALUE"""),"Anne Marie Cummings")</f>
        <v>Anne Marie Cummings</v>
      </c>
      <c r="R87" s="123" t="str">
        <f ca="1">IFERROR(__xludf.DUMMYFUNCTION("""COMPUTED_VALUE"""),"Brayden Lane")</f>
        <v>Brayden Lane</v>
      </c>
      <c r="S87" s="123" t="str">
        <f ca="1">IFERROR(__xludf.DUMMYFUNCTION("""COMPUTED_VALUE"""),"Anamarie Harrison")</f>
        <v>Anamarie Harrison</v>
      </c>
      <c r="T87" s="123" t="str">
        <f ca="1">IFERROR(__xludf.DUMMYFUNCTION("""COMPUTED_VALUE"""),"Ben Lyon")</f>
        <v>Ben Lyon</v>
      </c>
    </row>
    <row r="88" spans="1:20" ht="13.8">
      <c r="A88" s="118" t="str">
        <f ca="1">IFERROR(__xludf.DUMMYFUNCTION("""COMPUTED_VALUE"""),"CB")</f>
        <v>CB</v>
      </c>
      <c r="B88" s="119" t="str">
        <f ca="1">IFERROR(__xludf.DUMMYFUNCTION("""COMPUTED_VALUE"""),"Ian Mormann")</f>
        <v>Ian Mormann</v>
      </c>
      <c r="C88" s="118">
        <f ca="1">IFERROR(__xludf.DUMMYFUNCTION("""COMPUTED_VALUE"""),10)</f>
        <v>10</v>
      </c>
      <c r="D88" s="118" t="str">
        <f ca="1">IFERROR(__xludf.DUMMYFUNCTION("""COMPUTED_VALUE"""),"B")</f>
        <v>B</v>
      </c>
      <c r="E88" s="118" t="str">
        <f ca="1">IFERROR(__xludf.DUMMYFUNCTION("""COMPUTED_VALUE"""),"F")</f>
        <v>F</v>
      </c>
      <c r="F88" s="118" t="str">
        <f ca="1">IFERROR(__xludf.DUMMYFUNCTION("""COMPUTED_VALUE"""),"J")</f>
        <v>J</v>
      </c>
      <c r="G88" s="118">
        <f ca="1">IFERROR(__xludf.DUMMYFUNCTION("""COMPUTED_VALUE"""),4)</f>
        <v>4</v>
      </c>
      <c r="H88" s="118" t="str">
        <f ca="1">IFERROR(__xludf.DUMMYFUNCTION("""COMPUTED_VALUE"""),"CB")</f>
        <v>CB</v>
      </c>
      <c r="I88" s="118">
        <f ca="1">IFERROR(__xludf.DUMMYFUNCTION("""COMPUTED_VALUE"""),5)</f>
        <v>5</v>
      </c>
      <c r="J88" s="118">
        <f ca="1">IFERROR(__xludf.DUMMYFUNCTION("""COMPUTED_VALUE"""),0)</f>
        <v>0</v>
      </c>
      <c r="K88" s="120"/>
      <c r="L88" s="121"/>
      <c r="M88" s="120"/>
      <c r="N88" s="121"/>
      <c r="O88" s="120"/>
      <c r="P88" s="122"/>
      <c r="Q88" s="123" t="str">
        <f ca="1">IFERROR(__xludf.DUMMYFUNCTION("""COMPUTED_VALUE"""),"Annelise Saunders")</f>
        <v>Annelise Saunders</v>
      </c>
      <c r="R88" s="123" t="str">
        <f ca="1">IFERROR(__xludf.DUMMYFUNCTION("""COMPUTED_VALUE"""),"Breck Bowman")</f>
        <v>Breck Bowman</v>
      </c>
      <c r="S88" s="123" t="str">
        <f ca="1">IFERROR(__xludf.DUMMYFUNCTION("""COMPUTED_VALUE"""),"Anastasia Wendle")</f>
        <v>Anastasia Wendle</v>
      </c>
      <c r="T88" s="123" t="str">
        <f ca="1">IFERROR(__xludf.DUMMYFUNCTION("""COMPUTED_VALUE"""),"Ben Margolis")</f>
        <v>Ben Margolis</v>
      </c>
    </row>
    <row r="89" spans="1:20" ht="13.8">
      <c r="A89" s="118" t="str">
        <f ca="1">IFERROR(__xludf.DUMMYFUNCTION("""COMPUTED_VALUE"""),"CB")</f>
        <v>CB</v>
      </c>
      <c r="B89" s="119" t="str">
        <f ca="1">IFERROR(__xludf.DUMMYFUNCTION("""COMPUTED_VALUE"""),"Jack Zecher")</f>
        <v>Jack Zecher</v>
      </c>
      <c r="C89" s="118">
        <f ca="1">IFERROR(__xludf.DUMMYFUNCTION("""COMPUTED_VALUE"""),10)</f>
        <v>10</v>
      </c>
      <c r="D89" s="118" t="str">
        <f ca="1">IFERROR(__xludf.DUMMYFUNCTION("""COMPUTED_VALUE"""),"B")</f>
        <v>B</v>
      </c>
      <c r="E89" s="118" t="str">
        <f ca="1">IFERROR(__xludf.DUMMYFUNCTION("""COMPUTED_VALUE"""),"F")</f>
        <v>F</v>
      </c>
      <c r="F89" s="118" t="str">
        <f ca="1">IFERROR(__xludf.DUMMYFUNCTION("""COMPUTED_VALUE"""),"J")</f>
        <v>J</v>
      </c>
      <c r="G89" s="118">
        <f ca="1">IFERROR(__xludf.DUMMYFUNCTION("""COMPUTED_VALUE"""),4)</f>
        <v>4</v>
      </c>
      <c r="H89" s="118" t="str">
        <f ca="1">IFERROR(__xludf.DUMMYFUNCTION("""COMPUTED_VALUE"""),"CB")</f>
        <v>CB</v>
      </c>
      <c r="I89" s="118">
        <f ca="1">IFERROR(__xludf.DUMMYFUNCTION("""COMPUTED_VALUE"""),5)</f>
        <v>5</v>
      </c>
      <c r="J89" s="118">
        <f ca="1">IFERROR(__xludf.DUMMYFUNCTION("""COMPUTED_VALUE"""),3)</f>
        <v>3</v>
      </c>
      <c r="K89" s="120">
        <f ca="1">IFERROR(__xludf.DUMMYFUNCTION("""COMPUTED_VALUE"""),60.65)</f>
        <v>60.65</v>
      </c>
      <c r="L89" s="121"/>
      <c r="M89" s="120"/>
      <c r="N89" s="121"/>
      <c r="O89" s="120">
        <f ca="1">IFERROR(__xludf.DUMMYFUNCTION("""COMPUTED_VALUE"""),60.65)</f>
        <v>60.65</v>
      </c>
      <c r="P89" s="122"/>
      <c r="Q89" s="123" t="str">
        <f ca="1">IFERROR(__xludf.DUMMYFUNCTION("""COMPUTED_VALUE"""),"Annie Baker")</f>
        <v>Annie Baker</v>
      </c>
      <c r="R89" s="123" t="str">
        <f ca="1">IFERROR(__xludf.DUMMYFUNCTION("""COMPUTED_VALUE"""),"Brennan Gyor")</f>
        <v>Brennan Gyor</v>
      </c>
      <c r="S89" s="123" t="str">
        <f ca="1">IFERROR(__xludf.DUMMYFUNCTION("""COMPUTED_VALUE"""),"Anaya Bose")</f>
        <v>Anaya Bose</v>
      </c>
      <c r="T89" s="123" t="str">
        <f ca="1">IFERROR(__xludf.DUMMYFUNCTION("""COMPUTED_VALUE"""),"Ben Panko")</f>
        <v>Ben Panko</v>
      </c>
    </row>
    <row r="90" spans="1:20" ht="13.8">
      <c r="A90" s="118" t="str">
        <f ca="1">IFERROR(__xludf.DUMMYFUNCTION("""COMPUTED_VALUE"""),"CB")</f>
        <v>CB</v>
      </c>
      <c r="B90" s="119" t="str">
        <f ca="1">IFERROR(__xludf.DUMMYFUNCTION("""COMPUTED_VALUE"""),"Mason Georgas")</f>
        <v>Mason Georgas</v>
      </c>
      <c r="C90" s="118">
        <f ca="1">IFERROR(__xludf.DUMMYFUNCTION("""COMPUTED_VALUE"""),10)</f>
        <v>10</v>
      </c>
      <c r="D90" s="118" t="str">
        <f ca="1">IFERROR(__xludf.DUMMYFUNCTION("""COMPUTED_VALUE"""),"B")</f>
        <v>B</v>
      </c>
      <c r="E90" s="118" t="str">
        <f ca="1">IFERROR(__xludf.DUMMYFUNCTION("""COMPUTED_VALUE"""),"F")</f>
        <v>F</v>
      </c>
      <c r="F90" s="118" t="str">
        <f ca="1">IFERROR(__xludf.DUMMYFUNCTION("""COMPUTED_VALUE"""),"J")</f>
        <v>J</v>
      </c>
      <c r="G90" s="118">
        <f ca="1">IFERROR(__xludf.DUMMYFUNCTION("""COMPUTED_VALUE"""),4)</f>
        <v>4</v>
      </c>
      <c r="H90" s="118" t="str">
        <f ca="1">IFERROR(__xludf.DUMMYFUNCTION("""COMPUTED_VALUE"""),"CB")</f>
        <v>CB</v>
      </c>
      <c r="I90" s="118">
        <f ca="1">IFERROR(__xludf.DUMMYFUNCTION("""COMPUTED_VALUE"""),5)</f>
        <v>5</v>
      </c>
      <c r="J90" s="118">
        <f ca="1">IFERROR(__xludf.DUMMYFUNCTION("""COMPUTED_VALUE"""),0)</f>
        <v>0</v>
      </c>
      <c r="K90" s="120"/>
      <c r="L90" s="121"/>
      <c r="M90" s="120"/>
      <c r="N90" s="121"/>
      <c r="O90" s="120"/>
      <c r="P90" s="122"/>
      <c r="Q90" s="123" t="str">
        <f ca="1">IFERROR(__xludf.DUMMYFUNCTION("""COMPUTED_VALUE"""),"Annie Madden")</f>
        <v>Annie Madden</v>
      </c>
      <c r="R90" s="123" t="str">
        <f ca="1">IFERROR(__xludf.DUMMYFUNCTION("""COMPUTED_VALUE"""),"Brian Stegmaier")</f>
        <v>Brian Stegmaier</v>
      </c>
      <c r="S90" s="123" t="str">
        <f ca="1">IFERROR(__xludf.DUMMYFUNCTION("""COMPUTED_VALUE"""),"Angelina Katsas")</f>
        <v>Angelina Katsas</v>
      </c>
      <c r="T90" s="123" t="str">
        <f ca="1">IFERROR(__xludf.DUMMYFUNCTION("""COMPUTED_VALUE"""),"Ben Pollack")</f>
        <v>Ben Pollack</v>
      </c>
    </row>
    <row r="91" spans="1:20" ht="13.8">
      <c r="A91" s="118" t="str">
        <f ca="1">IFERROR(__xludf.DUMMYFUNCTION("""COMPUTED_VALUE"""),"CB")</f>
        <v>CB</v>
      </c>
      <c r="B91" s="119" t="str">
        <f ca="1">IFERROR(__xludf.DUMMYFUNCTION("""COMPUTED_VALUE"""),"Michael Moss")</f>
        <v>Michael Moss</v>
      </c>
      <c r="C91" s="118">
        <f ca="1">IFERROR(__xludf.DUMMYFUNCTION("""COMPUTED_VALUE"""),9)</f>
        <v>9</v>
      </c>
      <c r="D91" s="118" t="str">
        <f ca="1">IFERROR(__xludf.DUMMYFUNCTION("""COMPUTED_VALUE"""),"B")</f>
        <v>B</v>
      </c>
      <c r="E91" s="118" t="str">
        <f ca="1">IFERROR(__xludf.DUMMYFUNCTION("""COMPUTED_VALUE"""),"F")</f>
        <v>F</v>
      </c>
      <c r="F91" s="118" t="str">
        <f ca="1">IFERROR(__xludf.DUMMYFUNCTION("""COMPUTED_VALUE"""),"J")</f>
        <v>J</v>
      </c>
      <c r="G91" s="118">
        <f ca="1">IFERROR(__xludf.DUMMYFUNCTION("""COMPUTED_VALUE"""),4)</f>
        <v>4</v>
      </c>
      <c r="H91" s="118" t="str">
        <f ca="1">IFERROR(__xludf.DUMMYFUNCTION("""COMPUTED_VALUE"""),"CB")</f>
        <v>CB</v>
      </c>
      <c r="I91" s="118">
        <f ca="1">IFERROR(__xludf.DUMMYFUNCTION("""COMPUTED_VALUE"""),5)</f>
        <v>5</v>
      </c>
      <c r="J91" s="118">
        <f ca="1">IFERROR(__xludf.DUMMYFUNCTION("""COMPUTED_VALUE"""),0)</f>
        <v>0</v>
      </c>
      <c r="K91" s="120"/>
      <c r="L91" s="121"/>
      <c r="M91" s="120"/>
      <c r="N91" s="121"/>
      <c r="O91" s="120"/>
      <c r="P91" s="122"/>
      <c r="Q91" s="123" t="str">
        <f ca="1">IFERROR(__xludf.DUMMYFUNCTION("""COMPUTED_VALUE"""),"Annie Novotny")</f>
        <v>Annie Novotny</v>
      </c>
      <c r="R91" s="123" t="str">
        <f ca="1">IFERROR(__xludf.DUMMYFUNCTION("""COMPUTED_VALUE"""),"Brodie Kuehne")</f>
        <v>Brodie Kuehne</v>
      </c>
      <c r="S91" s="123" t="str">
        <f ca="1">IFERROR(__xludf.DUMMYFUNCTION("""COMPUTED_VALUE"""),"Anh Trac")</f>
        <v>Anh Trac</v>
      </c>
      <c r="T91" s="123" t="str">
        <f ca="1">IFERROR(__xludf.DUMMYFUNCTION("""COMPUTED_VALUE"""),"Ben Root")</f>
        <v>Ben Root</v>
      </c>
    </row>
    <row r="92" spans="1:20" ht="13.8">
      <c r="A92" s="118" t="str">
        <f ca="1">IFERROR(__xludf.DUMMYFUNCTION("""COMPUTED_VALUE"""),"CB")</f>
        <v>CB</v>
      </c>
      <c r="B92" s="119" t="str">
        <f ca="1">IFERROR(__xludf.DUMMYFUNCTION("""COMPUTED_VALUE"""),"Nathan Easley")</f>
        <v>Nathan Easley</v>
      </c>
      <c r="C92" s="118">
        <f ca="1">IFERROR(__xludf.DUMMYFUNCTION("""COMPUTED_VALUE"""),8)</f>
        <v>8</v>
      </c>
      <c r="D92" s="118" t="str">
        <f ca="1">IFERROR(__xludf.DUMMYFUNCTION("""COMPUTED_VALUE"""),"B")</f>
        <v>B</v>
      </c>
      <c r="E92" s="118" t="str">
        <f ca="1">IFERROR(__xludf.DUMMYFUNCTION("""COMPUTED_VALUE"""),"F")</f>
        <v>F</v>
      </c>
      <c r="F92" s="118" t="str">
        <f ca="1">IFERROR(__xludf.DUMMYFUNCTION("""COMPUTED_VALUE"""),"J")</f>
        <v>J</v>
      </c>
      <c r="G92" s="118">
        <f ca="1">IFERROR(__xludf.DUMMYFUNCTION("""COMPUTED_VALUE"""),4)</f>
        <v>4</v>
      </c>
      <c r="H92" s="118" t="str">
        <f ca="1">IFERROR(__xludf.DUMMYFUNCTION("""COMPUTED_VALUE"""),"CB")</f>
        <v>CB</v>
      </c>
      <c r="I92" s="118">
        <f ca="1">IFERROR(__xludf.DUMMYFUNCTION("""COMPUTED_VALUE"""),5)</f>
        <v>5</v>
      </c>
      <c r="J92" s="118">
        <f ca="1">IFERROR(__xludf.DUMMYFUNCTION("""COMPUTED_VALUE"""),0)</f>
        <v>0</v>
      </c>
      <c r="K92" s="120"/>
      <c r="L92" s="121"/>
      <c r="M92" s="120"/>
      <c r="N92" s="121"/>
      <c r="O92" s="120"/>
      <c r="P92" s="122"/>
      <c r="Q92" s="123" t="str">
        <f ca="1">IFERROR(__xludf.DUMMYFUNCTION("""COMPUTED_VALUE"""),"Antonella Salcedo")</f>
        <v>Antonella Salcedo</v>
      </c>
      <c r="R92" s="123" t="str">
        <f ca="1">IFERROR(__xludf.DUMMYFUNCTION("""COMPUTED_VALUE"""),"Brooks Pacheco-Manetti")</f>
        <v>Brooks Pacheco-Manetti</v>
      </c>
      <c r="S92" s="123" t="str">
        <f ca="1">IFERROR(__xludf.DUMMYFUNCTION("""COMPUTED_VALUE"""),"Anika Chaturvedi")</f>
        <v>Anika Chaturvedi</v>
      </c>
      <c r="T92" s="123" t="str">
        <f ca="1">IFERROR(__xludf.DUMMYFUNCTION("""COMPUTED_VALUE"""),"Ben Thoman")</f>
        <v>Ben Thoman</v>
      </c>
    </row>
    <row r="93" spans="1:20" ht="13.8">
      <c r="A93" s="118" t="str">
        <f ca="1">IFERROR(__xludf.DUMMYFUNCTION("""COMPUTED_VALUE"""),"CB")</f>
        <v>CB</v>
      </c>
      <c r="B93" s="119" t="str">
        <f ca="1">IFERROR(__xludf.DUMMYFUNCTION("""COMPUTED_VALUE"""),"Oliver Roques")</f>
        <v>Oliver Roques</v>
      </c>
      <c r="C93" s="118">
        <f ca="1">IFERROR(__xludf.DUMMYFUNCTION("""COMPUTED_VALUE"""),5)</f>
        <v>5</v>
      </c>
      <c r="D93" s="118" t="str">
        <f ca="1">IFERROR(__xludf.DUMMYFUNCTION("""COMPUTED_VALUE"""),"B")</f>
        <v>B</v>
      </c>
      <c r="E93" s="118" t="str">
        <f ca="1">IFERROR(__xludf.DUMMYFUNCTION("""COMPUTED_VALUE"""),"F")</f>
        <v>F</v>
      </c>
      <c r="F93" s="118" t="str">
        <f ca="1">IFERROR(__xludf.DUMMYFUNCTION("""COMPUTED_VALUE"""),"J")</f>
        <v>J</v>
      </c>
      <c r="G93" s="118">
        <f ca="1">IFERROR(__xludf.DUMMYFUNCTION("""COMPUTED_VALUE"""),4)</f>
        <v>4</v>
      </c>
      <c r="H93" s="118" t="str">
        <f ca="1">IFERROR(__xludf.DUMMYFUNCTION("""COMPUTED_VALUE"""),"CB")</f>
        <v>CB</v>
      </c>
      <c r="I93" s="118">
        <f ca="1">IFERROR(__xludf.DUMMYFUNCTION("""COMPUTED_VALUE"""),5)</f>
        <v>5</v>
      </c>
      <c r="J93" s="118">
        <f ca="1">IFERROR(__xludf.DUMMYFUNCTION("""COMPUTED_VALUE"""),4)</f>
        <v>4</v>
      </c>
      <c r="K93" s="120">
        <f ca="1">IFERROR(__xludf.DUMMYFUNCTION("""COMPUTED_VALUE"""),36.7)</f>
        <v>36.700000000000003</v>
      </c>
      <c r="L93" s="121"/>
      <c r="M93" s="120">
        <f ca="1">IFERROR(__xludf.DUMMYFUNCTION("""COMPUTED_VALUE"""),34.85)</f>
        <v>34.85</v>
      </c>
      <c r="N93" s="121"/>
      <c r="O93" s="120">
        <f ca="1">IFERROR(__xludf.DUMMYFUNCTION("""COMPUTED_VALUE"""),36.7)</f>
        <v>36.700000000000003</v>
      </c>
      <c r="P93" s="122"/>
      <c r="Q93" s="123" t="str">
        <f ca="1">IFERROR(__xludf.DUMMYFUNCTION("""COMPUTED_VALUE"""),"Arabella Zheng")</f>
        <v>Arabella Zheng</v>
      </c>
      <c r="R93" s="123" t="str">
        <f ca="1">IFERROR(__xludf.DUMMYFUNCTION("""COMPUTED_VALUE"""),"Brooks Roehrig")</f>
        <v>Brooks Roehrig</v>
      </c>
      <c r="S93" s="123" t="str">
        <f ca="1">IFERROR(__xludf.DUMMYFUNCTION("""COMPUTED_VALUE"""),"Anika Sander")</f>
        <v>Anika Sander</v>
      </c>
      <c r="T93" s="123" t="str">
        <f ca="1">IFERROR(__xludf.DUMMYFUNCTION("""COMPUTED_VALUE"""),"Benjamin Weitz")</f>
        <v>Benjamin Weitz</v>
      </c>
    </row>
    <row r="94" spans="1:20" ht="13.8">
      <c r="A94" s="118" t="str">
        <f ca="1">IFERROR(__xludf.DUMMYFUNCTION("""COMPUTED_VALUE"""),"CB")</f>
        <v>CB</v>
      </c>
      <c r="B94" s="119" t="str">
        <f ca="1">IFERROR(__xludf.DUMMYFUNCTION("""COMPUTED_VALUE"""),"Ellie Hahn")</f>
        <v>Ellie Hahn</v>
      </c>
      <c r="C94" s="118">
        <f ca="1">IFERROR(__xludf.DUMMYFUNCTION("""COMPUTED_VALUE"""),11)</f>
        <v>11</v>
      </c>
      <c r="D94" s="118" t="str">
        <f ca="1">IFERROR(__xludf.DUMMYFUNCTION("""COMPUTED_VALUE"""),"G")</f>
        <v>G</v>
      </c>
      <c r="E94" s="118" t="str">
        <f ca="1">IFERROR(__xludf.DUMMYFUNCTION("""COMPUTED_VALUE"""),"J")</f>
        <v>J</v>
      </c>
      <c r="F94" s="118" t="str">
        <f ca="1">IFERROR(__xludf.DUMMYFUNCTION("""COMPUTED_VALUE"""),"I")</f>
        <v>I</v>
      </c>
      <c r="G94" s="118">
        <f ca="1">IFERROR(__xludf.DUMMYFUNCTION("""COMPUTED_VALUE"""),4)</f>
        <v>4</v>
      </c>
      <c r="H94" s="118" t="str">
        <f ca="1">IFERROR(__xludf.DUMMYFUNCTION("""COMPUTED_VALUE"""),"CB")</f>
        <v>CB</v>
      </c>
      <c r="I94" s="118">
        <f ca="1">IFERROR(__xludf.DUMMYFUNCTION("""COMPUTED_VALUE"""),6)</f>
        <v>6</v>
      </c>
      <c r="J94" s="118">
        <f ca="1">IFERROR(__xludf.DUMMYFUNCTION("""COMPUTED_VALUE"""),0)</f>
        <v>0</v>
      </c>
      <c r="K94" s="120"/>
      <c r="L94" s="121"/>
      <c r="M94" s="120"/>
      <c r="N94" s="121"/>
      <c r="O94" s="120"/>
      <c r="P94" s="122"/>
      <c r="Q94" s="123" t="str">
        <f ca="1">IFERROR(__xludf.DUMMYFUNCTION("""COMPUTED_VALUE"""),"Arden Allard")</f>
        <v>Arden Allard</v>
      </c>
      <c r="R94" s="123" t="str">
        <f ca="1">IFERROR(__xludf.DUMMYFUNCTION("""COMPUTED_VALUE"""),"Brouk Yared")</f>
        <v>Brouk Yared</v>
      </c>
      <c r="S94" s="123" t="str">
        <f ca="1">IFERROR(__xludf.DUMMYFUNCTION("""COMPUTED_VALUE"""),"Anna Barry")</f>
        <v>Anna Barry</v>
      </c>
      <c r="T94" s="123" t="str">
        <f ca="1">IFERROR(__xludf.DUMMYFUNCTION("""COMPUTED_VALUE"""),"Benjamin Werlinger")</f>
        <v>Benjamin Werlinger</v>
      </c>
    </row>
    <row r="95" spans="1:20" ht="13.8">
      <c r="A95" s="118" t="str">
        <f ca="1">IFERROR(__xludf.DUMMYFUNCTION("""COMPUTED_VALUE"""),"CB")</f>
        <v>CB</v>
      </c>
      <c r="B95" s="119" t="str">
        <f ca="1">IFERROR(__xludf.DUMMYFUNCTION("""COMPUTED_VALUE"""),"Evah Pho")</f>
        <v>Evah Pho</v>
      </c>
      <c r="C95" s="118">
        <f ca="1">IFERROR(__xludf.DUMMYFUNCTION("""COMPUTED_VALUE"""),12)</f>
        <v>12</v>
      </c>
      <c r="D95" s="118" t="str">
        <f ca="1">IFERROR(__xludf.DUMMYFUNCTION("""COMPUTED_VALUE"""),"G")</f>
        <v>G</v>
      </c>
      <c r="E95" s="118" t="str">
        <f ca="1">IFERROR(__xludf.DUMMYFUNCTION("""COMPUTED_VALUE"""),"J")</f>
        <v>J</v>
      </c>
      <c r="F95" s="118" t="str">
        <f ca="1">IFERROR(__xludf.DUMMYFUNCTION("""COMPUTED_VALUE"""),"I")</f>
        <v>I</v>
      </c>
      <c r="G95" s="118">
        <f ca="1">IFERROR(__xludf.DUMMYFUNCTION("""COMPUTED_VALUE"""),4)</f>
        <v>4</v>
      </c>
      <c r="H95" s="118" t="str">
        <f ca="1">IFERROR(__xludf.DUMMYFUNCTION("""COMPUTED_VALUE"""),"CB")</f>
        <v>CB</v>
      </c>
      <c r="I95" s="118">
        <f ca="1">IFERROR(__xludf.DUMMYFUNCTION("""COMPUTED_VALUE"""),6)</f>
        <v>6</v>
      </c>
      <c r="J95" s="118">
        <f ca="1">IFERROR(__xludf.DUMMYFUNCTION("""COMPUTED_VALUE"""),3)</f>
        <v>3</v>
      </c>
      <c r="K95" s="120">
        <f ca="1">IFERROR(__xludf.DUMMYFUNCTION("""COMPUTED_VALUE"""),77.35)</f>
        <v>77.349999999999994</v>
      </c>
      <c r="L95" s="121"/>
      <c r="M95" s="120"/>
      <c r="N95" s="121"/>
      <c r="O95" s="120"/>
      <c r="P95" s="122"/>
      <c r="Q95" s="123" t="str">
        <f ca="1">IFERROR(__xludf.DUMMYFUNCTION("""COMPUTED_VALUE"""),"Ari Wiley-Jimenez")</f>
        <v>Ari Wiley-Jimenez</v>
      </c>
      <c r="R95" s="123" t="str">
        <f ca="1">IFERROR(__xludf.DUMMYFUNCTION("""COMPUTED_VALUE"""),"Bruce Sunderland")</f>
        <v>Bruce Sunderland</v>
      </c>
      <c r="S95" s="123" t="str">
        <f ca="1">IFERROR(__xludf.DUMMYFUNCTION("""COMPUTED_VALUE"""),"Anna Blauser")</f>
        <v>Anna Blauser</v>
      </c>
      <c r="T95" s="123" t="str">
        <f ca="1">IFERROR(__xludf.DUMMYFUNCTION("""COMPUTED_VALUE"""),"Bennett Birkelbach")</f>
        <v>Bennett Birkelbach</v>
      </c>
    </row>
    <row r="96" spans="1:20" ht="13.8">
      <c r="A96" s="118" t="str">
        <f ca="1">IFERROR(__xludf.DUMMYFUNCTION("""COMPUTED_VALUE"""),"CB")</f>
        <v>CB</v>
      </c>
      <c r="B96" s="119" t="str">
        <f ca="1">IFERROR(__xludf.DUMMYFUNCTION("""COMPUTED_VALUE"""),"Jacqueline Sandridge")</f>
        <v>Jacqueline Sandridge</v>
      </c>
      <c r="C96" s="118">
        <f ca="1">IFERROR(__xludf.DUMMYFUNCTION("""COMPUTED_VALUE"""),11)</f>
        <v>11</v>
      </c>
      <c r="D96" s="118" t="str">
        <f ca="1">IFERROR(__xludf.DUMMYFUNCTION("""COMPUTED_VALUE"""),"G")</f>
        <v>G</v>
      </c>
      <c r="E96" s="118" t="str">
        <f ca="1">IFERROR(__xludf.DUMMYFUNCTION("""COMPUTED_VALUE"""),"J")</f>
        <v>J</v>
      </c>
      <c r="F96" s="118" t="str">
        <f ca="1">IFERROR(__xludf.DUMMYFUNCTION("""COMPUTED_VALUE"""),"I")</f>
        <v>I</v>
      </c>
      <c r="G96" s="118">
        <f ca="1">IFERROR(__xludf.DUMMYFUNCTION("""COMPUTED_VALUE"""),4)</f>
        <v>4</v>
      </c>
      <c r="H96" s="118" t="str">
        <f ca="1">IFERROR(__xludf.DUMMYFUNCTION("""COMPUTED_VALUE"""),"CB")</f>
        <v>CB</v>
      </c>
      <c r="I96" s="118">
        <f ca="1">IFERROR(__xludf.DUMMYFUNCTION("""COMPUTED_VALUE"""),6)</f>
        <v>6</v>
      </c>
      <c r="J96" s="118">
        <f ca="1">IFERROR(__xludf.DUMMYFUNCTION("""COMPUTED_VALUE"""),0)</f>
        <v>0</v>
      </c>
      <c r="K96" s="120"/>
      <c r="L96" s="121"/>
      <c r="M96" s="120"/>
      <c r="N96" s="121"/>
      <c r="O96" s="120"/>
      <c r="P96" s="122"/>
      <c r="Q96" s="123" t="str">
        <f ca="1">IFERROR(__xludf.DUMMYFUNCTION("""COMPUTED_VALUE"""),"Aria Giarraputo")</f>
        <v>Aria Giarraputo</v>
      </c>
      <c r="R96" s="123" t="str">
        <f ca="1">IFERROR(__xludf.DUMMYFUNCTION("""COMPUTED_VALUE"""),"Bryce Doorley")</f>
        <v>Bryce Doorley</v>
      </c>
      <c r="S96" s="123" t="str">
        <f ca="1">IFERROR(__xludf.DUMMYFUNCTION("""COMPUTED_VALUE"""),"Anna Dober")</f>
        <v>Anna Dober</v>
      </c>
      <c r="T96" s="123" t="str">
        <f ca="1">IFERROR(__xludf.DUMMYFUNCTION("""COMPUTED_VALUE"""),"Bennett Gilbert")</f>
        <v>Bennett Gilbert</v>
      </c>
    </row>
    <row r="97" spans="1:20" ht="13.8">
      <c r="A97" s="118" t="str">
        <f ca="1">IFERROR(__xludf.DUMMYFUNCTION("""COMPUTED_VALUE"""),"CB")</f>
        <v>CB</v>
      </c>
      <c r="B97" s="119" t="str">
        <f ca="1">IFERROR(__xludf.DUMMYFUNCTION("""COMPUTED_VALUE"""),"Kendall Looney")</f>
        <v>Kendall Looney</v>
      </c>
      <c r="C97" s="118">
        <f ca="1">IFERROR(__xludf.DUMMYFUNCTION("""COMPUTED_VALUE"""),12)</f>
        <v>12</v>
      </c>
      <c r="D97" s="118" t="str">
        <f ca="1">IFERROR(__xludf.DUMMYFUNCTION("""COMPUTED_VALUE"""),"G")</f>
        <v>G</v>
      </c>
      <c r="E97" s="118" t="str">
        <f ca="1">IFERROR(__xludf.DUMMYFUNCTION("""COMPUTED_VALUE"""),"J")</f>
        <v>J</v>
      </c>
      <c r="F97" s="118" t="str">
        <f ca="1">IFERROR(__xludf.DUMMYFUNCTION("""COMPUTED_VALUE"""),"I")</f>
        <v>I</v>
      </c>
      <c r="G97" s="118">
        <f ca="1">IFERROR(__xludf.DUMMYFUNCTION("""COMPUTED_VALUE"""),4)</f>
        <v>4</v>
      </c>
      <c r="H97" s="118" t="str">
        <f ca="1">IFERROR(__xludf.DUMMYFUNCTION("""COMPUTED_VALUE"""),"CB")</f>
        <v>CB</v>
      </c>
      <c r="I97" s="118">
        <f ca="1">IFERROR(__xludf.DUMMYFUNCTION("""COMPUTED_VALUE"""),6)</f>
        <v>6</v>
      </c>
      <c r="J97" s="118">
        <f ca="1">IFERROR(__xludf.DUMMYFUNCTION("""COMPUTED_VALUE"""),0)</f>
        <v>0</v>
      </c>
      <c r="K97" s="120"/>
      <c r="L97" s="121"/>
      <c r="M97" s="120"/>
      <c r="N97" s="121"/>
      <c r="O97" s="120"/>
      <c r="P97" s="122"/>
      <c r="Q97" s="123" t="str">
        <f ca="1">IFERROR(__xludf.DUMMYFUNCTION("""COMPUTED_VALUE"""),"Aria Maru")</f>
        <v>Aria Maru</v>
      </c>
      <c r="R97" s="123" t="str">
        <f ca="1">IFERROR(__xludf.DUMMYFUNCTION("""COMPUTED_VALUE"""),"Brycen Kwak")</f>
        <v>Brycen Kwak</v>
      </c>
      <c r="S97" s="123" t="str">
        <f ca="1">IFERROR(__xludf.DUMMYFUNCTION("""COMPUTED_VALUE"""),"Anna Dreyer")</f>
        <v>Anna Dreyer</v>
      </c>
      <c r="T97" s="123" t="str">
        <f ca="1">IFERROR(__xludf.DUMMYFUNCTION("""COMPUTED_VALUE"""),"Bennett Wozny")</f>
        <v>Bennett Wozny</v>
      </c>
    </row>
    <row r="98" spans="1:20" ht="13.8">
      <c r="A98" s="118" t="str">
        <f ca="1">IFERROR(__xludf.DUMMYFUNCTION("""COMPUTED_VALUE"""),"CB")</f>
        <v>CB</v>
      </c>
      <c r="B98" s="119" t="str">
        <f ca="1">IFERROR(__xludf.DUMMYFUNCTION("""COMPUTED_VALUE"""),"Leila Iqbal")</f>
        <v>Leila Iqbal</v>
      </c>
      <c r="C98" s="118">
        <f ca="1">IFERROR(__xludf.DUMMYFUNCTION("""COMPUTED_VALUE"""),11)</f>
        <v>11</v>
      </c>
      <c r="D98" s="118" t="str">
        <f ca="1">IFERROR(__xludf.DUMMYFUNCTION("""COMPUTED_VALUE"""),"G")</f>
        <v>G</v>
      </c>
      <c r="E98" s="118" t="str">
        <f ca="1">IFERROR(__xludf.DUMMYFUNCTION("""COMPUTED_VALUE"""),"J")</f>
        <v>J</v>
      </c>
      <c r="F98" s="118" t="str">
        <f ca="1">IFERROR(__xludf.DUMMYFUNCTION("""COMPUTED_VALUE"""),"I")</f>
        <v>I</v>
      </c>
      <c r="G98" s="118">
        <f ca="1">IFERROR(__xludf.DUMMYFUNCTION("""COMPUTED_VALUE"""),4)</f>
        <v>4</v>
      </c>
      <c r="H98" s="118" t="str">
        <f ca="1">IFERROR(__xludf.DUMMYFUNCTION("""COMPUTED_VALUE"""),"CB")</f>
        <v>CB</v>
      </c>
      <c r="I98" s="118">
        <f ca="1">IFERROR(__xludf.DUMMYFUNCTION("""COMPUTED_VALUE"""),6)</f>
        <v>6</v>
      </c>
      <c r="J98" s="118">
        <f ca="1">IFERROR(__xludf.DUMMYFUNCTION("""COMPUTED_VALUE"""),0)</f>
        <v>0</v>
      </c>
      <c r="K98" s="120"/>
      <c r="L98" s="121"/>
      <c r="M98" s="120"/>
      <c r="N98" s="121"/>
      <c r="O98" s="120"/>
      <c r="P98" s="122"/>
      <c r="Q98" s="123" t="str">
        <f ca="1">IFERROR(__xludf.DUMMYFUNCTION("""COMPUTED_VALUE"""),"Arianna Patrick")</f>
        <v>Arianna Patrick</v>
      </c>
      <c r="R98" s="123" t="str">
        <f ca="1">IFERROR(__xludf.DUMMYFUNCTION("""COMPUTED_VALUE"""),"Caelum Cox")</f>
        <v>Caelum Cox</v>
      </c>
      <c r="S98" s="123" t="str">
        <f ca="1">IFERROR(__xludf.DUMMYFUNCTION("""COMPUTED_VALUE"""),"Anna Fitzgerald")</f>
        <v>Anna Fitzgerald</v>
      </c>
      <c r="T98" s="123" t="str">
        <f ca="1">IFERROR(__xludf.DUMMYFUNCTION("""COMPUTED_VALUE"""),"Benny DeLong")</f>
        <v>Benny DeLong</v>
      </c>
    </row>
    <row r="99" spans="1:20" ht="13.8">
      <c r="A99" s="118" t="str">
        <f ca="1">IFERROR(__xludf.DUMMYFUNCTION("""COMPUTED_VALUE"""),"CB")</f>
        <v>CB</v>
      </c>
      <c r="B99" s="119" t="str">
        <f ca="1">IFERROR(__xludf.DUMMYFUNCTION("""COMPUTED_VALUE"""),"Madeleine Philbin")</f>
        <v>Madeleine Philbin</v>
      </c>
      <c r="C99" s="118">
        <f ca="1">IFERROR(__xludf.DUMMYFUNCTION("""COMPUTED_VALUE"""),11)</f>
        <v>11</v>
      </c>
      <c r="D99" s="118" t="str">
        <f ca="1">IFERROR(__xludf.DUMMYFUNCTION("""COMPUTED_VALUE"""),"G")</f>
        <v>G</v>
      </c>
      <c r="E99" s="118" t="str">
        <f ca="1">IFERROR(__xludf.DUMMYFUNCTION("""COMPUTED_VALUE"""),"J")</f>
        <v>J</v>
      </c>
      <c r="F99" s="118" t="str">
        <f ca="1">IFERROR(__xludf.DUMMYFUNCTION("""COMPUTED_VALUE"""),"I")</f>
        <v>I</v>
      </c>
      <c r="G99" s="118">
        <f ca="1">IFERROR(__xludf.DUMMYFUNCTION("""COMPUTED_VALUE"""),4)</f>
        <v>4</v>
      </c>
      <c r="H99" s="118" t="str">
        <f ca="1">IFERROR(__xludf.DUMMYFUNCTION("""COMPUTED_VALUE"""),"CB")</f>
        <v>CB</v>
      </c>
      <c r="I99" s="118">
        <f ca="1">IFERROR(__xludf.DUMMYFUNCTION("""COMPUTED_VALUE"""),6)</f>
        <v>6</v>
      </c>
      <c r="J99" s="118">
        <f ca="1">IFERROR(__xludf.DUMMYFUNCTION("""COMPUTED_VALUE"""),3)</f>
        <v>3</v>
      </c>
      <c r="K99" s="120">
        <f ca="1">IFERROR(__xludf.DUMMYFUNCTION("""COMPUTED_VALUE"""),91.05)</f>
        <v>91.05</v>
      </c>
      <c r="L99" s="121"/>
      <c r="M99" s="120">
        <f ca="1">IFERROR(__xludf.DUMMYFUNCTION("""COMPUTED_VALUE"""),86.95)</f>
        <v>86.95</v>
      </c>
      <c r="N99" s="121"/>
      <c r="O99" s="120">
        <f ca="1">IFERROR(__xludf.DUMMYFUNCTION("""COMPUTED_VALUE"""),91.05)</f>
        <v>91.05</v>
      </c>
      <c r="P99" s="122"/>
      <c r="Q99" s="123" t="str">
        <f ca="1">IFERROR(__xludf.DUMMYFUNCTION("""COMPUTED_VALUE"""),"Arlee Miller")</f>
        <v>Arlee Miller</v>
      </c>
      <c r="R99" s="123" t="str">
        <f ca="1">IFERROR(__xludf.DUMMYFUNCTION("""COMPUTED_VALUE"""),"Caiden Stark")</f>
        <v>Caiden Stark</v>
      </c>
      <c r="S99" s="123" t="str">
        <f ca="1">IFERROR(__xludf.DUMMYFUNCTION("""COMPUTED_VALUE"""),"Anna Goodell")</f>
        <v>Anna Goodell</v>
      </c>
      <c r="T99" s="123" t="str">
        <f ca="1">IFERROR(__xludf.DUMMYFUNCTION("""COMPUTED_VALUE"""),"Benton Bower")</f>
        <v>Benton Bower</v>
      </c>
    </row>
    <row r="100" spans="1:20" ht="13.8">
      <c r="A100" s="118" t="str">
        <f ca="1">IFERROR(__xludf.DUMMYFUNCTION("""COMPUTED_VALUE"""),"CB")</f>
        <v>CB</v>
      </c>
      <c r="B100" s="119" t="str">
        <f ca="1">IFERROR(__xludf.DUMMYFUNCTION("""COMPUTED_VALUE"""),"Madison Katsiak")</f>
        <v>Madison Katsiak</v>
      </c>
      <c r="C100" s="118">
        <f ca="1">IFERROR(__xludf.DUMMYFUNCTION("""COMPUTED_VALUE"""),11)</f>
        <v>11</v>
      </c>
      <c r="D100" s="118" t="str">
        <f ca="1">IFERROR(__xludf.DUMMYFUNCTION("""COMPUTED_VALUE"""),"G")</f>
        <v>G</v>
      </c>
      <c r="E100" s="118" t="str">
        <f ca="1">IFERROR(__xludf.DUMMYFUNCTION("""COMPUTED_VALUE"""),"J")</f>
        <v>J</v>
      </c>
      <c r="F100" s="118" t="str">
        <f ca="1">IFERROR(__xludf.DUMMYFUNCTION("""COMPUTED_VALUE"""),"I")</f>
        <v>I</v>
      </c>
      <c r="G100" s="118">
        <f ca="1">IFERROR(__xludf.DUMMYFUNCTION("""COMPUTED_VALUE"""),4)</f>
        <v>4</v>
      </c>
      <c r="H100" s="118" t="str">
        <f ca="1">IFERROR(__xludf.DUMMYFUNCTION("""COMPUTED_VALUE"""),"CB")</f>
        <v>CB</v>
      </c>
      <c r="I100" s="118">
        <f ca="1">IFERROR(__xludf.DUMMYFUNCTION("""COMPUTED_VALUE"""),6)</f>
        <v>6</v>
      </c>
      <c r="J100" s="118">
        <f ca="1">IFERROR(__xludf.DUMMYFUNCTION("""COMPUTED_VALUE"""),0)</f>
        <v>0</v>
      </c>
      <c r="K100" s="120"/>
      <c r="L100" s="121"/>
      <c r="M100" s="120"/>
      <c r="N100" s="121"/>
      <c r="O100" s="120"/>
      <c r="P100" s="122"/>
      <c r="Q100" s="123" t="str">
        <f ca="1">IFERROR(__xludf.DUMMYFUNCTION("""COMPUTED_VALUE"""),"Artemisia Hashemi")</f>
        <v>Artemisia Hashemi</v>
      </c>
      <c r="R100" s="123" t="str">
        <f ca="1">IFERROR(__xludf.DUMMYFUNCTION("""COMPUTED_VALUE"""),"Caleb Cherryholmes-Wesley")</f>
        <v>Caleb Cherryholmes-Wesley</v>
      </c>
      <c r="S100" s="123" t="str">
        <f ca="1">IFERROR(__xludf.DUMMYFUNCTION("""COMPUTED_VALUE"""),"Anna Haigh")</f>
        <v>Anna Haigh</v>
      </c>
      <c r="T100" s="123" t="str">
        <f ca="1">IFERROR(__xludf.DUMMYFUNCTION("""COMPUTED_VALUE"""),"Blaise Bailey")</f>
        <v>Blaise Bailey</v>
      </c>
    </row>
    <row r="101" spans="1:20" ht="13.8">
      <c r="A101" s="118" t="str">
        <f ca="1">IFERROR(__xludf.DUMMYFUNCTION("""COMPUTED_VALUE"""),"CB")</f>
        <v>CB</v>
      </c>
      <c r="B101" s="119" t="str">
        <f ca="1">IFERROR(__xludf.DUMMYFUNCTION("""COMPUTED_VALUE"""),"Nora Hall")</f>
        <v>Nora Hall</v>
      </c>
      <c r="C101" s="118">
        <f ca="1">IFERROR(__xludf.DUMMYFUNCTION("""COMPUTED_VALUE"""),11)</f>
        <v>11</v>
      </c>
      <c r="D101" s="118" t="str">
        <f ca="1">IFERROR(__xludf.DUMMYFUNCTION("""COMPUTED_VALUE"""),"G")</f>
        <v>G</v>
      </c>
      <c r="E101" s="118" t="str">
        <f ca="1">IFERROR(__xludf.DUMMYFUNCTION("""COMPUTED_VALUE"""),"J")</f>
        <v>J</v>
      </c>
      <c r="F101" s="118" t="str">
        <f ca="1">IFERROR(__xludf.DUMMYFUNCTION("""COMPUTED_VALUE"""),"I")</f>
        <v>I</v>
      </c>
      <c r="G101" s="118">
        <f ca="1">IFERROR(__xludf.DUMMYFUNCTION("""COMPUTED_VALUE"""),4)</f>
        <v>4</v>
      </c>
      <c r="H101" s="118" t="str">
        <f ca="1">IFERROR(__xludf.DUMMYFUNCTION("""COMPUTED_VALUE"""),"CB")</f>
        <v>CB</v>
      </c>
      <c r="I101" s="118">
        <f ca="1">IFERROR(__xludf.DUMMYFUNCTION("""COMPUTED_VALUE"""),6)</f>
        <v>6</v>
      </c>
      <c r="J101" s="118">
        <f ca="1">IFERROR(__xludf.DUMMYFUNCTION("""COMPUTED_VALUE"""),5)</f>
        <v>5</v>
      </c>
      <c r="K101" s="120">
        <f ca="1">IFERROR(__xludf.DUMMYFUNCTION("""COMPUTED_VALUE"""),80.85)</f>
        <v>80.849999999999994</v>
      </c>
      <c r="L101" s="121"/>
      <c r="M101" s="120">
        <f ca="1">IFERROR(__xludf.DUMMYFUNCTION("""COMPUTED_VALUE"""),64.3)</f>
        <v>64.3</v>
      </c>
      <c r="N101" s="121"/>
      <c r="O101" s="120">
        <f ca="1">IFERROR(__xludf.DUMMYFUNCTION("""COMPUTED_VALUE"""),80.85)</f>
        <v>80.849999999999994</v>
      </c>
      <c r="P101" s="122"/>
      <c r="Q101" s="123" t="str">
        <f ca="1">IFERROR(__xludf.DUMMYFUNCTION("""COMPUTED_VALUE"""),"Arya Bitner")</f>
        <v>Arya Bitner</v>
      </c>
      <c r="R101" s="123" t="str">
        <f ca="1">IFERROR(__xludf.DUMMYFUNCTION("""COMPUTED_VALUE"""),"Callum Pitera")</f>
        <v>Callum Pitera</v>
      </c>
      <c r="S101" s="123" t="str">
        <f ca="1">IFERROR(__xludf.DUMMYFUNCTION("""COMPUTED_VALUE"""),"Anna Hunt")</f>
        <v>Anna Hunt</v>
      </c>
      <c r="T101" s="123" t="str">
        <f ca="1">IFERROR(__xludf.DUMMYFUNCTION("""COMPUTED_VALUE"""),"Blaise Hawley")</f>
        <v>Blaise Hawley</v>
      </c>
    </row>
    <row r="102" spans="1:20" ht="13.8">
      <c r="A102" s="118" t="str">
        <f ca="1">IFERROR(__xludf.DUMMYFUNCTION("""COMPUTED_VALUE"""),"CB")</f>
        <v>CB</v>
      </c>
      <c r="B102" s="119" t="str">
        <f ca="1">IFERROR(__xludf.DUMMYFUNCTION("""COMPUTED_VALUE"""),"Sabrina Mao")</f>
        <v>Sabrina Mao</v>
      </c>
      <c r="C102" s="118">
        <f ca="1">IFERROR(__xludf.DUMMYFUNCTION("""COMPUTED_VALUE"""),11)</f>
        <v>11</v>
      </c>
      <c r="D102" s="118" t="str">
        <f ca="1">IFERROR(__xludf.DUMMYFUNCTION("""COMPUTED_VALUE"""),"G")</f>
        <v>G</v>
      </c>
      <c r="E102" s="118" t="str">
        <f ca="1">IFERROR(__xludf.DUMMYFUNCTION("""COMPUTED_VALUE"""),"J")</f>
        <v>J</v>
      </c>
      <c r="F102" s="118" t="str">
        <f ca="1">IFERROR(__xludf.DUMMYFUNCTION("""COMPUTED_VALUE"""),"I")</f>
        <v>I</v>
      </c>
      <c r="G102" s="118">
        <f ca="1">IFERROR(__xludf.DUMMYFUNCTION("""COMPUTED_VALUE"""),4)</f>
        <v>4</v>
      </c>
      <c r="H102" s="118" t="str">
        <f ca="1">IFERROR(__xludf.DUMMYFUNCTION("""COMPUTED_VALUE"""),"CB")</f>
        <v>CB</v>
      </c>
      <c r="I102" s="118">
        <f ca="1">IFERROR(__xludf.DUMMYFUNCTION("""COMPUTED_VALUE"""),6)</f>
        <v>6</v>
      </c>
      <c r="J102" s="118">
        <f ca="1">IFERROR(__xludf.DUMMYFUNCTION("""COMPUTED_VALUE"""),2)</f>
        <v>2</v>
      </c>
      <c r="K102" s="120">
        <f ca="1">IFERROR(__xludf.DUMMYFUNCTION("""COMPUTED_VALUE"""),88.5)</f>
        <v>88.5</v>
      </c>
      <c r="L102" s="121"/>
      <c r="M102" s="120"/>
      <c r="N102" s="121"/>
      <c r="O102" s="120">
        <f ca="1">IFERROR(__xludf.DUMMYFUNCTION("""COMPUTED_VALUE"""),88.5)</f>
        <v>88.5</v>
      </c>
      <c r="P102" s="122"/>
      <c r="Q102" s="123" t="str">
        <f ca="1">IFERROR(__xludf.DUMMYFUNCTION("""COMPUTED_VALUE"""),"Asha Seeratan Holohan")</f>
        <v>Asha Seeratan Holohan</v>
      </c>
      <c r="R102" s="123" t="str">
        <f ca="1">IFERROR(__xludf.DUMMYFUNCTION("""COMPUTED_VALUE"""),"Calvin Butler")</f>
        <v>Calvin Butler</v>
      </c>
      <c r="S102" s="123" t="str">
        <f ca="1">IFERROR(__xludf.DUMMYFUNCTION("""COMPUTED_VALUE"""),"Anna Kosowski")</f>
        <v>Anna Kosowski</v>
      </c>
      <c r="T102" s="123" t="str">
        <f ca="1">IFERROR(__xludf.DUMMYFUNCTION("""COMPUTED_VALUE"""),"Bobby Ferssizidis")</f>
        <v>Bobby Ferssizidis</v>
      </c>
    </row>
    <row r="103" spans="1:20" ht="13.8">
      <c r="A103" s="118" t="str">
        <f ca="1">IFERROR(__xludf.DUMMYFUNCTION("""COMPUTED_VALUE"""),"CB")</f>
        <v>CB</v>
      </c>
      <c r="B103" s="119" t="str">
        <f ca="1">IFERROR(__xludf.DUMMYFUNCTION("""COMPUTED_VALUE"""),"Sarah Lazarus")</f>
        <v>Sarah Lazarus</v>
      </c>
      <c r="C103" s="118">
        <f ca="1">IFERROR(__xludf.DUMMYFUNCTION("""COMPUTED_VALUE"""),11)</f>
        <v>11</v>
      </c>
      <c r="D103" s="118" t="str">
        <f ca="1">IFERROR(__xludf.DUMMYFUNCTION("""COMPUTED_VALUE"""),"G")</f>
        <v>G</v>
      </c>
      <c r="E103" s="118" t="str">
        <f ca="1">IFERROR(__xludf.DUMMYFUNCTION("""COMPUTED_VALUE"""),"J")</f>
        <v>J</v>
      </c>
      <c r="F103" s="118" t="str">
        <f ca="1">IFERROR(__xludf.DUMMYFUNCTION("""COMPUTED_VALUE"""),"I")</f>
        <v>I</v>
      </c>
      <c r="G103" s="118">
        <f ca="1">IFERROR(__xludf.DUMMYFUNCTION("""COMPUTED_VALUE"""),4)</f>
        <v>4</v>
      </c>
      <c r="H103" s="118" t="str">
        <f ca="1">IFERROR(__xludf.DUMMYFUNCTION("""COMPUTED_VALUE"""),"CB")</f>
        <v>CB</v>
      </c>
      <c r="I103" s="118">
        <f ca="1">IFERROR(__xludf.DUMMYFUNCTION("""COMPUTED_VALUE"""),6)</f>
        <v>6</v>
      </c>
      <c r="J103" s="118">
        <f ca="1">IFERROR(__xludf.DUMMYFUNCTION("""COMPUTED_VALUE"""),0)</f>
        <v>0</v>
      </c>
      <c r="K103" s="120"/>
      <c r="L103" s="121"/>
      <c r="M103" s="120"/>
      <c r="N103" s="121"/>
      <c r="O103" s="120"/>
      <c r="P103" s="122"/>
      <c r="Q103" s="123" t="str">
        <f ca="1">IFERROR(__xludf.DUMMYFUNCTION("""COMPUTED_VALUE"""),"Ashley Alizadeh")</f>
        <v>Ashley Alizadeh</v>
      </c>
      <c r="R103" s="123" t="str">
        <f ca="1">IFERROR(__xludf.DUMMYFUNCTION("""COMPUTED_VALUE"""),"Camden Daftari")</f>
        <v>Camden Daftari</v>
      </c>
      <c r="S103" s="123" t="str">
        <f ca="1">IFERROR(__xludf.DUMMYFUNCTION("""COMPUTED_VALUE"""),"Anna Pereira Kim")</f>
        <v>Anna Pereira Kim</v>
      </c>
      <c r="T103" s="123" t="str">
        <f ca="1">IFERROR(__xludf.DUMMYFUNCTION("""COMPUTED_VALUE"""),"Bode Lamkin")</f>
        <v>Bode Lamkin</v>
      </c>
    </row>
    <row r="104" spans="1:20" ht="13.8">
      <c r="A104" s="118" t="str">
        <f ca="1">IFERROR(__xludf.DUMMYFUNCTION("""COMPUTED_VALUE"""),"CB")</f>
        <v>CB</v>
      </c>
      <c r="B104" s="119" t="str">
        <f ca="1">IFERROR(__xludf.DUMMYFUNCTION("""COMPUTED_VALUE"""),"Charlie Rogers")</f>
        <v>Charlie Rogers</v>
      </c>
      <c r="C104" s="118">
        <f ca="1">IFERROR(__xludf.DUMMYFUNCTION("""COMPUTED_VALUE"""),11)</f>
        <v>11</v>
      </c>
      <c r="D104" s="118" t="str">
        <f ca="1">IFERROR(__xludf.DUMMYFUNCTION("""COMPUTED_VALUE"""),"B")</f>
        <v>B</v>
      </c>
      <c r="E104" s="118" t="str">
        <f ca="1">IFERROR(__xludf.DUMMYFUNCTION("""COMPUTED_VALUE"""),"J")</f>
        <v>J</v>
      </c>
      <c r="F104" s="118" t="str">
        <f ca="1">IFERROR(__xludf.DUMMYFUNCTION("""COMPUTED_VALUE"""),"I")</f>
        <v>I</v>
      </c>
      <c r="G104" s="118">
        <f ca="1">IFERROR(__xludf.DUMMYFUNCTION("""COMPUTED_VALUE"""),4)</f>
        <v>4</v>
      </c>
      <c r="H104" s="118" t="str">
        <f ca="1">IFERROR(__xludf.DUMMYFUNCTION("""COMPUTED_VALUE"""),"CB")</f>
        <v>CB</v>
      </c>
      <c r="I104" s="118">
        <f ca="1">IFERROR(__xludf.DUMMYFUNCTION("""COMPUTED_VALUE"""),7)</f>
        <v>7</v>
      </c>
      <c r="J104" s="118">
        <f ca="1">IFERROR(__xludf.DUMMYFUNCTION("""COMPUTED_VALUE"""),1)</f>
        <v>1</v>
      </c>
      <c r="K104" s="120">
        <f ca="1">IFERROR(__xludf.DUMMYFUNCTION("""COMPUTED_VALUE"""),67.15)</f>
        <v>67.150000000000006</v>
      </c>
      <c r="L104" s="121"/>
      <c r="M104" s="120">
        <f ca="1">IFERROR(__xludf.DUMMYFUNCTION("""COMPUTED_VALUE"""),67.15)</f>
        <v>67.150000000000006</v>
      </c>
      <c r="N104" s="121"/>
      <c r="O104" s="120"/>
      <c r="P104" s="122"/>
      <c r="Q104" s="123" t="str">
        <f ca="1">IFERROR(__xludf.DUMMYFUNCTION("""COMPUTED_VALUE"""),"Aubrey Chaleunrath")</f>
        <v>Aubrey Chaleunrath</v>
      </c>
      <c r="R104" s="123" t="str">
        <f ca="1">IFERROR(__xludf.DUMMYFUNCTION("""COMPUTED_VALUE"""),"Cameron Cohen")</f>
        <v>Cameron Cohen</v>
      </c>
      <c r="S104" s="123" t="str">
        <f ca="1">IFERROR(__xludf.DUMMYFUNCTION("""COMPUTED_VALUE"""),"Anna Shrieves")</f>
        <v>Anna Shrieves</v>
      </c>
      <c r="T104" s="123" t="str">
        <f ca="1">IFERROR(__xludf.DUMMYFUNCTION("""COMPUTED_VALUE"""),"Bode Pierce")</f>
        <v>Bode Pierce</v>
      </c>
    </row>
    <row r="105" spans="1:20" ht="13.8">
      <c r="A105" s="118" t="str">
        <f ca="1">IFERROR(__xludf.DUMMYFUNCTION("""COMPUTED_VALUE"""),"CB")</f>
        <v>CB</v>
      </c>
      <c r="B105" s="119" t="str">
        <f ca="1">IFERROR(__xludf.DUMMYFUNCTION("""COMPUTED_VALUE"""),"Christopher Neumann")</f>
        <v>Christopher Neumann</v>
      </c>
      <c r="C105" s="118">
        <f ca="1">IFERROR(__xludf.DUMMYFUNCTION("""COMPUTED_VALUE"""),11)</f>
        <v>11</v>
      </c>
      <c r="D105" s="118" t="str">
        <f ca="1">IFERROR(__xludf.DUMMYFUNCTION("""COMPUTED_VALUE"""),"B")</f>
        <v>B</v>
      </c>
      <c r="E105" s="118" t="str">
        <f ca="1">IFERROR(__xludf.DUMMYFUNCTION("""COMPUTED_VALUE"""),"J")</f>
        <v>J</v>
      </c>
      <c r="F105" s="118" t="str">
        <f ca="1">IFERROR(__xludf.DUMMYFUNCTION("""COMPUTED_VALUE"""),"I")</f>
        <v>I</v>
      </c>
      <c r="G105" s="118">
        <f ca="1">IFERROR(__xludf.DUMMYFUNCTION("""COMPUTED_VALUE"""),4)</f>
        <v>4</v>
      </c>
      <c r="H105" s="118" t="str">
        <f ca="1">IFERROR(__xludf.DUMMYFUNCTION("""COMPUTED_VALUE"""),"CB")</f>
        <v>CB</v>
      </c>
      <c r="I105" s="118">
        <f ca="1">IFERROR(__xludf.DUMMYFUNCTION("""COMPUTED_VALUE"""),7)</f>
        <v>7</v>
      </c>
      <c r="J105" s="118">
        <f ca="1">IFERROR(__xludf.DUMMYFUNCTION("""COMPUTED_VALUE"""),3)</f>
        <v>3</v>
      </c>
      <c r="K105" s="120">
        <f ca="1">IFERROR(__xludf.DUMMYFUNCTION("""COMPUTED_VALUE"""),95.25)</f>
        <v>95.25</v>
      </c>
      <c r="L105" s="121"/>
      <c r="M105" s="120">
        <f ca="1">IFERROR(__xludf.DUMMYFUNCTION("""COMPUTED_VALUE"""),94.25)</f>
        <v>94.25</v>
      </c>
      <c r="N105" s="121"/>
      <c r="O105" s="120"/>
      <c r="P105" s="122"/>
      <c r="Q105" s="123" t="str">
        <f ca="1">IFERROR(__xludf.DUMMYFUNCTION("""COMPUTED_VALUE"""),"Audrey Cusner")</f>
        <v>Audrey Cusner</v>
      </c>
      <c r="R105" s="123" t="str">
        <f ca="1">IFERROR(__xludf.DUMMYFUNCTION("""COMPUTED_VALUE"""),"Cameron Effgen")</f>
        <v>Cameron Effgen</v>
      </c>
      <c r="S105" s="123" t="str">
        <f ca="1">IFERROR(__xludf.DUMMYFUNCTION("""COMPUTED_VALUE"""),"Anna Silver")</f>
        <v>Anna Silver</v>
      </c>
      <c r="T105" s="123" t="str">
        <f ca="1">IFERROR(__xludf.DUMMYFUNCTION("""COMPUTED_VALUE"""),"Bodhi Bailey")</f>
        <v>Bodhi Bailey</v>
      </c>
    </row>
    <row r="106" spans="1:20" ht="13.8">
      <c r="A106" s="118" t="str">
        <f ca="1">IFERROR(__xludf.DUMMYFUNCTION("""COMPUTED_VALUE"""),"CB")</f>
        <v>CB</v>
      </c>
      <c r="B106" s="119" t="str">
        <f ca="1">IFERROR(__xludf.DUMMYFUNCTION("""COMPUTED_VALUE"""),"Edison Tan")</f>
        <v>Edison Tan</v>
      </c>
      <c r="C106" s="118">
        <f ca="1">IFERROR(__xludf.DUMMYFUNCTION("""COMPUTED_VALUE"""),12)</f>
        <v>12</v>
      </c>
      <c r="D106" s="118" t="str">
        <f ca="1">IFERROR(__xludf.DUMMYFUNCTION("""COMPUTED_VALUE"""),"B")</f>
        <v>B</v>
      </c>
      <c r="E106" s="118" t="str">
        <f ca="1">IFERROR(__xludf.DUMMYFUNCTION("""COMPUTED_VALUE"""),"J")</f>
        <v>J</v>
      </c>
      <c r="F106" s="118" t="str">
        <f ca="1">IFERROR(__xludf.DUMMYFUNCTION("""COMPUTED_VALUE"""),"I")</f>
        <v>I</v>
      </c>
      <c r="G106" s="118">
        <f ca="1">IFERROR(__xludf.DUMMYFUNCTION("""COMPUTED_VALUE"""),4)</f>
        <v>4</v>
      </c>
      <c r="H106" s="118" t="str">
        <f ca="1">IFERROR(__xludf.DUMMYFUNCTION("""COMPUTED_VALUE"""),"CB")</f>
        <v>CB</v>
      </c>
      <c r="I106" s="118">
        <f ca="1">IFERROR(__xludf.DUMMYFUNCTION("""COMPUTED_VALUE"""),7)</f>
        <v>7</v>
      </c>
      <c r="J106" s="118">
        <f ca="1">IFERROR(__xludf.DUMMYFUNCTION("""COMPUTED_VALUE"""),5)</f>
        <v>5</v>
      </c>
      <c r="K106" s="120">
        <f ca="1">IFERROR(__xludf.DUMMYFUNCTION("""COMPUTED_VALUE"""),95)</f>
        <v>95</v>
      </c>
      <c r="L106" s="121"/>
      <c r="M106" s="120">
        <f ca="1">IFERROR(__xludf.DUMMYFUNCTION("""COMPUTED_VALUE"""),88.5)</f>
        <v>88.5</v>
      </c>
      <c r="N106" s="121"/>
      <c r="O106" s="120">
        <f ca="1">IFERROR(__xludf.DUMMYFUNCTION("""COMPUTED_VALUE"""),95)</f>
        <v>95</v>
      </c>
      <c r="P106" s="122"/>
      <c r="Q106" s="123" t="str">
        <f ca="1">IFERROR(__xludf.DUMMYFUNCTION("""COMPUTED_VALUE"""),"Audrey Fleming")</f>
        <v>Audrey Fleming</v>
      </c>
      <c r="R106" s="123" t="str">
        <f ca="1">IFERROR(__xludf.DUMMYFUNCTION("""COMPUTED_VALUE"""),"Cameron Pitera")</f>
        <v>Cameron Pitera</v>
      </c>
      <c r="S106" s="123" t="str">
        <f ca="1">IFERROR(__xludf.DUMMYFUNCTION("""COMPUTED_VALUE"""),"Anna Walsh")</f>
        <v>Anna Walsh</v>
      </c>
      <c r="T106" s="123" t="str">
        <f ca="1">IFERROR(__xludf.DUMMYFUNCTION("""COMPUTED_VALUE"""),"Boone Dean")</f>
        <v>Boone Dean</v>
      </c>
    </row>
    <row r="107" spans="1:20" ht="13.8">
      <c r="A107" s="118" t="str">
        <f ca="1">IFERROR(__xludf.DUMMYFUNCTION("""COMPUTED_VALUE"""),"CB")</f>
        <v>CB</v>
      </c>
      <c r="B107" s="119" t="str">
        <f ca="1">IFERROR(__xludf.DUMMYFUNCTION("""COMPUTED_VALUE"""),"Edward Wang")</f>
        <v>Edward Wang</v>
      </c>
      <c r="C107" s="118">
        <f ca="1">IFERROR(__xludf.DUMMYFUNCTION("""COMPUTED_VALUE"""),12)</f>
        <v>12</v>
      </c>
      <c r="D107" s="118" t="str">
        <f ca="1">IFERROR(__xludf.DUMMYFUNCTION("""COMPUTED_VALUE"""),"B")</f>
        <v>B</v>
      </c>
      <c r="E107" s="118" t="str">
        <f ca="1">IFERROR(__xludf.DUMMYFUNCTION("""COMPUTED_VALUE"""),"J")</f>
        <v>J</v>
      </c>
      <c r="F107" s="118" t="str">
        <f ca="1">IFERROR(__xludf.DUMMYFUNCTION("""COMPUTED_VALUE"""),"I")</f>
        <v>I</v>
      </c>
      <c r="G107" s="118">
        <f ca="1">IFERROR(__xludf.DUMMYFUNCTION("""COMPUTED_VALUE"""),4)</f>
        <v>4</v>
      </c>
      <c r="H107" s="118" t="str">
        <f ca="1">IFERROR(__xludf.DUMMYFUNCTION("""COMPUTED_VALUE"""),"CB")</f>
        <v>CB</v>
      </c>
      <c r="I107" s="118">
        <f ca="1">IFERROR(__xludf.DUMMYFUNCTION("""COMPUTED_VALUE"""),7)</f>
        <v>7</v>
      </c>
      <c r="J107" s="118">
        <f ca="1">IFERROR(__xludf.DUMMYFUNCTION("""COMPUTED_VALUE"""),0)</f>
        <v>0</v>
      </c>
      <c r="K107" s="120"/>
      <c r="L107" s="121"/>
      <c r="M107" s="120"/>
      <c r="N107" s="121"/>
      <c r="O107" s="120"/>
      <c r="P107" s="122"/>
      <c r="Q107" s="123" t="str">
        <f ca="1">IFERROR(__xludf.DUMMYFUNCTION("""COMPUTED_VALUE"""),"Audrey Hammond")</f>
        <v>Audrey Hammond</v>
      </c>
      <c r="R107" s="123" t="str">
        <f ca="1">IFERROR(__xludf.DUMMYFUNCTION("""COMPUTED_VALUE"""),"Carlos Manuel Iguina Espinoza")</f>
        <v>Carlos Manuel Iguina Espinoza</v>
      </c>
      <c r="S107" s="123" t="str">
        <f ca="1">IFERROR(__xludf.DUMMYFUNCTION("""COMPUTED_VALUE"""),"Anna Zrembski")</f>
        <v>Anna Zrembski</v>
      </c>
      <c r="T107" s="123" t="str">
        <f ca="1">IFERROR(__xludf.DUMMYFUNCTION("""COMPUTED_VALUE"""),"Booth Mitchell")</f>
        <v>Booth Mitchell</v>
      </c>
    </row>
    <row r="108" spans="1:20" ht="13.8">
      <c r="A108" s="118" t="str">
        <f ca="1">IFERROR(__xludf.DUMMYFUNCTION("""COMPUTED_VALUE"""),"CB")</f>
        <v>CB</v>
      </c>
      <c r="B108" s="119" t="str">
        <f ca="1">IFERROR(__xludf.DUMMYFUNCTION("""COMPUTED_VALUE"""),"Joseph Neumann")</f>
        <v>Joseph Neumann</v>
      </c>
      <c r="C108" s="118">
        <f ca="1">IFERROR(__xludf.DUMMYFUNCTION("""COMPUTED_VALUE"""),11)</f>
        <v>11</v>
      </c>
      <c r="D108" s="118" t="str">
        <f ca="1">IFERROR(__xludf.DUMMYFUNCTION("""COMPUTED_VALUE"""),"B")</f>
        <v>B</v>
      </c>
      <c r="E108" s="118" t="str">
        <f ca="1">IFERROR(__xludf.DUMMYFUNCTION("""COMPUTED_VALUE"""),"J")</f>
        <v>J</v>
      </c>
      <c r="F108" s="118" t="str">
        <f ca="1">IFERROR(__xludf.DUMMYFUNCTION("""COMPUTED_VALUE"""),"I")</f>
        <v>I</v>
      </c>
      <c r="G108" s="118">
        <f ca="1">IFERROR(__xludf.DUMMYFUNCTION("""COMPUTED_VALUE"""),4)</f>
        <v>4</v>
      </c>
      <c r="H108" s="118" t="str">
        <f ca="1">IFERROR(__xludf.DUMMYFUNCTION("""COMPUTED_VALUE"""),"CB")</f>
        <v>CB</v>
      </c>
      <c r="I108" s="118">
        <f ca="1">IFERROR(__xludf.DUMMYFUNCTION("""COMPUTED_VALUE"""),7)</f>
        <v>7</v>
      </c>
      <c r="J108" s="118">
        <f ca="1">IFERROR(__xludf.DUMMYFUNCTION("""COMPUTED_VALUE"""),3)</f>
        <v>3</v>
      </c>
      <c r="K108" s="120">
        <f ca="1">IFERROR(__xludf.DUMMYFUNCTION("""COMPUTED_VALUE"""),81.35)</f>
        <v>81.349999999999994</v>
      </c>
      <c r="L108" s="121"/>
      <c r="M108" s="120">
        <f ca="1">IFERROR(__xludf.DUMMYFUNCTION("""COMPUTED_VALUE"""),77.65)</f>
        <v>77.650000000000006</v>
      </c>
      <c r="N108" s="121"/>
      <c r="O108" s="120"/>
      <c r="P108" s="122"/>
      <c r="Q108" s="123" t="str">
        <f ca="1">IFERROR(__xludf.DUMMYFUNCTION("""COMPUTED_VALUE"""),"Audrey Jacob")</f>
        <v>Audrey Jacob</v>
      </c>
      <c r="R108" s="123" t="str">
        <f ca="1">IFERROR(__xludf.DUMMYFUNCTION("""COMPUTED_VALUE"""),"Carson Shreckhise")</f>
        <v>Carson Shreckhise</v>
      </c>
      <c r="S108" s="123" t="str">
        <f ca="1">IFERROR(__xludf.DUMMYFUNCTION("""COMPUTED_VALUE"""),"Annabel Manegold")</f>
        <v>Annabel Manegold</v>
      </c>
      <c r="T108" s="123" t="str">
        <f ca="1">IFERROR(__xludf.DUMMYFUNCTION("""COMPUTED_VALUE"""),"Braden Healey")</f>
        <v>Braden Healey</v>
      </c>
    </row>
    <row r="109" spans="1:20" ht="13.8">
      <c r="A109" s="118" t="str">
        <f ca="1">IFERROR(__xludf.DUMMYFUNCTION("""COMPUTED_VALUE"""),"CB")</f>
        <v>CB</v>
      </c>
      <c r="B109" s="119" t="str">
        <f ca="1">IFERROR(__xludf.DUMMYFUNCTION("""COMPUTED_VALUE"""),"Erika Noreika")</f>
        <v>Erika Noreika</v>
      </c>
      <c r="C109" s="118">
        <f ca="1">IFERROR(__xludf.DUMMYFUNCTION("""COMPUTED_VALUE"""),14)</f>
        <v>14</v>
      </c>
      <c r="D109" s="118" t="str">
        <f ca="1">IFERROR(__xludf.DUMMYFUNCTION("""COMPUTED_VALUE"""),"G")</f>
        <v>G</v>
      </c>
      <c r="E109" s="118" t="str">
        <f ca="1">IFERROR(__xludf.DUMMYFUNCTION("""COMPUTED_VALUE"""),"I")</f>
        <v>I</v>
      </c>
      <c r="F109" s="118" t="str">
        <f ca="1">IFERROR(__xludf.DUMMYFUNCTION("""COMPUTED_VALUE"""),"S")</f>
        <v>S</v>
      </c>
      <c r="G109" s="118">
        <f ca="1">IFERROR(__xludf.DUMMYFUNCTION("""COMPUTED_VALUE"""),4)</f>
        <v>4</v>
      </c>
      <c r="H109" s="118" t="str">
        <f ca="1">IFERROR(__xludf.DUMMYFUNCTION("""COMPUTED_VALUE"""),"CB")</f>
        <v>CB</v>
      </c>
      <c r="I109" s="118">
        <f ca="1">IFERROR(__xludf.DUMMYFUNCTION("""COMPUTED_VALUE"""),8)</f>
        <v>8</v>
      </c>
      <c r="J109" s="118">
        <f ca="1">IFERROR(__xludf.DUMMYFUNCTION("""COMPUTED_VALUE"""),5)</f>
        <v>5</v>
      </c>
      <c r="K109" s="120">
        <f ca="1">IFERROR(__xludf.DUMMYFUNCTION("""COMPUTED_VALUE"""),109.4)</f>
        <v>109.4</v>
      </c>
      <c r="L109" s="121"/>
      <c r="M109" s="120">
        <f ca="1">IFERROR(__xludf.DUMMYFUNCTION("""COMPUTED_VALUE"""),99.4)</f>
        <v>99.4</v>
      </c>
      <c r="N109" s="121"/>
      <c r="O109" s="120">
        <f ca="1">IFERROR(__xludf.DUMMYFUNCTION("""COMPUTED_VALUE"""),109.4)</f>
        <v>109.4</v>
      </c>
      <c r="P109" s="122"/>
      <c r="Q109" s="123" t="str">
        <f ca="1">IFERROR(__xludf.DUMMYFUNCTION("""COMPUTED_VALUE"""),"Audrey Kuoh")</f>
        <v>Audrey Kuoh</v>
      </c>
      <c r="R109" s="123" t="str">
        <f ca="1">IFERROR(__xludf.DUMMYFUNCTION("""COMPUTED_VALUE"""),"Carter Huey")</f>
        <v>Carter Huey</v>
      </c>
      <c r="S109" s="123" t="str">
        <f ca="1">IFERROR(__xludf.DUMMYFUNCTION("""COMPUTED_VALUE"""),"Annabel Rider")</f>
        <v>Annabel Rider</v>
      </c>
      <c r="T109" s="123" t="str">
        <f ca="1">IFERROR(__xludf.DUMMYFUNCTION("""COMPUTED_VALUE"""),"Bradley Barry")</f>
        <v>Bradley Barry</v>
      </c>
    </row>
    <row r="110" spans="1:20" ht="13.8">
      <c r="A110" s="118" t="str">
        <f ca="1">IFERROR(__xludf.DUMMYFUNCTION("""COMPUTED_VALUE"""),"CB")</f>
        <v>CB</v>
      </c>
      <c r="B110" s="119" t="str">
        <f ca="1">IFERROR(__xludf.DUMMYFUNCTION("""COMPUTED_VALUE"""),"Gabby Gallagher")</f>
        <v>Gabby Gallagher</v>
      </c>
      <c r="C110" s="118">
        <f ca="1">IFERROR(__xludf.DUMMYFUNCTION("""COMPUTED_VALUE"""),13)</f>
        <v>13</v>
      </c>
      <c r="D110" s="118" t="str">
        <f ca="1">IFERROR(__xludf.DUMMYFUNCTION("""COMPUTED_VALUE"""),"G")</f>
        <v>G</v>
      </c>
      <c r="E110" s="118" t="str">
        <f ca="1">IFERROR(__xludf.DUMMYFUNCTION("""COMPUTED_VALUE"""),"I")</f>
        <v>I</v>
      </c>
      <c r="F110" s="118" t="str">
        <f ca="1">IFERROR(__xludf.DUMMYFUNCTION("""COMPUTED_VALUE"""),"S")</f>
        <v>S</v>
      </c>
      <c r="G110" s="118">
        <f ca="1">IFERROR(__xludf.DUMMYFUNCTION("""COMPUTED_VALUE"""),4)</f>
        <v>4</v>
      </c>
      <c r="H110" s="118" t="str">
        <f ca="1">IFERROR(__xludf.DUMMYFUNCTION("""COMPUTED_VALUE"""),"CB")</f>
        <v>CB</v>
      </c>
      <c r="I110" s="118">
        <f ca="1">IFERROR(__xludf.DUMMYFUNCTION("""COMPUTED_VALUE"""),8)</f>
        <v>8</v>
      </c>
      <c r="J110" s="118">
        <f ca="1">IFERROR(__xludf.DUMMYFUNCTION("""COMPUTED_VALUE"""),0)</f>
        <v>0</v>
      </c>
      <c r="K110" s="120"/>
      <c r="L110" s="121"/>
      <c r="M110" s="120"/>
      <c r="N110" s="121"/>
      <c r="O110" s="120"/>
      <c r="P110" s="122"/>
      <c r="Q110" s="123" t="str">
        <f ca="1">IFERROR(__xludf.DUMMYFUNCTION("""COMPUTED_VALUE"""),"Audrey Magolies")</f>
        <v>Audrey Magolies</v>
      </c>
      <c r="R110" s="123" t="str">
        <f ca="1">IFERROR(__xludf.DUMMYFUNCTION("""COMPUTED_VALUE"""),"Carter Williams")</f>
        <v>Carter Williams</v>
      </c>
      <c r="S110" s="123" t="str">
        <f ca="1">IFERROR(__xludf.DUMMYFUNCTION("""COMPUTED_VALUE"""),"Annabelle Ebaugh")</f>
        <v>Annabelle Ebaugh</v>
      </c>
      <c r="T110" s="123" t="str">
        <f ca="1">IFERROR(__xludf.DUMMYFUNCTION("""COMPUTED_VALUE"""),"Bradley Johnson")</f>
        <v>Bradley Johnson</v>
      </c>
    </row>
    <row r="111" spans="1:20" ht="13.8">
      <c r="A111" s="118" t="str">
        <f ca="1">IFERROR(__xludf.DUMMYFUNCTION("""COMPUTED_VALUE"""),"CB")</f>
        <v>CB</v>
      </c>
      <c r="B111" s="119" t="str">
        <f ca="1">IFERROR(__xludf.DUMMYFUNCTION("""COMPUTED_VALUE"""),"Julieanne Carle")</f>
        <v>Julieanne Carle</v>
      </c>
      <c r="C111" s="118">
        <f ca="1">IFERROR(__xludf.DUMMYFUNCTION("""COMPUTED_VALUE"""),13)</f>
        <v>13</v>
      </c>
      <c r="D111" s="118" t="str">
        <f ca="1">IFERROR(__xludf.DUMMYFUNCTION("""COMPUTED_VALUE"""),"G")</f>
        <v>G</v>
      </c>
      <c r="E111" s="118" t="str">
        <f ca="1">IFERROR(__xludf.DUMMYFUNCTION("""COMPUTED_VALUE"""),"I")</f>
        <v>I</v>
      </c>
      <c r="F111" s="118" t="str">
        <f ca="1">IFERROR(__xludf.DUMMYFUNCTION("""COMPUTED_VALUE"""),"S")</f>
        <v>S</v>
      </c>
      <c r="G111" s="118">
        <f ca="1">IFERROR(__xludf.DUMMYFUNCTION("""COMPUTED_VALUE"""),4)</f>
        <v>4</v>
      </c>
      <c r="H111" s="118" t="str">
        <f ca="1">IFERROR(__xludf.DUMMYFUNCTION("""COMPUTED_VALUE"""),"CB")</f>
        <v>CB</v>
      </c>
      <c r="I111" s="118">
        <f ca="1">IFERROR(__xludf.DUMMYFUNCTION("""COMPUTED_VALUE"""),8)</f>
        <v>8</v>
      </c>
      <c r="J111" s="118">
        <f ca="1">IFERROR(__xludf.DUMMYFUNCTION("""COMPUTED_VALUE"""),3)</f>
        <v>3</v>
      </c>
      <c r="K111" s="120">
        <f ca="1">IFERROR(__xludf.DUMMYFUNCTION("""COMPUTED_VALUE"""),108.85)</f>
        <v>108.85</v>
      </c>
      <c r="L111" s="121"/>
      <c r="M111" s="120"/>
      <c r="N111" s="121"/>
      <c r="O111" s="120"/>
      <c r="P111" s="122"/>
      <c r="Q111" s="123" t="str">
        <f ca="1">IFERROR(__xludf.DUMMYFUNCTION("""COMPUTED_VALUE"""),"Audrey McGeorge")</f>
        <v>Audrey McGeorge</v>
      </c>
      <c r="R111" s="123" t="str">
        <f ca="1">IFERROR(__xludf.DUMMYFUNCTION("""COMPUTED_VALUE"""),"Cavan Telleen")</f>
        <v>Cavan Telleen</v>
      </c>
      <c r="S111" s="123" t="str">
        <f ca="1">IFERROR(__xludf.DUMMYFUNCTION("""COMPUTED_VALUE"""),"Annabelle Freshman")</f>
        <v>Annabelle Freshman</v>
      </c>
      <c r="T111" s="123" t="str">
        <f ca="1">IFERROR(__xludf.DUMMYFUNCTION("""COMPUTED_VALUE"""),"Bradyn Brooks")</f>
        <v>Bradyn Brooks</v>
      </c>
    </row>
    <row r="112" spans="1:20" ht="13.8">
      <c r="A112" s="118" t="str">
        <f ca="1">IFERROR(__xludf.DUMMYFUNCTION("""COMPUTED_VALUE"""),"CB")</f>
        <v>CB</v>
      </c>
      <c r="B112" s="119" t="str">
        <f ca="1">IFERROR(__xludf.DUMMYFUNCTION("""COMPUTED_VALUE"""),"Lilah Gallagher")</f>
        <v>Lilah Gallagher</v>
      </c>
      <c r="C112" s="118">
        <f ca="1">IFERROR(__xludf.DUMMYFUNCTION("""COMPUTED_VALUE"""),13)</f>
        <v>13</v>
      </c>
      <c r="D112" s="118" t="str">
        <f ca="1">IFERROR(__xludf.DUMMYFUNCTION("""COMPUTED_VALUE"""),"G")</f>
        <v>G</v>
      </c>
      <c r="E112" s="118" t="str">
        <f ca="1">IFERROR(__xludf.DUMMYFUNCTION("""COMPUTED_VALUE"""),"I")</f>
        <v>I</v>
      </c>
      <c r="F112" s="118" t="str">
        <f ca="1">IFERROR(__xludf.DUMMYFUNCTION("""COMPUTED_VALUE"""),"S")</f>
        <v>S</v>
      </c>
      <c r="G112" s="118">
        <f ca="1">IFERROR(__xludf.DUMMYFUNCTION("""COMPUTED_VALUE"""),4)</f>
        <v>4</v>
      </c>
      <c r="H112" s="118" t="str">
        <f ca="1">IFERROR(__xludf.DUMMYFUNCTION("""COMPUTED_VALUE"""),"CB")</f>
        <v>CB</v>
      </c>
      <c r="I112" s="118">
        <f ca="1">IFERROR(__xludf.DUMMYFUNCTION("""COMPUTED_VALUE"""),8)</f>
        <v>8</v>
      </c>
      <c r="J112" s="118">
        <f ca="1">IFERROR(__xludf.DUMMYFUNCTION("""COMPUTED_VALUE"""),0)</f>
        <v>0</v>
      </c>
      <c r="K112" s="120"/>
      <c r="L112" s="121"/>
      <c r="M112" s="120"/>
      <c r="N112" s="121"/>
      <c r="O112" s="120"/>
      <c r="P112" s="122"/>
      <c r="Q112" s="123" t="str">
        <f ca="1">IFERROR(__xludf.DUMMYFUNCTION("""COMPUTED_VALUE"""),"Audrey Mitchell")</f>
        <v>Audrey Mitchell</v>
      </c>
      <c r="R112" s="123" t="str">
        <f ca="1">IFERROR(__xludf.DUMMYFUNCTION("""COMPUTED_VALUE"""),"Cedar Lee")</f>
        <v>Cedar Lee</v>
      </c>
      <c r="S112" s="123" t="str">
        <f ca="1">IFERROR(__xludf.DUMMYFUNCTION("""COMPUTED_VALUE"""),"Annabeth Volosin")</f>
        <v>Annabeth Volosin</v>
      </c>
      <c r="T112" s="123" t="str">
        <f ca="1">IFERROR(__xludf.DUMMYFUNCTION("""COMPUTED_VALUE"""),"Brandon Dasch")</f>
        <v>Brandon Dasch</v>
      </c>
    </row>
    <row r="113" spans="1:20" ht="13.8">
      <c r="A113" s="118" t="str">
        <f ca="1">IFERROR(__xludf.DUMMYFUNCTION("""COMPUTED_VALUE"""),"CB")</f>
        <v>CB</v>
      </c>
      <c r="B113" s="119" t="str">
        <f ca="1">IFERROR(__xludf.DUMMYFUNCTION("""COMPUTED_VALUE"""),"Lyrics Chen")</f>
        <v>Lyrics Chen</v>
      </c>
      <c r="C113" s="118">
        <f ca="1">IFERROR(__xludf.DUMMYFUNCTION("""COMPUTED_VALUE"""),13)</f>
        <v>13</v>
      </c>
      <c r="D113" s="118" t="str">
        <f ca="1">IFERROR(__xludf.DUMMYFUNCTION("""COMPUTED_VALUE"""),"G")</f>
        <v>G</v>
      </c>
      <c r="E113" s="118" t="str">
        <f ca="1">IFERROR(__xludf.DUMMYFUNCTION("""COMPUTED_VALUE"""),"I")</f>
        <v>I</v>
      </c>
      <c r="F113" s="118" t="str">
        <f ca="1">IFERROR(__xludf.DUMMYFUNCTION("""COMPUTED_VALUE"""),"S")</f>
        <v>S</v>
      </c>
      <c r="G113" s="118">
        <f ca="1">IFERROR(__xludf.DUMMYFUNCTION("""COMPUTED_VALUE"""),4)</f>
        <v>4</v>
      </c>
      <c r="H113" s="118" t="str">
        <f ca="1">IFERROR(__xludf.DUMMYFUNCTION("""COMPUTED_VALUE"""),"CB")</f>
        <v>CB</v>
      </c>
      <c r="I113" s="118">
        <f ca="1">IFERROR(__xludf.DUMMYFUNCTION("""COMPUTED_VALUE"""),8)</f>
        <v>8</v>
      </c>
      <c r="J113" s="118">
        <f ca="1">IFERROR(__xludf.DUMMYFUNCTION("""COMPUTED_VALUE"""),0)</f>
        <v>0</v>
      </c>
      <c r="K113" s="120"/>
      <c r="L113" s="121"/>
      <c r="M113" s="120"/>
      <c r="N113" s="121"/>
      <c r="O113" s="120"/>
      <c r="P113" s="122"/>
      <c r="Q113" s="123" t="str">
        <f ca="1">IFERROR(__xludf.DUMMYFUNCTION("""COMPUTED_VALUE"""),"Audrey Moore")</f>
        <v>Audrey Moore</v>
      </c>
      <c r="R113" s="123" t="str">
        <f ca="1">IFERROR(__xludf.DUMMYFUNCTION("""COMPUTED_VALUE"""),"Chanler Majiros")</f>
        <v>Chanler Majiros</v>
      </c>
      <c r="S113" s="123" t="str">
        <f ca="1">IFERROR(__xludf.DUMMYFUNCTION("""COMPUTED_VALUE"""),"Anne Marie Cummings")</f>
        <v>Anne Marie Cummings</v>
      </c>
      <c r="T113" s="123" t="str">
        <f ca="1">IFERROR(__xludf.DUMMYFUNCTION("""COMPUTED_VALUE"""),"Brandon HO")</f>
        <v>Brandon HO</v>
      </c>
    </row>
    <row r="114" spans="1:20" ht="13.8">
      <c r="A114" s="118" t="str">
        <f ca="1">IFERROR(__xludf.DUMMYFUNCTION("""COMPUTED_VALUE"""),"CB")</f>
        <v>CB</v>
      </c>
      <c r="B114" s="119" t="str">
        <f ca="1">IFERROR(__xludf.DUMMYFUNCTION("""COMPUTED_VALUE"""),"Marie Christofferson")</f>
        <v>Marie Christofferson</v>
      </c>
      <c r="C114" s="118">
        <f ca="1">IFERROR(__xludf.DUMMYFUNCTION("""COMPUTED_VALUE"""),14)</f>
        <v>14</v>
      </c>
      <c r="D114" s="118" t="str">
        <f ca="1">IFERROR(__xludf.DUMMYFUNCTION("""COMPUTED_VALUE"""),"G")</f>
        <v>G</v>
      </c>
      <c r="E114" s="118" t="str">
        <f ca="1">IFERROR(__xludf.DUMMYFUNCTION("""COMPUTED_VALUE"""),"I")</f>
        <v>I</v>
      </c>
      <c r="F114" s="118" t="str">
        <f ca="1">IFERROR(__xludf.DUMMYFUNCTION("""COMPUTED_VALUE"""),"S")</f>
        <v>S</v>
      </c>
      <c r="G114" s="118">
        <f ca="1">IFERROR(__xludf.DUMMYFUNCTION("""COMPUTED_VALUE"""),4)</f>
        <v>4</v>
      </c>
      <c r="H114" s="118" t="str">
        <f ca="1">IFERROR(__xludf.DUMMYFUNCTION("""COMPUTED_VALUE"""),"CB")</f>
        <v>CB</v>
      </c>
      <c r="I114" s="118">
        <f ca="1">IFERROR(__xludf.DUMMYFUNCTION("""COMPUTED_VALUE"""),8)</f>
        <v>8</v>
      </c>
      <c r="J114" s="118">
        <f ca="1">IFERROR(__xludf.DUMMYFUNCTION("""COMPUTED_VALUE"""),0)</f>
        <v>0</v>
      </c>
      <c r="K114" s="120"/>
      <c r="L114" s="121"/>
      <c r="M114" s="120"/>
      <c r="N114" s="121"/>
      <c r="O114" s="120"/>
      <c r="P114" s="122"/>
      <c r="Q114" s="123" t="str">
        <f ca="1">IFERROR(__xludf.DUMMYFUNCTION("""COMPUTED_VALUE"""),"Aurora Davison")</f>
        <v>Aurora Davison</v>
      </c>
      <c r="R114" s="123" t="str">
        <f ca="1">IFERROR(__xludf.DUMMYFUNCTION("""COMPUTED_VALUE"""),"Charith Reddy Vempalli")</f>
        <v>Charith Reddy Vempalli</v>
      </c>
      <c r="S114" s="123" t="str">
        <f ca="1">IFERROR(__xludf.DUMMYFUNCTION("""COMPUTED_VALUE"""),"Annelise Saunders")</f>
        <v>Annelise Saunders</v>
      </c>
      <c r="T114" s="123" t="str">
        <f ca="1">IFERROR(__xludf.DUMMYFUNCTION("""COMPUTED_VALUE"""),"Brayden Lane")</f>
        <v>Brayden Lane</v>
      </c>
    </row>
    <row r="115" spans="1:20" ht="13.8">
      <c r="A115" s="118" t="str">
        <f ca="1">IFERROR(__xludf.DUMMYFUNCTION("""COMPUTED_VALUE"""),"CB")</f>
        <v>CB</v>
      </c>
      <c r="B115" s="119" t="str">
        <f ca="1">IFERROR(__xludf.DUMMYFUNCTION("""COMPUTED_VALUE"""),"Sloane Carle")</f>
        <v>Sloane Carle</v>
      </c>
      <c r="C115" s="118">
        <f ca="1">IFERROR(__xludf.DUMMYFUNCTION("""COMPUTED_VALUE"""),13)</f>
        <v>13</v>
      </c>
      <c r="D115" s="118" t="str">
        <f ca="1">IFERROR(__xludf.DUMMYFUNCTION("""COMPUTED_VALUE"""),"G")</f>
        <v>G</v>
      </c>
      <c r="E115" s="118" t="str">
        <f ca="1">IFERROR(__xludf.DUMMYFUNCTION("""COMPUTED_VALUE"""),"I")</f>
        <v>I</v>
      </c>
      <c r="F115" s="118" t="str">
        <f ca="1">IFERROR(__xludf.DUMMYFUNCTION("""COMPUTED_VALUE"""),"S")</f>
        <v>S</v>
      </c>
      <c r="G115" s="118">
        <f ca="1">IFERROR(__xludf.DUMMYFUNCTION("""COMPUTED_VALUE"""),4)</f>
        <v>4</v>
      </c>
      <c r="H115" s="118" t="str">
        <f ca="1">IFERROR(__xludf.DUMMYFUNCTION("""COMPUTED_VALUE"""),"CB")</f>
        <v>CB</v>
      </c>
      <c r="I115" s="118">
        <f ca="1">IFERROR(__xludf.DUMMYFUNCTION("""COMPUTED_VALUE"""),8)</f>
        <v>8</v>
      </c>
      <c r="J115" s="118">
        <f ca="1">IFERROR(__xludf.DUMMYFUNCTION("""COMPUTED_VALUE"""),0)</f>
        <v>0</v>
      </c>
      <c r="K115" s="120"/>
      <c r="L115" s="121"/>
      <c r="M115" s="120"/>
      <c r="N115" s="121"/>
      <c r="O115" s="120"/>
      <c r="P115" s="122"/>
      <c r="Q115" s="123" t="str">
        <f ca="1">IFERROR(__xludf.DUMMYFUNCTION("""COMPUTED_VALUE"""),"Ava Kowalchick")</f>
        <v>Ava Kowalchick</v>
      </c>
      <c r="R115" s="123" t="str">
        <f ca="1">IFERROR(__xludf.DUMMYFUNCTION("""COMPUTED_VALUE"""),"Charles Shingleton")</f>
        <v>Charles Shingleton</v>
      </c>
      <c r="S115" s="123" t="str">
        <f ca="1">IFERROR(__xludf.DUMMYFUNCTION("""COMPUTED_VALUE"""),"Annie Baker")</f>
        <v>Annie Baker</v>
      </c>
      <c r="T115" s="123" t="str">
        <f ca="1">IFERROR(__xludf.DUMMYFUNCTION("""COMPUTED_VALUE"""),"Breck Bowman")</f>
        <v>Breck Bowman</v>
      </c>
    </row>
    <row r="116" spans="1:20" ht="13.8">
      <c r="A116" s="118" t="str">
        <f ca="1">IFERROR(__xludf.DUMMYFUNCTION("""COMPUTED_VALUE"""),"CB")</f>
        <v>CB</v>
      </c>
      <c r="B116" s="119" t="str">
        <f ca="1">IFERROR(__xludf.DUMMYFUNCTION("""COMPUTED_VALUE"""),"Finn Bellavia-Cortezi")</f>
        <v>Finn Bellavia-Cortezi</v>
      </c>
      <c r="C116" s="118">
        <f ca="1">IFERROR(__xludf.DUMMYFUNCTION("""COMPUTED_VALUE"""),14)</f>
        <v>14</v>
      </c>
      <c r="D116" s="118" t="str">
        <f ca="1">IFERROR(__xludf.DUMMYFUNCTION("""COMPUTED_VALUE"""),"B")</f>
        <v>B</v>
      </c>
      <c r="E116" s="118" t="str">
        <f ca="1">IFERROR(__xludf.DUMMYFUNCTION("""COMPUTED_VALUE"""),"I")</f>
        <v>I</v>
      </c>
      <c r="F116" s="118" t="str">
        <f ca="1">IFERROR(__xludf.DUMMYFUNCTION("""COMPUTED_VALUE"""),"S")</f>
        <v>S</v>
      </c>
      <c r="G116" s="118">
        <f ca="1">IFERROR(__xludf.DUMMYFUNCTION("""COMPUTED_VALUE"""),4)</f>
        <v>4</v>
      </c>
      <c r="H116" s="118" t="str">
        <f ca="1">IFERROR(__xludf.DUMMYFUNCTION("""COMPUTED_VALUE"""),"CB")</f>
        <v>CB</v>
      </c>
      <c r="I116" s="118">
        <f ca="1">IFERROR(__xludf.DUMMYFUNCTION("""COMPUTED_VALUE"""),9)</f>
        <v>9</v>
      </c>
      <c r="J116" s="118">
        <f ca="1">IFERROR(__xludf.DUMMYFUNCTION("""COMPUTED_VALUE"""),0)</f>
        <v>0</v>
      </c>
      <c r="K116" s="120"/>
      <c r="L116" s="121"/>
      <c r="M116" s="120"/>
      <c r="N116" s="121"/>
      <c r="O116" s="120"/>
      <c r="P116" s="122"/>
      <c r="Q116" s="123" t="str">
        <f ca="1">IFERROR(__xludf.DUMMYFUNCTION("""COMPUTED_VALUE"""),"Ava Patel")</f>
        <v>Ava Patel</v>
      </c>
      <c r="R116" s="123" t="str">
        <f ca="1">IFERROR(__xludf.DUMMYFUNCTION("""COMPUTED_VALUE"""),"Charlie Bennett")</f>
        <v>Charlie Bennett</v>
      </c>
      <c r="S116" s="123" t="str">
        <f ca="1">IFERROR(__xludf.DUMMYFUNCTION("""COMPUTED_VALUE"""),"Annie Madden")</f>
        <v>Annie Madden</v>
      </c>
      <c r="T116" s="123" t="str">
        <f ca="1">IFERROR(__xludf.DUMMYFUNCTION("""COMPUTED_VALUE"""),"Brendan Doe")</f>
        <v>Brendan Doe</v>
      </c>
    </row>
    <row r="117" spans="1:20" ht="13.8">
      <c r="A117" s="118" t="str">
        <f ca="1">IFERROR(__xludf.DUMMYFUNCTION("""COMPUTED_VALUE"""),"CB")</f>
        <v>CB</v>
      </c>
      <c r="B117" s="119" t="str">
        <f ca="1">IFERROR(__xludf.DUMMYFUNCTION("""COMPUTED_VALUE"""),"Gordon Anderson")</f>
        <v>Gordon Anderson</v>
      </c>
      <c r="C117" s="118">
        <f ca="1">IFERROR(__xludf.DUMMYFUNCTION("""COMPUTED_VALUE"""),14)</f>
        <v>14</v>
      </c>
      <c r="D117" s="118" t="str">
        <f ca="1">IFERROR(__xludf.DUMMYFUNCTION("""COMPUTED_VALUE"""),"B")</f>
        <v>B</v>
      </c>
      <c r="E117" s="118" t="str">
        <f ca="1">IFERROR(__xludf.DUMMYFUNCTION("""COMPUTED_VALUE"""),"I")</f>
        <v>I</v>
      </c>
      <c r="F117" s="118" t="str">
        <f ca="1">IFERROR(__xludf.DUMMYFUNCTION("""COMPUTED_VALUE"""),"S")</f>
        <v>S</v>
      </c>
      <c r="G117" s="118">
        <f ca="1">IFERROR(__xludf.DUMMYFUNCTION("""COMPUTED_VALUE"""),4)</f>
        <v>4</v>
      </c>
      <c r="H117" s="118" t="str">
        <f ca="1">IFERROR(__xludf.DUMMYFUNCTION("""COMPUTED_VALUE"""),"CB")</f>
        <v>CB</v>
      </c>
      <c r="I117" s="118">
        <f ca="1">IFERROR(__xludf.DUMMYFUNCTION("""COMPUTED_VALUE"""),9)</f>
        <v>9</v>
      </c>
      <c r="J117" s="118">
        <f ca="1">IFERROR(__xludf.DUMMYFUNCTION("""COMPUTED_VALUE"""),4)</f>
        <v>4</v>
      </c>
      <c r="K117" s="120">
        <f ca="1">IFERROR(__xludf.DUMMYFUNCTION("""COMPUTED_VALUE"""),93.35)</f>
        <v>93.35</v>
      </c>
      <c r="L117" s="121"/>
      <c r="M117" s="120">
        <f ca="1">IFERROR(__xludf.DUMMYFUNCTION("""COMPUTED_VALUE"""),93.35)</f>
        <v>93.35</v>
      </c>
      <c r="N117" s="121"/>
      <c r="O117" s="120"/>
      <c r="P117" s="122"/>
      <c r="Q117" s="123" t="str">
        <f ca="1">IFERROR(__xludf.DUMMYFUNCTION("""COMPUTED_VALUE"""),"Avery Brown")</f>
        <v>Avery Brown</v>
      </c>
      <c r="R117" s="123" t="str">
        <f ca="1">IFERROR(__xludf.DUMMYFUNCTION("""COMPUTED_VALUE"""),"Charlie Cate")</f>
        <v>Charlie Cate</v>
      </c>
      <c r="S117" s="123" t="str">
        <f ca="1">IFERROR(__xludf.DUMMYFUNCTION("""COMPUTED_VALUE"""),"Annie Novotny")</f>
        <v>Annie Novotny</v>
      </c>
      <c r="T117" s="123" t="str">
        <f ca="1">IFERROR(__xludf.DUMMYFUNCTION("""COMPUTED_VALUE"""),"Brennan Gyor")</f>
        <v>Brennan Gyor</v>
      </c>
    </row>
    <row r="118" spans="1:20" ht="13.8">
      <c r="A118" s="118" t="str">
        <f ca="1">IFERROR(__xludf.DUMMYFUNCTION("""COMPUTED_VALUE"""),"CB")</f>
        <v>CB</v>
      </c>
      <c r="B118" s="119" t="str">
        <f ca="1">IFERROR(__xludf.DUMMYFUNCTION("""COMPUTED_VALUE"""),"Ellie Mallard")</f>
        <v>Ellie Mallard</v>
      </c>
      <c r="C118" s="118">
        <f ca="1">IFERROR(__xludf.DUMMYFUNCTION("""COMPUTED_VALUE"""),16)</f>
        <v>16</v>
      </c>
      <c r="D118" s="118" t="str">
        <f ca="1">IFERROR(__xludf.DUMMYFUNCTION("""COMPUTED_VALUE"""),"G")</f>
        <v>G</v>
      </c>
      <c r="E118" s="118" t="str">
        <f ca="1">IFERROR(__xludf.DUMMYFUNCTION("""COMPUTED_VALUE"""),"S")</f>
        <v>S</v>
      </c>
      <c r="F118" s="118" t="str">
        <f ca="1">IFERROR(__xludf.DUMMYFUNCTION("""COMPUTED_VALUE"""),"S")</f>
        <v>S</v>
      </c>
      <c r="G118" s="118">
        <f ca="1">IFERROR(__xludf.DUMMYFUNCTION("""COMPUTED_VALUE"""),4)</f>
        <v>4</v>
      </c>
      <c r="H118" s="118" t="str">
        <f ca="1">IFERROR(__xludf.DUMMYFUNCTION("""COMPUTED_VALUE"""),"CB")</f>
        <v>CB</v>
      </c>
      <c r="I118" s="118">
        <f ca="1">IFERROR(__xludf.DUMMYFUNCTION("""COMPUTED_VALUE"""),10)</f>
        <v>10</v>
      </c>
      <c r="J118" s="118">
        <f ca="1">IFERROR(__xludf.DUMMYFUNCTION("""COMPUTED_VALUE"""),5)</f>
        <v>5</v>
      </c>
      <c r="K118" s="120">
        <f ca="1">IFERROR(__xludf.DUMMYFUNCTION("""COMPUTED_VALUE"""),144.35)</f>
        <v>144.35</v>
      </c>
      <c r="L118" s="121"/>
      <c r="M118" s="120">
        <f ca="1">IFERROR(__xludf.DUMMYFUNCTION("""COMPUTED_VALUE"""),124.05)</f>
        <v>124.05</v>
      </c>
      <c r="N118" s="121"/>
      <c r="O118" s="120">
        <f ca="1">IFERROR(__xludf.DUMMYFUNCTION("""COMPUTED_VALUE"""),144.35)</f>
        <v>144.35</v>
      </c>
      <c r="P118" s="122"/>
      <c r="Q118" s="123" t="str">
        <f ca="1">IFERROR(__xludf.DUMMYFUNCTION("""COMPUTED_VALUE"""),"Avery Cash")</f>
        <v>Avery Cash</v>
      </c>
      <c r="R118" s="123" t="str">
        <f ca="1">IFERROR(__xludf.DUMMYFUNCTION("""COMPUTED_VALUE"""),"Charlie DeZee")</f>
        <v>Charlie DeZee</v>
      </c>
      <c r="S118" s="123" t="str">
        <f ca="1">IFERROR(__xludf.DUMMYFUNCTION("""COMPUTED_VALUE"""),"Ansley Cameron")</f>
        <v>Ansley Cameron</v>
      </c>
      <c r="T118" s="123" t="str">
        <f ca="1">IFERROR(__xludf.DUMMYFUNCTION("""COMPUTED_VALUE"""),"Brennan Wilson")</f>
        <v>Brennan Wilson</v>
      </c>
    </row>
    <row r="119" spans="1:20" ht="13.8">
      <c r="A119" s="118" t="str">
        <f ca="1">IFERROR(__xludf.DUMMYFUNCTION("""COMPUTED_VALUE"""),"CB")</f>
        <v>CB</v>
      </c>
      <c r="B119" s="119" t="str">
        <f ca="1">IFERROR(__xludf.DUMMYFUNCTION("""COMPUTED_VALUE"""),"Kelly Keough")</f>
        <v>Kelly Keough</v>
      </c>
      <c r="C119" s="118">
        <f ca="1">IFERROR(__xludf.DUMMYFUNCTION("""COMPUTED_VALUE"""),16)</f>
        <v>16</v>
      </c>
      <c r="D119" s="118" t="str">
        <f ca="1">IFERROR(__xludf.DUMMYFUNCTION("""COMPUTED_VALUE"""),"G")</f>
        <v>G</v>
      </c>
      <c r="E119" s="118" t="str">
        <f ca="1">IFERROR(__xludf.DUMMYFUNCTION("""COMPUTED_VALUE"""),"S")</f>
        <v>S</v>
      </c>
      <c r="F119" s="118" t="str">
        <f ca="1">IFERROR(__xludf.DUMMYFUNCTION("""COMPUTED_VALUE"""),"S")</f>
        <v>S</v>
      </c>
      <c r="G119" s="118">
        <f ca="1">IFERROR(__xludf.DUMMYFUNCTION("""COMPUTED_VALUE"""),4)</f>
        <v>4</v>
      </c>
      <c r="H119" s="118" t="str">
        <f ca="1">IFERROR(__xludf.DUMMYFUNCTION("""COMPUTED_VALUE"""),"CB")</f>
        <v>CB</v>
      </c>
      <c r="I119" s="118">
        <f ca="1">IFERROR(__xludf.DUMMYFUNCTION("""COMPUTED_VALUE"""),10)</f>
        <v>10</v>
      </c>
      <c r="J119" s="118">
        <f ca="1">IFERROR(__xludf.DUMMYFUNCTION("""COMPUTED_VALUE"""),0)</f>
        <v>0</v>
      </c>
      <c r="K119" s="120"/>
      <c r="L119" s="121"/>
      <c r="M119" s="120"/>
      <c r="N119" s="121"/>
      <c r="O119" s="120"/>
      <c r="P119" s="122"/>
      <c r="Q119" s="123" t="str">
        <f ca="1">IFERROR(__xludf.DUMMYFUNCTION("""COMPUTED_VALUE"""),"Avery Ehst")</f>
        <v>Avery Ehst</v>
      </c>
      <c r="R119" s="123" t="str">
        <f ca="1">IFERROR(__xludf.DUMMYFUNCTION("""COMPUTED_VALUE"""),"Charlie Jreige")</f>
        <v>Charlie Jreige</v>
      </c>
      <c r="S119" s="123" t="str">
        <f ca="1">IFERROR(__xludf.DUMMYFUNCTION("""COMPUTED_VALUE"""),"Antonella Salcedo")</f>
        <v>Antonella Salcedo</v>
      </c>
      <c r="T119" s="123" t="str">
        <f ca="1">IFERROR(__xludf.DUMMYFUNCTION("""COMPUTED_VALUE"""),"Brett Townsend")</f>
        <v>Brett Townsend</v>
      </c>
    </row>
    <row r="120" spans="1:20" ht="13.8">
      <c r="A120" s="118" t="str">
        <f ca="1">IFERROR(__xludf.DUMMYFUNCTION("""COMPUTED_VALUE"""),"CB")</f>
        <v>CB</v>
      </c>
      <c r="B120" s="119" t="str">
        <f ca="1">IFERROR(__xludf.DUMMYFUNCTION("""COMPUTED_VALUE"""),"Sarah Beach")</f>
        <v>Sarah Beach</v>
      </c>
      <c r="C120" s="118">
        <f ca="1">IFERROR(__xludf.DUMMYFUNCTION("""COMPUTED_VALUE"""),17)</f>
        <v>17</v>
      </c>
      <c r="D120" s="118" t="str">
        <f ca="1">IFERROR(__xludf.DUMMYFUNCTION("""COMPUTED_VALUE"""),"G")</f>
        <v>G</v>
      </c>
      <c r="E120" s="118" t="str">
        <f ca="1">IFERROR(__xludf.DUMMYFUNCTION("""COMPUTED_VALUE"""),"S")</f>
        <v>S</v>
      </c>
      <c r="F120" s="118" t="str">
        <f ca="1">IFERROR(__xludf.DUMMYFUNCTION("""COMPUTED_VALUE"""),"S")</f>
        <v>S</v>
      </c>
      <c r="G120" s="118">
        <f ca="1">IFERROR(__xludf.DUMMYFUNCTION("""COMPUTED_VALUE"""),4)</f>
        <v>4</v>
      </c>
      <c r="H120" s="118" t="str">
        <f ca="1">IFERROR(__xludf.DUMMYFUNCTION("""COMPUTED_VALUE"""),"CB")</f>
        <v>CB</v>
      </c>
      <c r="I120" s="118">
        <f ca="1">IFERROR(__xludf.DUMMYFUNCTION("""COMPUTED_VALUE"""),10)</f>
        <v>10</v>
      </c>
      <c r="J120" s="118">
        <f ca="1">IFERROR(__xludf.DUMMYFUNCTION("""COMPUTED_VALUE"""),0)</f>
        <v>0</v>
      </c>
      <c r="K120" s="120"/>
      <c r="L120" s="121"/>
      <c r="M120" s="120"/>
      <c r="N120" s="121"/>
      <c r="O120" s="120"/>
      <c r="P120" s="122"/>
      <c r="Q120" s="123" t="str">
        <f ca="1">IFERROR(__xludf.DUMMYFUNCTION("""COMPUTED_VALUE"""),"Avery Hilliard")</f>
        <v>Avery Hilliard</v>
      </c>
      <c r="R120" s="123" t="str">
        <f ca="1">IFERROR(__xludf.DUMMYFUNCTION("""COMPUTED_VALUE"""),"Charlie Lake")</f>
        <v>Charlie Lake</v>
      </c>
      <c r="S120" s="123" t="str">
        <f ca="1">IFERROR(__xludf.DUMMYFUNCTION("""COMPUTED_VALUE"""),"Anya Osterhout")</f>
        <v>Anya Osterhout</v>
      </c>
      <c r="T120" s="123" t="str">
        <f ca="1">IFERROR(__xludf.DUMMYFUNCTION("""COMPUTED_VALUE"""),"Brian Stegmaier")</f>
        <v>Brian Stegmaier</v>
      </c>
    </row>
    <row r="121" spans="1:20" ht="13.8">
      <c r="A121" s="118" t="str">
        <f ca="1">IFERROR(__xludf.DUMMYFUNCTION("""COMPUTED_VALUE"""),"CB")</f>
        <v>CB</v>
      </c>
      <c r="B121" s="119" t="str">
        <f ca="1">IFERROR(__xludf.DUMMYFUNCTION("""COMPUTED_VALUE"""),"Alex Valencic")</f>
        <v>Alex Valencic</v>
      </c>
      <c r="C121" s="118">
        <f ca="1">IFERROR(__xludf.DUMMYFUNCTION("""COMPUTED_VALUE"""),15)</f>
        <v>15</v>
      </c>
      <c r="D121" s="118" t="str">
        <f ca="1">IFERROR(__xludf.DUMMYFUNCTION("""COMPUTED_VALUE"""),"B")</f>
        <v>B</v>
      </c>
      <c r="E121" s="118" t="str">
        <f ca="1">IFERROR(__xludf.DUMMYFUNCTION("""COMPUTED_VALUE"""),"S")</f>
        <v>S</v>
      </c>
      <c r="F121" s="118" t="str">
        <f ca="1">IFERROR(__xludf.DUMMYFUNCTION("""COMPUTED_VALUE"""),"S")</f>
        <v>S</v>
      </c>
      <c r="G121" s="118">
        <f ca="1">IFERROR(__xludf.DUMMYFUNCTION("""COMPUTED_VALUE"""),4)</f>
        <v>4</v>
      </c>
      <c r="H121" s="118" t="str">
        <f ca="1">IFERROR(__xludf.DUMMYFUNCTION("""COMPUTED_VALUE"""),"CB")</f>
        <v>CB</v>
      </c>
      <c r="I121" s="118">
        <f ca="1">IFERROR(__xludf.DUMMYFUNCTION("""COMPUTED_VALUE"""),11)</f>
        <v>11</v>
      </c>
      <c r="J121" s="118">
        <f ca="1">IFERROR(__xludf.DUMMYFUNCTION("""COMPUTED_VALUE"""),1)</f>
        <v>1</v>
      </c>
      <c r="K121" s="120">
        <f ca="1">IFERROR(__xludf.DUMMYFUNCTION("""COMPUTED_VALUE"""),190.25)</f>
        <v>190.25</v>
      </c>
      <c r="L121" s="121"/>
      <c r="M121" s="120">
        <f ca="1">IFERROR(__xludf.DUMMYFUNCTION("""COMPUTED_VALUE"""),190.25)</f>
        <v>190.25</v>
      </c>
      <c r="N121" s="121"/>
      <c r="O121" s="120"/>
      <c r="P121" s="122"/>
      <c r="Q121" s="123" t="str">
        <f ca="1">IFERROR(__xludf.DUMMYFUNCTION("""COMPUTED_VALUE"""),"Avery Jackson")</f>
        <v>Avery Jackson</v>
      </c>
      <c r="R121" s="123" t="str">
        <f ca="1">IFERROR(__xludf.DUMMYFUNCTION("""COMPUTED_VALUE"""),"Charlie Rogers")</f>
        <v>Charlie Rogers</v>
      </c>
      <c r="S121" s="123" t="str">
        <f ca="1">IFERROR(__xludf.DUMMYFUNCTION("""COMPUTED_VALUE"""),"Arabella Zheng")</f>
        <v>Arabella Zheng</v>
      </c>
      <c r="T121" s="123" t="str">
        <f ca="1">IFERROR(__xludf.DUMMYFUNCTION("""COMPUTED_VALUE"""),"Brodie Kuehne")</f>
        <v>Brodie Kuehne</v>
      </c>
    </row>
    <row r="122" spans="1:20" ht="13.8">
      <c r="A122" s="118" t="str">
        <f ca="1">IFERROR(__xludf.DUMMYFUNCTION("""COMPUTED_VALUE"""),"CB")</f>
        <v>CB</v>
      </c>
      <c r="B122" s="119" t="str">
        <f ca="1">IFERROR(__xludf.DUMMYFUNCTION("""COMPUTED_VALUE"""),"Daniel Roques")</f>
        <v>Daniel Roques</v>
      </c>
      <c r="C122" s="118">
        <f ca="1">IFERROR(__xludf.DUMMYFUNCTION("""COMPUTED_VALUE"""),15)</f>
        <v>15</v>
      </c>
      <c r="D122" s="118" t="str">
        <f ca="1">IFERROR(__xludf.DUMMYFUNCTION("""COMPUTED_VALUE"""),"B")</f>
        <v>B</v>
      </c>
      <c r="E122" s="118" t="str">
        <f ca="1">IFERROR(__xludf.DUMMYFUNCTION("""COMPUTED_VALUE"""),"S")</f>
        <v>S</v>
      </c>
      <c r="F122" s="118" t="str">
        <f ca="1">IFERROR(__xludf.DUMMYFUNCTION("""COMPUTED_VALUE"""),"S")</f>
        <v>S</v>
      </c>
      <c r="G122" s="118">
        <f ca="1">IFERROR(__xludf.DUMMYFUNCTION("""COMPUTED_VALUE"""),4)</f>
        <v>4</v>
      </c>
      <c r="H122" s="118" t="str">
        <f ca="1">IFERROR(__xludf.DUMMYFUNCTION("""COMPUTED_VALUE"""),"CB")</f>
        <v>CB</v>
      </c>
      <c r="I122" s="118">
        <f ca="1">IFERROR(__xludf.DUMMYFUNCTION("""COMPUTED_VALUE"""),11)</f>
        <v>11</v>
      </c>
      <c r="J122" s="118">
        <f ca="1">IFERROR(__xludf.DUMMYFUNCTION("""COMPUTED_VALUE"""),4)</f>
        <v>4</v>
      </c>
      <c r="K122" s="120">
        <f ca="1">IFERROR(__xludf.DUMMYFUNCTION("""COMPUTED_VALUE"""),123.25)</f>
        <v>123.25</v>
      </c>
      <c r="L122" s="121"/>
      <c r="M122" s="120"/>
      <c r="N122" s="121"/>
      <c r="O122" s="120">
        <f ca="1">IFERROR(__xludf.DUMMYFUNCTION("""COMPUTED_VALUE"""),109.6)</f>
        <v>109.6</v>
      </c>
      <c r="P122" s="122"/>
      <c r="Q122" s="123" t="str">
        <f ca="1">IFERROR(__xludf.DUMMYFUNCTION("""COMPUTED_VALUE"""),"Avery Ma")</f>
        <v>Avery Ma</v>
      </c>
      <c r="R122" s="123" t="str">
        <f ca="1">IFERROR(__xludf.DUMMYFUNCTION("""COMPUTED_VALUE"""),"Chase Burke")</f>
        <v>Chase Burke</v>
      </c>
      <c r="S122" s="123" t="str">
        <f ca="1">IFERROR(__xludf.DUMMYFUNCTION("""COMPUTED_VALUE"""),"Arden Allard")</f>
        <v>Arden Allard</v>
      </c>
      <c r="T122" s="123" t="str">
        <f ca="1">IFERROR(__xludf.DUMMYFUNCTION("""COMPUTED_VALUE"""),"Brooks Pacheco-Manetti")</f>
        <v>Brooks Pacheco-Manetti</v>
      </c>
    </row>
    <row r="123" spans="1:20" ht="13.8">
      <c r="A123" s="118" t="str">
        <f ca="1">IFERROR(__xludf.DUMMYFUNCTION("""COMPUTED_VALUE"""),"CCC")</f>
        <v>CCC</v>
      </c>
      <c r="B123" s="119" t="str">
        <f ca="1">IFERROR(__xludf.DUMMYFUNCTION("""COMPUTED_VALUE"""),"Aubrey Chaleunrath")</f>
        <v>Aubrey Chaleunrath</v>
      </c>
      <c r="C123" s="118">
        <f ca="1">IFERROR(__xludf.DUMMYFUNCTION("""COMPUTED_VALUE"""),10)</f>
        <v>10</v>
      </c>
      <c r="D123" s="118" t="str">
        <f ca="1">IFERROR(__xludf.DUMMYFUNCTION("""COMPUTED_VALUE"""),"G")</f>
        <v>G</v>
      </c>
      <c r="E123" s="118" t="str">
        <f ca="1">IFERROR(__xludf.DUMMYFUNCTION("""COMPUTED_VALUE"""),"F")</f>
        <v>F</v>
      </c>
      <c r="F123" s="118" t="str">
        <f ca="1">IFERROR(__xludf.DUMMYFUNCTION("""COMPUTED_VALUE"""),"J")</f>
        <v>J</v>
      </c>
      <c r="G123" s="118">
        <f ca="1">IFERROR(__xludf.DUMMYFUNCTION("""COMPUTED_VALUE"""),5)</f>
        <v>5</v>
      </c>
      <c r="H123" s="118" t="str">
        <f ca="1">IFERROR(__xludf.DUMMYFUNCTION("""COMPUTED_VALUE"""),"CCC")</f>
        <v>CCC</v>
      </c>
      <c r="I123" s="118">
        <f ca="1">IFERROR(__xludf.DUMMYFUNCTION("""COMPUTED_VALUE"""),4)</f>
        <v>4</v>
      </c>
      <c r="J123" s="118">
        <f ca="1">IFERROR(__xludf.DUMMYFUNCTION("""COMPUTED_VALUE"""),4)</f>
        <v>4</v>
      </c>
      <c r="K123" s="120">
        <f ca="1">IFERROR(__xludf.DUMMYFUNCTION("""COMPUTED_VALUE"""),26.25)</f>
        <v>26.25</v>
      </c>
      <c r="L123" s="121"/>
      <c r="M123" s="120">
        <f ca="1">IFERROR(__xludf.DUMMYFUNCTION("""COMPUTED_VALUE"""),25.5)</f>
        <v>25.5</v>
      </c>
      <c r="N123" s="121"/>
      <c r="O123" s="120"/>
      <c r="P123" s="122"/>
      <c r="Q123" s="123" t="str">
        <f ca="1">IFERROR(__xludf.DUMMYFUNCTION("""COMPUTED_VALUE"""),"Avery Nguyen")</f>
        <v>Avery Nguyen</v>
      </c>
      <c r="R123" s="123" t="str">
        <f ca="1">IFERROR(__xludf.DUMMYFUNCTION("""COMPUTED_VALUE"""),"Chase Edwards")</f>
        <v>Chase Edwards</v>
      </c>
      <c r="S123" s="123" t="str">
        <f ca="1">IFERROR(__xludf.DUMMYFUNCTION("""COMPUTED_VALUE"""),"Ari Wiley-Jimenez")</f>
        <v>Ari Wiley-Jimenez</v>
      </c>
      <c r="T123" s="123" t="str">
        <f ca="1">IFERROR(__xludf.DUMMYFUNCTION("""COMPUTED_VALUE"""),"Brooks Roehrig")</f>
        <v>Brooks Roehrig</v>
      </c>
    </row>
    <row r="124" spans="1:20" ht="13.8">
      <c r="A124" s="118" t="str">
        <f ca="1">IFERROR(__xludf.DUMMYFUNCTION("""COMPUTED_VALUE"""),"CCC")</f>
        <v>CCC</v>
      </c>
      <c r="B124" s="119" t="str">
        <f ca="1">IFERROR(__xludf.DUMMYFUNCTION("""COMPUTED_VALUE"""),"Christina Hopke")</f>
        <v>Christina Hopke</v>
      </c>
      <c r="C124" s="118">
        <f ca="1">IFERROR(__xludf.DUMMYFUNCTION("""COMPUTED_VALUE"""),10)</f>
        <v>10</v>
      </c>
      <c r="D124" s="118" t="str">
        <f ca="1">IFERROR(__xludf.DUMMYFUNCTION("""COMPUTED_VALUE"""),"G")</f>
        <v>G</v>
      </c>
      <c r="E124" s="118" t="str">
        <f ca="1">IFERROR(__xludf.DUMMYFUNCTION("""COMPUTED_VALUE"""),"F")</f>
        <v>F</v>
      </c>
      <c r="F124" s="118" t="str">
        <f ca="1">IFERROR(__xludf.DUMMYFUNCTION("""COMPUTED_VALUE"""),"J")</f>
        <v>J</v>
      </c>
      <c r="G124" s="118">
        <f ca="1">IFERROR(__xludf.DUMMYFUNCTION("""COMPUTED_VALUE"""),5)</f>
        <v>5</v>
      </c>
      <c r="H124" s="118" t="str">
        <f ca="1">IFERROR(__xludf.DUMMYFUNCTION("""COMPUTED_VALUE"""),"CCC")</f>
        <v>CCC</v>
      </c>
      <c r="I124" s="118">
        <f ca="1">IFERROR(__xludf.DUMMYFUNCTION("""COMPUTED_VALUE"""),4)</f>
        <v>4</v>
      </c>
      <c r="J124" s="118">
        <f ca="1">IFERROR(__xludf.DUMMYFUNCTION("""COMPUTED_VALUE"""),5)</f>
        <v>5</v>
      </c>
      <c r="K124" s="120">
        <f ca="1">IFERROR(__xludf.DUMMYFUNCTION("""COMPUTED_VALUE"""),49.05)</f>
        <v>49.05</v>
      </c>
      <c r="L124" s="121"/>
      <c r="M124" s="120">
        <f ca="1">IFERROR(__xludf.DUMMYFUNCTION("""COMPUTED_VALUE"""),28.25)</f>
        <v>28.25</v>
      </c>
      <c r="N124" s="121"/>
      <c r="O124" s="120">
        <f ca="1">IFERROR(__xludf.DUMMYFUNCTION("""COMPUTED_VALUE"""),35.8)</f>
        <v>35.799999999999997</v>
      </c>
      <c r="P124" s="122"/>
      <c r="Q124" s="123" t="str">
        <f ca="1">IFERROR(__xludf.DUMMYFUNCTION("""COMPUTED_VALUE"""),"Avery O'Brien")</f>
        <v>Avery O'Brien</v>
      </c>
      <c r="R124" s="123" t="str">
        <f ca="1">IFERROR(__xludf.DUMMYFUNCTION("""COMPUTED_VALUE"""),"Chase Kemps")</f>
        <v>Chase Kemps</v>
      </c>
      <c r="S124" s="123" t="str">
        <f ca="1">IFERROR(__xludf.DUMMYFUNCTION("""COMPUTED_VALUE"""),"Aria Giarraputo")</f>
        <v>Aria Giarraputo</v>
      </c>
      <c r="T124" s="123" t="str">
        <f ca="1">IFERROR(__xludf.DUMMYFUNCTION("""COMPUTED_VALUE"""),"Brouk Yared")</f>
        <v>Brouk Yared</v>
      </c>
    </row>
    <row r="125" spans="1:20" ht="13.8">
      <c r="A125" s="118" t="str">
        <f ca="1">IFERROR(__xludf.DUMMYFUNCTION("""COMPUTED_VALUE"""),"CCC")</f>
        <v>CCC</v>
      </c>
      <c r="B125" s="119" t="str">
        <f ca="1">IFERROR(__xludf.DUMMYFUNCTION("""COMPUTED_VALUE"""),"Cora Dugan")</f>
        <v>Cora Dugan</v>
      </c>
      <c r="C125" s="118">
        <f ca="1">IFERROR(__xludf.DUMMYFUNCTION("""COMPUTED_VALUE"""),8)</f>
        <v>8</v>
      </c>
      <c r="D125" s="118" t="str">
        <f ca="1">IFERROR(__xludf.DUMMYFUNCTION("""COMPUTED_VALUE"""),"G")</f>
        <v>G</v>
      </c>
      <c r="E125" s="118" t="str">
        <f ca="1">IFERROR(__xludf.DUMMYFUNCTION("""COMPUTED_VALUE"""),"F")</f>
        <v>F</v>
      </c>
      <c r="F125" s="118" t="str">
        <f ca="1">IFERROR(__xludf.DUMMYFUNCTION("""COMPUTED_VALUE"""),"J")</f>
        <v>J</v>
      </c>
      <c r="G125" s="118">
        <f ca="1">IFERROR(__xludf.DUMMYFUNCTION("""COMPUTED_VALUE"""),5)</f>
        <v>5</v>
      </c>
      <c r="H125" s="118" t="str">
        <f ca="1">IFERROR(__xludf.DUMMYFUNCTION("""COMPUTED_VALUE"""),"CCC")</f>
        <v>CCC</v>
      </c>
      <c r="I125" s="118">
        <f ca="1">IFERROR(__xludf.DUMMYFUNCTION("""COMPUTED_VALUE"""),4)</f>
        <v>4</v>
      </c>
      <c r="J125" s="118">
        <f ca="1">IFERROR(__xludf.DUMMYFUNCTION("""COMPUTED_VALUE"""),5)</f>
        <v>5</v>
      </c>
      <c r="K125" s="120">
        <f ca="1">IFERROR(__xludf.DUMMYFUNCTION("""COMPUTED_VALUE"""),33.1)</f>
        <v>33.1</v>
      </c>
      <c r="L125" s="121"/>
      <c r="M125" s="120">
        <f ca="1">IFERROR(__xludf.DUMMYFUNCTION("""COMPUTED_VALUE"""),21.85)</f>
        <v>21.85</v>
      </c>
      <c r="N125" s="121"/>
      <c r="O125" s="120">
        <f ca="1">IFERROR(__xludf.DUMMYFUNCTION("""COMPUTED_VALUE"""),32.2)</f>
        <v>32.200000000000003</v>
      </c>
      <c r="P125" s="122"/>
      <c r="Q125" s="123" t="str">
        <f ca="1">IFERROR(__xludf.DUMMYFUNCTION("""COMPUTED_VALUE"""),"Avery Swanson")</f>
        <v>Avery Swanson</v>
      </c>
      <c r="R125" s="123" t="str">
        <f ca="1">IFERROR(__xludf.DUMMYFUNCTION("""COMPUTED_VALUE"""),"Chase McCormick")</f>
        <v>Chase McCormick</v>
      </c>
      <c r="S125" s="123" t="str">
        <f ca="1">IFERROR(__xludf.DUMMYFUNCTION("""COMPUTED_VALUE"""),"Aria Maru")</f>
        <v>Aria Maru</v>
      </c>
      <c r="T125" s="123" t="str">
        <f ca="1">IFERROR(__xludf.DUMMYFUNCTION("""COMPUTED_VALUE"""),"Bruce Sunderland")</f>
        <v>Bruce Sunderland</v>
      </c>
    </row>
    <row r="126" spans="1:20" ht="13.8">
      <c r="A126" s="118" t="str">
        <f ca="1">IFERROR(__xludf.DUMMYFUNCTION("""COMPUTED_VALUE"""),"CCC")</f>
        <v>CCC</v>
      </c>
      <c r="B126" s="119" t="str">
        <f ca="1">IFERROR(__xludf.DUMMYFUNCTION("""COMPUTED_VALUE"""),"Graciela Padilla")</f>
        <v>Graciela Padilla</v>
      </c>
      <c r="C126" s="118">
        <f ca="1">IFERROR(__xludf.DUMMYFUNCTION("""COMPUTED_VALUE"""),8)</f>
        <v>8</v>
      </c>
      <c r="D126" s="118" t="str">
        <f ca="1">IFERROR(__xludf.DUMMYFUNCTION("""COMPUTED_VALUE"""),"G")</f>
        <v>G</v>
      </c>
      <c r="E126" s="118" t="str">
        <f ca="1">IFERROR(__xludf.DUMMYFUNCTION("""COMPUTED_VALUE"""),"F")</f>
        <v>F</v>
      </c>
      <c r="F126" s="118" t="str">
        <f ca="1">IFERROR(__xludf.DUMMYFUNCTION("""COMPUTED_VALUE"""),"J")</f>
        <v>J</v>
      </c>
      <c r="G126" s="118">
        <f ca="1">IFERROR(__xludf.DUMMYFUNCTION("""COMPUTED_VALUE"""),5)</f>
        <v>5</v>
      </c>
      <c r="H126" s="118" t="str">
        <f ca="1">IFERROR(__xludf.DUMMYFUNCTION("""COMPUTED_VALUE"""),"CCC")</f>
        <v>CCC</v>
      </c>
      <c r="I126" s="118">
        <f ca="1">IFERROR(__xludf.DUMMYFUNCTION("""COMPUTED_VALUE"""),4)</f>
        <v>4</v>
      </c>
      <c r="J126" s="118">
        <f ca="1">IFERROR(__xludf.DUMMYFUNCTION("""COMPUTED_VALUE"""),4)</f>
        <v>4</v>
      </c>
      <c r="K126" s="120">
        <f ca="1">IFERROR(__xludf.DUMMYFUNCTION("""COMPUTED_VALUE"""),42.1)</f>
        <v>42.1</v>
      </c>
      <c r="L126" s="121"/>
      <c r="M126" s="120">
        <f ca="1">IFERROR(__xludf.DUMMYFUNCTION("""COMPUTED_VALUE"""),34.1)</f>
        <v>34.1</v>
      </c>
      <c r="N126" s="121"/>
      <c r="O126" s="120">
        <f ca="1">IFERROR(__xludf.DUMMYFUNCTION("""COMPUTED_VALUE"""),32.5)</f>
        <v>32.5</v>
      </c>
      <c r="P126" s="122"/>
      <c r="Q126" s="123" t="str">
        <f ca="1">IFERROR(__xludf.DUMMYFUNCTION("""COMPUTED_VALUE"""),"Avery Thoman")</f>
        <v>Avery Thoman</v>
      </c>
      <c r="R126" s="123" t="str">
        <f ca="1">IFERROR(__xludf.DUMMYFUNCTION("""COMPUTED_VALUE"""),"Chi Sandhu")</f>
        <v>Chi Sandhu</v>
      </c>
      <c r="S126" s="123" t="str">
        <f ca="1">IFERROR(__xludf.DUMMYFUNCTION("""COMPUTED_VALUE"""),"Arianna Patrick")</f>
        <v>Arianna Patrick</v>
      </c>
      <c r="T126" s="123" t="str">
        <f ca="1">IFERROR(__xludf.DUMMYFUNCTION("""COMPUTED_VALUE"""),"Bryan Markey")</f>
        <v>Bryan Markey</v>
      </c>
    </row>
    <row r="127" spans="1:20" ht="13.8">
      <c r="A127" s="118" t="str">
        <f ca="1">IFERROR(__xludf.DUMMYFUNCTION("""COMPUTED_VALUE"""),"CCC")</f>
        <v>CCC</v>
      </c>
      <c r="B127" s="119" t="str">
        <f ca="1">IFERROR(__xludf.DUMMYFUNCTION("""COMPUTED_VALUE"""),"Leila Diliberto")</f>
        <v>Leila Diliberto</v>
      </c>
      <c r="C127" s="118">
        <f ca="1">IFERROR(__xludf.DUMMYFUNCTION("""COMPUTED_VALUE"""),9)</f>
        <v>9</v>
      </c>
      <c r="D127" s="118" t="str">
        <f ca="1">IFERROR(__xludf.DUMMYFUNCTION("""COMPUTED_VALUE"""),"G")</f>
        <v>G</v>
      </c>
      <c r="E127" s="118" t="str">
        <f ca="1">IFERROR(__xludf.DUMMYFUNCTION("""COMPUTED_VALUE"""),"F")</f>
        <v>F</v>
      </c>
      <c r="F127" s="118" t="str">
        <f ca="1">IFERROR(__xludf.DUMMYFUNCTION("""COMPUTED_VALUE"""),"J")</f>
        <v>J</v>
      </c>
      <c r="G127" s="118">
        <f ca="1">IFERROR(__xludf.DUMMYFUNCTION("""COMPUTED_VALUE"""),5)</f>
        <v>5</v>
      </c>
      <c r="H127" s="118" t="str">
        <f ca="1">IFERROR(__xludf.DUMMYFUNCTION("""COMPUTED_VALUE"""),"CCC")</f>
        <v>CCC</v>
      </c>
      <c r="I127" s="118">
        <f ca="1">IFERROR(__xludf.DUMMYFUNCTION("""COMPUTED_VALUE"""),4)</f>
        <v>4</v>
      </c>
      <c r="J127" s="118">
        <f ca="1">IFERROR(__xludf.DUMMYFUNCTION("""COMPUTED_VALUE"""),4)</f>
        <v>4</v>
      </c>
      <c r="K127" s="120">
        <f ca="1">IFERROR(__xludf.DUMMYFUNCTION("""COMPUTED_VALUE"""),52.35)</f>
        <v>52.35</v>
      </c>
      <c r="L127" s="121"/>
      <c r="M127" s="120"/>
      <c r="N127" s="121"/>
      <c r="O127" s="120">
        <f ca="1">IFERROR(__xludf.DUMMYFUNCTION("""COMPUTED_VALUE"""),8.75)</f>
        <v>8.75</v>
      </c>
      <c r="P127" s="122"/>
      <c r="Q127" s="123" t="str">
        <f ca="1">IFERROR(__xludf.DUMMYFUNCTION("""COMPUTED_VALUE"""),"Avery Wing")</f>
        <v>Avery Wing</v>
      </c>
      <c r="R127" s="123" t="str">
        <f ca="1">IFERROR(__xludf.DUMMYFUNCTION("""COMPUTED_VALUE"""),"Chris Buell")</f>
        <v>Chris Buell</v>
      </c>
      <c r="S127" s="123" t="str">
        <f ca="1">IFERROR(__xludf.DUMMYFUNCTION("""COMPUTED_VALUE"""),"Arlee Miller")</f>
        <v>Arlee Miller</v>
      </c>
      <c r="T127" s="123" t="str">
        <f ca="1">IFERROR(__xludf.DUMMYFUNCTION("""COMPUTED_VALUE"""),"Bryce Doorley")</f>
        <v>Bryce Doorley</v>
      </c>
    </row>
    <row r="128" spans="1:20" ht="13.8">
      <c r="A128" s="118" t="str">
        <f ca="1">IFERROR(__xludf.DUMMYFUNCTION("""COMPUTED_VALUE"""),"CCC")</f>
        <v>CCC</v>
      </c>
      <c r="B128" s="119" t="str">
        <f ca="1">IFERROR(__xludf.DUMMYFUNCTION("""COMPUTED_VALUE"""),"Lillian Wade")</f>
        <v>Lillian Wade</v>
      </c>
      <c r="C128" s="118">
        <f ca="1">IFERROR(__xludf.DUMMYFUNCTION("""COMPUTED_VALUE"""),10)</f>
        <v>10</v>
      </c>
      <c r="D128" s="118" t="str">
        <f ca="1">IFERROR(__xludf.DUMMYFUNCTION("""COMPUTED_VALUE"""),"G")</f>
        <v>G</v>
      </c>
      <c r="E128" s="118" t="str">
        <f ca="1">IFERROR(__xludf.DUMMYFUNCTION("""COMPUTED_VALUE"""),"F")</f>
        <v>F</v>
      </c>
      <c r="F128" s="118" t="str">
        <f ca="1">IFERROR(__xludf.DUMMYFUNCTION("""COMPUTED_VALUE"""),"J")</f>
        <v>J</v>
      </c>
      <c r="G128" s="118">
        <f ca="1">IFERROR(__xludf.DUMMYFUNCTION("""COMPUTED_VALUE"""),5)</f>
        <v>5</v>
      </c>
      <c r="H128" s="118" t="str">
        <f ca="1">IFERROR(__xludf.DUMMYFUNCTION("""COMPUTED_VALUE"""),"CCC")</f>
        <v>CCC</v>
      </c>
      <c r="I128" s="118">
        <f ca="1">IFERROR(__xludf.DUMMYFUNCTION("""COMPUTED_VALUE"""),4)</f>
        <v>4</v>
      </c>
      <c r="J128" s="118">
        <f ca="1">IFERROR(__xludf.DUMMYFUNCTION("""COMPUTED_VALUE"""),5)</f>
        <v>5</v>
      </c>
      <c r="K128" s="120">
        <f ca="1">IFERROR(__xludf.DUMMYFUNCTION("""COMPUTED_VALUE"""),32.7)</f>
        <v>32.700000000000003</v>
      </c>
      <c r="L128" s="121"/>
      <c r="M128" s="120">
        <f ca="1">IFERROR(__xludf.DUMMYFUNCTION("""COMPUTED_VALUE"""),23.75)</f>
        <v>23.75</v>
      </c>
      <c r="N128" s="121"/>
      <c r="O128" s="120">
        <f ca="1">IFERROR(__xludf.DUMMYFUNCTION("""COMPUTED_VALUE"""),28.05)</f>
        <v>28.05</v>
      </c>
      <c r="P128" s="122"/>
      <c r="Q128" s="123" t="str">
        <f ca="1">IFERROR(__xludf.DUMMYFUNCTION("""COMPUTED_VALUE"""),"Bailey Themak")</f>
        <v>Bailey Themak</v>
      </c>
      <c r="R128" s="123" t="str">
        <f ca="1">IFERROR(__xludf.DUMMYFUNCTION("""COMPUTED_VALUE"""),"Christian Jacobs")</f>
        <v>Christian Jacobs</v>
      </c>
      <c r="S128" s="123" t="str">
        <f ca="1">IFERROR(__xludf.DUMMYFUNCTION("""COMPUTED_VALUE"""),"Artemisia Hashemi")</f>
        <v>Artemisia Hashemi</v>
      </c>
      <c r="T128" s="123" t="str">
        <f ca="1">IFERROR(__xludf.DUMMYFUNCTION("""COMPUTED_VALUE"""),"Brycen Kwak")</f>
        <v>Brycen Kwak</v>
      </c>
    </row>
    <row r="129" spans="1:20" ht="13.8">
      <c r="A129" s="118" t="str">
        <f ca="1">IFERROR(__xludf.DUMMYFUNCTION("""COMPUTED_VALUE"""),"CCC")</f>
        <v>CCC</v>
      </c>
      <c r="B129" s="119" t="str">
        <f ca="1">IFERROR(__xludf.DUMMYFUNCTION("""COMPUTED_VALUE"""),"Maggie Wahl")</f>
        <v>Maggie Wahl</v>
      </c>
      <c r="C129" s="118">
        <f ca="1">IFERROR(__xludf.DUMMYFUNCTION("""COMPUTED_VALUE"""),10)</f>
        <v>10</v>
      </c>
      <c r="D129" s="118" t="str">
        <f ca="1">IFERROR(__xludf.DUMMYFUNCTION("""COMPUTED_VALUE"""),"G")</f>
        <v>G</v>
      </c>
      <c r="E129" s="118" t="str">
        <f ca="1">IFERROR(__xludf.DUMMYFUNCTION("""COMPUTED_VALUE"""),"F")</f>
        <v>F</v>
      </c>
      <c r="F129" s="118" t="str">
        <f ca="1">IFERROR(__xludf.DUMMYFUNCTION("""COMPUTED_VALUE"""),"J")</f>
        <v>J</v>
      </c>
      <c r="G129" s="118">
        <f ca="1">IFERROR(__xludf.DUMMYFUNCTION("""COMPUTED_VALUE"""),5)</f>
        <v>5</v>
      </c>
      <c r="H129" s="118" t="str">
        <f ca="1">IFERROR(__xludf.DUMMYFUNCTION("""COMPUTED_VALUE"""),"CCC")</f>
        <v>CCC</v>
      </c>
      <c r="I129" s="118">
        <f ca="1">IFERROR(__xludf.DUMMYFUNCTION("""COMPUTED_VALUE"""),4)</f>
        <v>4</v>
      </c>
      <c r="J129" s="118">
        <f ca="1">IFERROR(__xludf.DUMMYFUNCTION("""COMPUTED_VALUE"""),4)</f>
        <v>4</v>
      </c>
      <c r="K129" s="120">
        <f ca="1">IFERROR(__xludf.DUMMYFUNCTION("""COMPUTED_VALUE"""),42.65)</f>
        <v>42.65</v>
      </c>
      <c r="L129" s="121"/>
      <c r="M129" s="120"/>
      <c r="N129" s="121"/>
      <c r="O129" s="120">
        <f ca="1">IFERROR(__xludf.DUMMYFUNCTION("""COMPUTED_VALUE"""),31.55)</f>
        <v>31.55</v>
      </c>
      <c r="P129" s="122"/>
      <c r="Q129" s="123" t="str">
        <f ca="1">IFERROR(__xludf.DUMMYFUNCTION("""COMPUTED_VALUE"""),"Barbara Santley")</f>
        <v>Barbara Santley</v>
      </c>
      <c r="R129" s="123" t="str">
        <f ca="1">IFERROR(__xludf.DUMMYFUNCTION("""COMPUTED_VALUE"""),"Christopher Barron")</f>
        <v>Christopher Barron</v>
      </c>
      <c r="S129" s="123" t="str">
        <f ca="1">IFERROR(__xludf.DUMMYFUNCTION("""COMPUTED_VALUE"""),"Arya Bitner")</f>
        <v>Arya Bitner</v>
      </c>
      <c r="T129" s="123" t="str">
        <f ca="1">IFERROR(__xludf.DUMMYFUNCTION("""COMPUTED_VALUE"""),"Cade Nelson")</f>
        <v>Cade Nelson</v>
      </c>
    </row>
    <row r="130" spans="1:20" ht="13.8">
      <c r="A130" s="118" t="str">
        <f ca="1">IFERROR(__xludf.DUMMYFUNCTION("""COMPUTED_VALUE"""),"CCC")</f>
        <v>CCC</v>
      </c>
      <c r="B130" s="119" t="str">
        <f ca="1">IFERROR(__xludf.DUMMYFUNCTION("""COMPUTED_VALUE"""),"Maren Lamkin")</f>
        <v>Maren Lamkin</v>
      </c>
      <c r="C130" s="118">
        <f ca="1">IFERROR(__xludf.DUMMYFUNCTION("""COMPUTED_VALUE"""),10)</f>
        <v>10</v>
      </c>
      <c r="D130" s="118" t="str">
        <f ca="1">IFERROR(__xludf.DUMMYFUNCTION("""COMPUTED_VALUE"""),"G")</f>
        <v>G</v>
      </c>
      <c r="E130" s="118" t="str">
        <f ca="1">IFERROR(__xludf.DUMMYFUNCTION("""COMPUTED_VALUE"""),"F")</f>
        <v>F</v>
      </c>
      <c r="F130" s="118" t="str">
        <f ca="1">IFERROR(__xludf.DUMMYFUNCTION("""COMPUTED_VALUE"""),"J")</f>
        <v>J</v>
      </c>
      <c r="G130" s="118">
        <f ca="1">IFERROR(__xludf.DUMMYFUNCTION("""COMPUTED_VALUE"""),5)</f>
        <v>5</v>
      </c>
      <c r="H130" s="118" t="str">
        <f ca="1">IFERROR(__xludf.DUMMYFUNCTION("""COMPUTED_VALUE"""),"CCC")</f>
        <v>CCC</v>
      </c>
      <c r="I130" s="118">
        <f ca="1">IFERROR(__xludf.DUMMYFUNCTION("""COMPUTED_VALUE"""),4)</f>
        <v>4</v>
      </c>
      <c r="J130" s="118">
        <f ca="1">IFERROR(__xludf.DUMMYFUNCTION("""COMPUTED_VALUE"""),3)</f>
        <v>3</v>
      </c>
      <c r="K130" s="120">
        <f ca="1">IFERROR(__xludf.DUMMYFUNCTION("""COMPUTED_VALUE"""),46.9)</f>
        <v>46.9</v>
      </c>
      <c r="L130" s="121"/>
      <c r="M130" s="120"/>
      <c r="N130" s="121"/>
      <c r="O130" s="120"/>
      <c r="P130" s="122"/>
      <c r="Q130" s="123" t="str">
        <f ca="1">IFERROR(__xludf.DUMMYFUNCTION("""COMPUTED_VALUE"""),"Beatrice Lieu St Amant")</f>
        <v>Beatrice Lieu St Amant</v>
      </c>
      <c r="R130" s="123" t="str">
        <f ca="1">IFERROR(__xludf.DUMMYFUNCTION("""COMPUTED_VALUE"""),"Christopher Neumann")</f>
        <v>Christopher Neumann</v>
      </c>
      <c r="S130" s="123" t="str">
        <f ca="1">IFERROR(__xludf.DUMMYFUNCTION("""COMPUTED_VALUE"""),"Asha Seeratan Holohan")</f>
        <v>Asha Seeratan Holohan</v>
      </c>
      <c r="T130" s="123" t="str">
        <f ca="1">IFERROR(__xludf.DUMMYFUNCTION("""COMPUTED_VALUE"""),"Caden Guy")</f>
        <v>Caden Guy</v>
      </c>
    </row>
    <row r="131" spans="1:20" ht="13.8">
      <c r="A131" s="118" t="str">
        <f ca="1">IFERROR(__xludf.DUMMYFUNCTION("""COMPUTED_VALUE"""),"CCC")</f>
        <v>CCC</v>
      </c>
      <c r="B131" s="119" t="str">
        <f ca="1">IFERROR(__xludf.DUMMYFUNCTION("""COMPUTED_VALUE"""),"Margot Kelley")</f>
        <v>Margot Kelley</v>
      </c>
      <c r="C131" s="118">
        <f ca="1">IFERROR(__xludf.DUMMYFUNCTION("""COMPUTED_VALUE"""),10)</f>
        <v>10</v>
      </c>
      <c r="D131" s="118" t="str">
        <f ca="1">IFERROR(__xludf.DUMMYFUNCTION("""COMPUTED_VALUE"""),"G")</f>
        <v>G</v>
      </c>
      <c r="E131" s="118" t="str">
        <f ca="1">IFERROR(__xludf.DUMMYFUNCTION("""COMPUTED_VALUE"""),"F")</f>
        <v>F</v>
      </c>
      <c r="F131" s="118" t="str">
        <f ca="1">IFERROR(__xludf.DUMMYFUNCTION("""COMPUTED_VALUE"""),"J")</f>
        <v>J</v>
      </c>
      <c r="G131" s="118">
        <f ca="1">IFERROR(__xludf.DUMMYFUNCTION("""COMPUTED_VALUE"""),5)</f>
        <v>5</v>
      </c>
      <c r="H131" s="118" t="str">
        <f ca="1">IFERROR(__xludf.DUMMYFUNCTION("""COMPUTED_VALUE"""),"CCC")</f>
        <v>CCC</v>
      </c>
      <c r="I131" s="118">
        <f ca="1">IFERROR(__xludf.DUMMYFUNCTION("""COMPUTED_VALUE"""),4)</f>
        <v>4</v>
      </c>
      <c r="J131" s="118">
        <f ca="1">IFERROR(__xludf.DUMMYFUNCTION("""COMPUTED_VALUE"""),4)</f>
        <v>4</v>
      </c>
      <c r="K131" s="120">
        <f ca="1">IFERROR(__xludf.DUMMYFUNCTION("""COMPUTED_VALUE"""),24.7)</f>
        <v>24.7</v>
      </c>
      <c r="L131" s="121"/>
      <c r="M131" s="120"/>
      <c r="N131" s="121"/>
      <c r="O131" s="120">
        <f ca="1">IFERROR(__xludf.DUMMYFUNCTION("""COMPUTED_VALUE"""),21.75)</f>
        <v>21.75</v>
      </c>
      <c r="P131" s="122"/>
      <c r="Q131" s="123" t="str">
        <f ca="1">IFERROR(__xludf.DUMMYFUNCTION("""COMPUTED_VALUE"""),"Beatrice Simonsen")</f>
        <v>Beatrice Simonsen</v>
      </c>
      <c r="R131" s="123" t="str">
        <f ca="1">IFERROR(__xludf.DUMMYFUNCTION("""COMPUTED_VALUE"""),"Christopher Olsen")</f>
        <v>Christopher Olsen</v>
      </c>
      <c r="S131" s="123" t="str">
        <f ca="1">IFERROR(__xludf.DUMMYFUNCTION("""COMPUTED_VALUE"""),"Ashley Alizadeh")</f>
        <v>Ashley Alizadeh</v>
      </c>
      <c r="T131" s="123" t="str">
        <f ca="1">IFERROR(__xludf.DUMMYFUNCTION("""COMPUTED_VALUE"""),"Caedin Calhoun")</f>
        <v>Caedin Calhoun</v>
      </c>
    </row>
    <row r="132" spans="1:20" ht="13.8">
      <c r="A132" s="118" t="str">
        <f ca="1">IFERROR(__xludf.DUMMYFUNCTION("""COMPUTED_VALUE"""),"CCC")</f>
        <v>CCC</v>
      </c>
      <c r="B132" s="119" t="str">
        <f ca="1">IFERROR(__xludf.DUMMYFUNCTION("""COMPUTED_VALUE"""),"Nora Morgan")</f>
        <v>Nora Morgan</v>
      </c>
      <c r="C132" s="118">
        <f ca="1">IFERROR(__xludf.DUMMYFUNCTION("""COMPUTED_VALUE"""),9)</f>
        <v>9</v>
      </c>
      <c r="D132" s="118" t="str">
        <f ca="1">IFERROR(__xludf.DUMMYFUNCTION("""COMPUTED_VALUE"""),"G")</f>
        <v>G</v>
      </c>
      <c r="E132" s="118" t="str">
        <f ca="1">IFERROR(__xludf.DUMMYFUNCTION("""COMPUTED_VALUE"""),"F")</f>
        <v>F</v>
      </c>
      <c r="F132" s="118" t="str">
        <f ca="1">IFERROR(__xludf.DUMMYFUNCTION("""COMPUTED_VALUE"""),"J")</f>
        <v>J</v>
      </c>
      <c r="G132" s="118">
        <f ca="1">IFERROR(__xludf.DUMMYFUNCTION("""COMPUTED_VALUE"""),5)</f>
        <v>5</v>
      </c>
      <c r="H132" s="118" t="str">
        <f ca="1">IFERROR(__xludf.DUMMYFUNCTION("""COMPUTED_VALUE"""),"CCC")</f>
        <v>CCC</v>
      </c>
      <c r="I132" s="118">
        <f ca="1">IFERROR(__xludf.DUMMYFUNCTION("""COMPUTED_VALUE"""),4)</f>
        <v>4</v>
      </c>
      <c r="J132" s="118">
        <f ca="1">IFERROR(__xludf.DUMMYFUNCTION("""COMPUTED_VALUE"""),1)</f>
        <v>1</v>
      </c>
      <c r="K132" s="120">
        <f ca="1">IFERROR(__xludf.DUMMYFUNCTION("""COMPUTED_VALUE"""),36.45)</f>
        <v>36.450000000000003</v>
      </c>
      <c r="L132" s="121"/>
      <c r="M132" s="120"/>
      <c r="N132" s="121"/>
      <c r="O132" s="120"/>
      <c r="P132" s="122"/>
      <c r="Q132" s="123" t="str">
        <f ca="1">IFERROR(__xludf.DUMMYFUNCTION("""COMPUTED_VALUE"""),"Bee Brown")</f>
        <v>Bee Brown</v>
      </c>
      <c r="R132" s="123" t="str">
        <f ca="1">IFERROR(__xludf.DUMMYFUNCTION("""COMPUTED_VALUE"""),"CJ Petersen")</f>
        <v>CJ Petersen</v>
      </c>
      <c r="S132" s="123" t="str">
        <f ca="1">IFERROR(__xludf.DUMMYFUNCTION("""COMPUTED_VALUE"""),"Aubree Burnside")</f>
        <v>Aubree Burnside</v>
      </c>
      <c r="T132" s="123" t="str">
        <f ca="1">IFERROR(__xludf.DUMMYFUNCTION("""COMPUTED_VALUE"""),"Caelum Cox")</f>
        <v>Caelum Cox</v>
      </c>
    </row>
    <row r="133" spans="1:20" ht="13.8">
      <c r="A133" s="118" t="str">
        <f ca="1">IFERROR(__xludf.DUMMYFUNCTION("""COMPUTED_VALUE"""),"CCC")</f>
        <v>CCC</v>
      </c>
      <c r="B133" s="119" t="str">
        <f ca="1">IFERROR(__xludf.DUMMYFUNCTION("""COMPUTED_VALUE"""),"Olivia Risley")</f>
        <v>Olivia Risley</v>
      </c>
      <c r="C133" s="118">
        <f ca="1">IFERROR(__xludf.DUMMYFUNCTION("""COMPUTED_VALUE"""),10)</f>
        <v>10</v>
      </c>
      <c r="D133" s="118" t="str">
        <f ca="1">IFERROR(__xludf.DUMMYFUNCTION("""COMPUTED_VALUE"""),"G")</f>
        <v>G</v>
      </c>
      <c r="E133" s="118" t="str">
        <f ca="1">IFERROR(__xludf.DUMMYFUNCTION("""COMPUTED_VALUE"""),"F")</f>
        <v>F</v>
      </c>
      <c r="F133" s="118" t="str">
        <f ca="1">IFERROR(__xludf.DUMMYFUNCTION("""COMPUTED_VALUE"""),"J")</f>
        <v>J</v>
      </c>
      <c r="G133" s="118">
        <f ca="1">IFERROR(__xludf.DUMMYFUNCTION("""COMPUTED_VALUE"""),5)</f>
        <v>5</v>
      </c>
      <c r="H133" s="118" t="str">
        <f ca="1">IFERROR(__xludf.DUMMYFUNCTION("""COMPUTED_VALUE"""),"CCC")</f>
        <v>CCC</v>
      </c>
      <c r="I133" s="118">
        <f ca="1">IFERROR(__xludf.DUMMYFUNCTION("""COMPUTED_VALUE"""),4)</f>
        <v>4</v>
      </c>
      <c r="J133" s="118">
        <f ca="1">IFERROR(__xludf.DUMMYFUNCTION("""COMPUTED_VALUE"""),5)</f>
        <v>5</v>
      </c>
      <c r="K133" s="120">
        <f ca="1">IFERROR(__xludf.DUMMYFUNCTION("""COMPUTED_VALUE"""),32.7)</f>
        <v>32.700000000000003</v>
      </c>
      <c r="L133" s="121"/>
      <c r="M133" s="120">
        <f ca="1">IFERROR(__xludf.DUMMYFUNCTION("""COMPUTED_VALUE"""),32.7)</f>
        <v>32.700000000000003</v>
      </c>
      <c r="N133" s="121"/>
      <c r="O133" s="120">
        <f ca="1">IFERROR(__xludf.DUMMYFUNCTION("""COMPUTED_VALUE"""),31.7)</f>
        <v>31.7</v>
      </c>
      <c r="P133" s="122"/>
      <c r="Q133" s="123" t="str">
        <f ca="1">IFERROR(__xludf.DUMMYFUNCTION("""COMPUTED_VALUE"""),"Bella DeSando")</f>
        <v>Bella DeSando</v>
      </c>
      <c r="R133" s="123" t="str">
        <f ca="1">IFERROR(__xludf.DUMMYFUNCTION("""COMPUTED_VALUE"""),"CJ Swemba")</f>
        <v>CJ Swemba</v>
      </c>
      <c r="S133" s="123" t="str">
        <f ca="1">IFERROR(__xludf.DUMMYFUNCTION("""COMPUTED_VALUE"""),"Aubrey Chaleunrath")</f>
        <v>Aubrey Chaleunrath</v>
      </c>
      <c r="T133" s="123" t="str">
        <f ca="1">IFERROR(__xludf.DUMMYFUNCTION("""COMPUTED_VALUE"""),"Caiden Stark")</f>
        <v>Caiden Stark</v>
      </c>
    </row>
    <row r="134" spans="1:20" ht="13.8">
      <c r="A134" s="118" t="str">
        <f ca="1">IFERROR(__xludf.DUMMYFUNCTION("""COMPUTED_VALUE"""),"CCC")</f>
        <v>CCC</v>
      </c>
      <c r="B134" s="119" t="str">
        <f ca="1">IFERROR(__xludf.DUMMYFUNCTION("""COMPUTED_VALUE"""),"Olivia Verdi")</f>
        <v>Olivia Verdi</v>
      </c>
      <c r="C134" s="118">
        <f ca="1">IFERROR(__xludf.DUMMYFUNCTION("""COMPUTED_VALUE"""),10)</f>
        <v>10</v>
      </c>
      <c r="D134" s="118" t="str">
        <f ca="1">IFERROR(__xludf.DUMMYFUNCTION("""COMPUTED_VALUE"""),"G")</f>
        <v>G</v>
      </c>
      <c r="E134" s="118" t="str">
        <f ca="1">IFERROR(__xludf.DUMMYFUNCTION("""COMPUTED_VALUE"""),"F")</f>
        <v>F</v>
      </c>
      <c r="F134" s="118" t="str">
        <f ca="1">IFERROR(__xludf.DUMMYFUNCTION("""COMPUTED_VALUE"""),"J")</f>
        <v>J</v>
      </c>
      <c r="G134" s="118">
        <f ca="1">IFERROR(__xludf.DUMMYFUNCTION("""COMPUTED_VALUE"""),5)</f>
        <v>5</v>
      </c>
      <c r="H134" s="118" t="str">
        <f ca="1">IFERROR(__xludf.DUMMYFUNCTION("""COMPUTED_VALUE"""),"CCC")</f>
        <v>CCC</v>
      </c>
      <c r="I134" s="118">
        <f ca="1">IFERROR(__xludf.DUMMYFUNCTION("""COMPUTED_VALUE"""),4)</f>
        <v>4</v>
      </c>
      <c r="J134" s="118">
        <f ca="1">IFERROR(__xludf.DUMMYFUNCTION("""COMPUTED_VALUE"""),0)</f>
        <v>0</v>
      </c>
      <c r="K134" s="120"/>
      <c r="L134" s="121"/>
      <c r="M134" s="120"/>
      <c r="N134" s="121"/>
      <c r="O134" s="120"/>
      <c r="P134" s="122"/>
      <c r="Q134" s="123" t="str">
        <f ca="1">IFERROR(__xludf.DUMMYFUNCTION("""COMPUTED_VALUE"""),"Bella Fleming")</f>
        <v>Bella Fleming</v>
      </c>
      <c r="R134" s="123" t="str">
        <f ca="1">IFERROR(__xludf.DUMMYFUNCTION("""COMPUTED_VALUE"""),"Clayton MacGarvey")</f>
        <v>Clayton MacGarvey</v>
      </c>
      <c r="S134" s="123" t="str">
        <f ca="1">IFERROR(__xludf.DUMMYFUNCTION("""COMPUTED_VALUE"""),"Audrey Bowman")</f>
        <v>Audrey Bowman</v>
      </c>
      <c r="T134" s="123" t="str">
        <f ca="1">IFERROR(__xludf.DUMMYFUNCTION("""COMPUTED_VALUE"""),"Caleb Cherryholmes-Wesley")</f>
        <v>Caleb Cherryholmes-Wesley</v>
      </c>
    </row>
    <row r="135" spans="1:20" ht="13.8">
      <c r="A135" s="118" t="str">
        <f ca="1">IFERROR(__xludf.DUMMYFUNCTION("""COMPUTED_VALUE"""),"CCC")</f>
        <v>CCC</v>
      </c>
      <c r="B135" s="119" t="str">
        <f ca="1">IFERROR(__xludf.DUMMYFUNCTION("""COMPUTED_VALUE"""),"Sara Curry-Briggs")</f>
        <v>Sara Curry-Briggs</v>
      </c>
      <c r="C135" s="118">
        <f ca="1">IFERROR(__xludf.DUMMYFUNCTION("""COMPUTED_VALUE"""),10)</f>
        <v>10</v>
      </c>
      <c r="D135" s="118" t="str">
        <f ca="1">IFERROR(__xludf.DUMMYFUNCTION("""COMPUTED_VALUE"""),"G")</f>
        <v>G</v>
      </c>
      <c r="E135" s="118" t="str">
        <f ca="1">IFERROR(__xludf.DUMMYFUNCTION("""COMPUTED_VALUE"""),"F")</f>
        <v>F</v>
      </c>
      <c r="F135" s="118" t="str">
        <f ca="1">IFERROR(__xludf.DUMMYFUNCTION("""COMPUTED_VALUE"""),"J")</f>
        <v>J</v>
      </c>
      <c r="G135" s="118">
        <f ca="1">IFERROR(__xludf.DUMMYFUNCTION("""COMPUTED_VALUE"""),5)</f>
        <v>5</v>
      </c>
      <c r="H135" s="118" t="str">
        <f ca="1">IFERROR(__xludf.DUMMYFUNCTION("""COMPUTED_VALUE"""),"CCC")</f>
        <v>CCC</v>
      </c>
      <c r="I135" s="118">
        <f ca="1">IFERROR(__xludf.DUMMYFUNCTION("""COMPUTED_VALUE"""),4)</f>
        <v>4</v>
      </c>
      <c r="J135" s="118">
        <f ca="1">IFERROR(__xludf.DUMMYFUNCTION("""COMPUTED_VALUE"""),4)</f>
        <v>4</v>
      </c>
      <c r="K135" s="120">
        <f ca="1">IFERROR(__xludf.DUMMYFUNCTION("""COMPUTED_VALUE"""),57.95)</f>
        <v>57.95</v>
      </c>
      <c r="L135" s="121"/>
      <c r="M135" s="120">
        <f ca="1">IFERROR(__xludf.DUMMYFUNCTION("""COMPUTED_VALUE"""),57.95)</f>
        <v>57.95</v>
      </c>
      <c r="N135" s="121"/>
      <c r="O135" s="120">
        <f ca="1">IFERROR(__xludf.DUMMYFUNCTION("""COMPUTED_VALUE"""),-68.3)</f>
        <v>-68.3</v>
      </c>
      <c r="P135" s="122"/>
      <c r="Q135" s="123" t="str">
        <f ca="1">IFERROR(__xludf.DUMMYFUNCTION("""COMPUTED_VALUE"""),"Belle Amatuzzi")</f>
        <v>Belle Amatuzzi</v>
      </c>
      <c r="R135" s="123" t="str">
        <f ca="1">IFERROR(__xludf.DUMMYFUNCTION("""COMPUTED_VALUE"""),"Colby Steffen")</f>
        <v>Colby Steffen</v>
      </c>
      <c r="S135" s="123" t="str">
        <f ca="1">IFERROR(__xludf.DUMMYFUNCTION("""COMPUTED_VALUE"""),"Audrey Crane")</f>
        <v>Audrey Crane</v>
      </c>
      <c r="T135" s="123" t="str">
        <f ca="1">IFERROR(__xludf.DUMMYFUNCTION("""COMPUTED_VALUE"""),"Caleb Hoover")</f>
        <v>Caleb Hoover</v>
      </c>
    </row>
    <row r="136" spans="1:20" ht="13.8">
      <c r="A136" s="118" t="str">
        <f ca="1">IFERROR(__xludf.DUMMYFUNCTION("""COMPUTED_VALUE"""),"CCC")</f>
        <v>CCC</v>
      </c>
      <c r="B136" s="119" t="str">
        <f ca="1">IFERROR(__xludf.DUMMYFUNCTION("""COMPUTED_VALUE"""),"Teagan Williams")</f>
        <v>Teagan Williams</v>
      </c>
      <c r="C136" s="118">
        <f ca="1">IFERROR(__xludf.DUMMYFUNCTION("""COMPUTED_VALUE"""),9)</f>
        <v>9</v>
      </c>
      <c r="D136" s="118" t="str">
        <f ca="1">IFERROR(__xludf.DUMMYFUNCTION("""COMPUTED_VALUE"""),"G")</f>
        <v>G</v>
      </c>
      <c r="E136" s="118" t="str">
        <f ca="1">IFERROR(__xludf.DUMMYFUNCTION("""COMPUTED_VALUE"""),"F")</f>
        <v>F</v>
      </c>
      <c r="F136" s="118" t="str">
        <f ca="1">IFERROR(__xludf.DUMMYFUNCTION("""COMPUTED_VALUE"""),"J")</f>
        <v>J</v>
      </c>
      <c r="G136" s="118">
        <f ca="1">IFERROR(__xludf.DUMMYFUNCTION("""COMPUTED_VALUE"""),5)</f>
        <v>5</v>
      </c>
      <c r="H136" s="118" t="str">
        <f ca="1">IFERROR(__xludf.DUMMYFUNCTION("""COMPUTED_VALUE"""),"CCC")</f>
        <v>CCC</v>
      </c>
      <c r="I136" s="118">
        <f ca="1">IFERROR(__xludf.DUMMYFUNCTION("""COMPUTED_VALUE"""),4)</f>
        <v>4</v>
      </c>
      <c r="J136" s="118">
        <f ca="1">IFERROR(__xludf.DUMMYFUNCTION("""COMPUTED_VALUE"""),4)</f>
        <v>4</v>
      </c>
      <c r="K136" s="120">
        <f ca="1">IFERROR(__xludf.DUMMYFUNCTION("""COMPUTED_VALUE"""),54.8)</f>
        <v>54.8</v>
      </c>
      <c r="L136" s="121"/>
      <c r="M136" s="120">
        <f ca="1">IFERROR(__xludf.DUMMYFUNCTION("""COMPUTED_VALUE"""),14.75)</f>
        <v>14.75</v>
      </c>
      <c r="N136" s="121"/>
      <c r="O136" s="120">
        <f ca="1">IFERROR(__xludf.DUMMYFUNCTION("""COMPUTED_VALUE"""),31.65)</f>
        <v>31.65</v>
      </c>
      <c r="P136" s="122"/>
      <c r="Q136" s="123" t="str">
        <f ca="1">IFERROR(__xludf.DUMMYFUNCTION("""COMPUTED_VALUE"""),"Bennett Barletta")</f>
        <v>Bennett Barletta</v>
      </c>
      <c r="R136" s="123" t="str">
        <f ca="1">IFERROR(__xludf.DUMMYFUNCTION("""COMPUTED_VALUE"""),"Cole Fegan")</f>
        <v>Cole Fegan</v>
      </c>
      <c r="S136" s="123" t="str">
        <f ca="1">IFERROR(__xludf.DUMMYFUNCTION("""COMPUTED_VALUE"""),"Audrey Cusner")</f>
        <v>Audrey Cusner</v>
      </c>
      <c r="T136" s="123" t="str">
        <f ca="1">IFERROR(__xludf.DUMMYFUNCTION("""COMPUTED_VALUE"""),"Caleb McManus")</f>
        <v>Caleb McManus</v>
      </c>
    </row>
    <row r="137" spans="1:20" ht="13.8">
      <c r="A137" s="118" t="str">
        <f ca="1">IFERROR(__xludf.DUMMYFUNCTION("""COMPUTED_VALUE"""),"CCC")</f>
        <v>CCC</v>
      </c>
      <c r="B137" s="119" t="str">
        <f ca="1">IFERROR(__xludf.DUMMYFUNCTION("""COMPUTED_VALUE"""),"Vidya Bharathan")</f>
        <v>Vidya Bharathan</v>
      </c>
      <c r="C137" s="118">
        <f ca="1">IFERROR(__xludf.DUMMYFUNCTION("""COMPUTED_VALUE"""),8)</f>
        <v>8</v>
      </c>
      <c r="D137" s="118" t="str">
        <f ca="1">IFERROR(__xludf.DUMMYFUNCTION("""COMPUTED_VALUE"""),"G")</f>
        <v>G</v>
      </c>
      <c r="E137" s="118" t="str">
        <f ca="1">IFERROR(__xludf.DUMMYFUNCTION("""COMPUTED_VALUE"""),"F")</f>
        <v>F</v>
      </c>
      <c r="F137" s="118" t="str">
        <f ca="1">IFERROR(__xludf.DUMMYFUNCTION("""COMPUTED_VALUE"""),"J")</f>
        <v>J</v>
      </c>
      <c r="G137" s="118">
        <f ca="1">IFERROR(__xludf.DUMMYFUNCTION("""COMPUTED_VALUE"""),5)</f>
        <v>5</v>
      </c>
      <c r="H137" s="118" t="str">
        <f ca="1">IFERROR(__xludf.DUMMYFUNCTION("""COMPUTED_VALUE"""),"CCC")</f>
        <v>CCC</v>
      </c>
      <c r="I137" s="118">
        <f ca="1">IFERROR(__xludf.DUMMYFUNCTION("""COMPUTED_VALUE"""),4)</f>
        <v>4</v>
      </c>
      <c r="J137" s="118">
        <f ca="1">IFERROR(__xludf.DUMMYFUNCTION("""COMPUTED_VALUE"""),5)</f>
        <v>5</v>
      </c>
      <c r="K137" s="120">
        <f ca="1">IFERROR(__xludf.DUMMYFUNCTION("""COMPUTED_VALUE"""),54.75)</f>
        <v>54.75</v>
      </c>
      <c r="L137" s="121"/>
      <c r="M137" s="120">
        <f ca="1">IFERROR(__xludf.DUMMYFUNCTION("""COMPUTED_VALUE"""),43.95)</f>
        <v>43.95</v>
      </c>
      <c r="N137" s="121"/>
      <c r="O137" s="120">
        <f ca="1">IFERROR(__xludf.DUMMYFUNCTION("""COMPUTED_VALUE"""),47.65)</f>
        <v>47.65</v>
      </c>
      <c r="P137" s="122"/>
      <c r="Q137" s="123" t="str">
        <f ca="1">IFERROR(__xludf.DUMMYFUNCTION("""COMPUTED_VALUE"""),"Blaire Kellogg")</f>
        <v>Blaire Kellogg</v>
      </c>
      <c r="R137" s="123" t="str">
        <f ca="1">IFERROR(__xludf.DUMMYFUNCTION("""COMPUTED_VALUE"""),"Colin Wilson")</f>
        <v>Colin Wilson</v>
      </c>
      <c r="S137" s="123" t="str">
        <f ca="1">IFERROR(__xludf.DUMMYFUNCTION("""COMPUTED_VALUE"""),"Audrey Fleming")</f>
        <v>Audrey Fleming</v>
      </c>
      <c r="T137" s="123" t="str">
        <f ca="1">IFERROR(__xludf.DUMMYFUNCTION("""COMPUTED_VALUE"""),"Caleb Orban")</f>
        <v>Caleb Orban</v>
      </c>
    </row>
    <row r="138" spans="1:20" ht="13.8">
      <c r="A138" s="118" t="str">
        <f ca="1">IFERROR(__xludf.DUMMYFUNCTION("""COMPUTED_VALUE"""),"CCC")</f>
        <v>CCC</v>
      </c>
      <c r="B138" s="119" t="str">
        <f ca="1">IFERROR(__xludf.DUMMYFUNCTION("""COMPUTED_VALUE"""),"Winnie Dugan")</f>
        <v>Winnie Dugan</v>
      </c>
      <c r="C138" s="118">
        <f ca="1">IFERROR(__xludf.DUMMYFUNCTION("""COMPUTED_VALUE"""),10)</f>
        <v>10</v>
      </c>
      <c r="D138" s="118" t="str">
        <f ca="1">IFERROR(__xludf.DUMMYFUNCTION("""COMPUTED_VALUE"""),"G")</f>
        <v>G</v>
      </c>
      <c r="E138" s="118" t="str">
        <f ca="1">IFERROR(__xludf.DUMMYFUNCTION("""COMPUTED_VALUE"""),"F")</f>
        <v>F</v>
      </c>
      <c r="F138" s="118" t="str">
        <f ca="1">IFERROR(__xludf.DUMMYFUNCTION("""COMPUTED_VALUE"""),"J")</f>
        <v>J</v>
      </c>
      <c r="G138" s="118">
        <f ca="1">IFERROR(__xludf.DUMMYFUNCTION("""COMPUTED_VALUE"""),5)</f>
        <v>5</v>
      </c>
      <c r="H138" s="118" t="str">
        <f ca="1">IFERROR(__xludf.DUMMYFUNCTION("""COMPUTED_VALUE"""),"CCC")</f>
        <v>CCC</v>
      </c>
      <c r="I138" s="118">
        <f ca="1">IFERROR(__xludf.DUMMYFUNCTION("""COMPUTED_VALUE"""),4)</f>
        <v>4</v>
      </c>
      <c r="J138" s="118">
        <f ca="1">IFERROR(__xludf.DUMMYFUNCTION("""COMPUTED_VALUE"""),1)</f>
        <v>1</v>
      </c>
      <c r="K138" s="120">
        <f ca="1">IFERROR(__xludf.DUMMYFUNCTION("""COMPUTED_VALUE"""),24.95)</f>
        <v>24.95</v>
      </c>
      <c r="L138" s="121"/>
      <c r="M138" s="120"/>
      <c r="N138" s="121"/>
      <c r="O138" s="120"/>
      <c r="P138" s="122"/>
      <c r="Q138" s="123" t="str">
        <f ca="1">IFERROR(__xludf.DUMMYFUNCTION("""COMPUTED_VALUE"""),"Blakely Thompson")</f>
        <v>Blakely Thompson</v>
      </c>
      <c r="R138" s="123" t="str">
        <f ca="1">IFERROR(__xludf.DUMMYFUNCTION("""COMPUTED_VALUE"""),"Connor Barron")</f>
        <v>Connor Barron</v>
      </c>
      <c r="S138" s="123" t="str">
        <f ca="1">IFERROR(__xludf.DUMMYFUNCTION("""COMPUTED_VALUE"""),"Audrey Hammond")</f>
        <v>Audrey Hammond</v>
      </c>
      <c r="T138" s="123" t="str">
        <f ca="1">IFERROR(__xludf.DUMMYFUNCTION("""COMPUTED_VALUE"""),"Caleb Urias")</f>
        <v>Caleb Urias</v>
      </c>
    </row>
    <row r="139" spans="1:20" ht="13.8">
      <c r="A139" s="118" t="str">
        <f ca="1">IFERROR(__xludf.DUMMYFUNCTION("""COMPUTED_VALUE"""),"CCC")</f>
        <v>CCC</v>
      </c>
      <c r="B139" s="119" t="str">
        <f ca="1">IFERROR(__xludf.DUMMYFUNCTION("""COMPUTED_VALUE"""),"Bode Lamkin")</f>
        <v>Bode Lamkin</v>
      </c>
      <c r="C139" s="118">
        <f ca="1">IFERROR(__xludf.DUMMYFUNCTION("""COMPUTED_VALUE"""),6)</f>
        <v>6</v>
      </c>
      <c r="D139" s="118" t="str">
        <f ca="1">IFERROR(__xludf.DUMMYFUNCTION("""COMPUTED_VALUE"""),"B")</f>
        <v>B</v>
      </c>
      <c r="E139" s="118" t="str">
        <f ca="1">IFERROR(__xludf.DUMMYFUNCTION("""COMPUTED_VALUE"""),"F")</f>
        <v>F</v>
      </c>
      <c r="F139" s="118" t="str">
        <f ca="1">IFERROR(__xludf.DUMMYFUNCTION("""COMPUTED_VALUE"""),"J")</f>
        <v>J</v>
      </c>
      <c r="G139" s="118">
        <f ca="1">IFERROR(__xludf.DUMMYFUNCTION("""COMPUTED_VALUE"""),5)</f>
        <v>5</v>
      </c>
      <c r="H139" s="118" t="str">
        <f ca="1">IFERROR(__xludf.DUMMYFUNCTION("""COMPUTED_VALUE"""),"CCC")</f>
        <v>CCC</v>
      </c>
      <c r="I139" s="118">
        <f ca="1">IFERROR(__xludf.DUMMYFUNCTION("""COMPUTED_VALUE"""),5)</f>
        <v>5</v>
      </c>
      <c r="J139" s="118">
        <f ca="1">IFERROR(__xludf.DUMMYFUNCTION("""COMPUTED_VALUE"""),1)</f>
        <v>1</v>
      </c>
      <c r="K139" s="120"/>
      <c r="L139" s="121"/>
      <c r="M139" s="120"/>
      <c r="N139" s="121"/>
      <c r="O139" s="120"/>
      <c r="P139" s="122"/>
      <c r="Q139" s="123" t="str">
        <f ca="1">IFERROR(__xludf.DUMMYFUNCTION("""COMPUTED_VALUE"""),"Bodhi Tam")</f>
        <v>Bodhi Tam</v>
      </c>
      <c r="R139" s="123" t="str">
        <f ca="1">IFERROR(__xludf.DUMMYFUNCTION("""COMPUTED_VALUE"""),"Connor Bergen")</f>
        <v>Connor Bergen</v>
      </c>
      <c r="S139" s="123" t="str">
        <f ca="1">IFERROR(__xludf.DUMMYFUNCTION("""COMPUTED_VALUE"""),"Audrey Jacob")</f>
        <v>Audrey Jacob</v>
      </c>
      <c r="T139" s="123" t="str">
        <f ca="1">IFERROR(__xludf.DUMMYFUNCTION("""COMPUTED_VALUE"""),"Callum Pitera")</f>
        <v>Callum Pitera</v>
      </c>
    </row>
    <row r="140" spans="1:20" ht="13.8">
      <c r="A140" s="118" t="str">
        <f ca="1">IFERROR(__xludf.DUMMYFUNCTION("""COMPUTED_VALUE"""),"CCC")</f>
        <v>CCC</v>
      </c>
      <c r="B140" s="119" t="str">
        <f ca="1">IFERROR(__xludf.DUMMYFUNCTION("""COMPUTED_VALUE"""),"Jackson Beall")</f>
        <v>Jackson Beall</v>
      </c>
      <c r="C140" s="118">
        <f ca="1">IFERROR(__xludf.DUMMYFUNCTION("""COMPUTED_VALUE"""),10)</f>
        <v>10</v>
      </c>
      <c r="D140" s="118" t="str">
        <f ca="1">IFERROR(__xludf.DUMMYFUNCTION("""COMPUTED_VALUE"""),"B")</f>
        <v>B</v>
      </c>
      <c r="E140" s="118" t="str">
        <f ca="1">IFERROR(__xludf.DUMMYFUNCTION("""COMPUTED_VALUE"""),"F")</f>
        <v>F</v>
      </c>
      <c r="F140" s="118" t="str">
        <f ca="1">IFERROR(__xludf.DUMMYFUNCTION("""COMPUTED_VALUE"""),"J")</f>
        <v>J</v>
      </c>
      <c r="G140" s="118">
        <f ca="1">IFERROR(__xludf.DUMMYFUNCTION("""COMPUTED_VALUE"""),5)</f>
        <v>5</v>
      </c>
      <c r="H140" s="118" t="str">
        <f ca="1">IFERROR(__xludf.DUMMYFUNCTION("""COMPUTED_VALUE"""),"CCC")</f>
        <v>CCC</v>
      </c>
      <c r="I140" s="118">
        <f ca="1">IFERROR(__xludf.DUMMYFUNCTION("""COMPUTED_VALUE"""),5)</f>
        <v>5</v>
      </c>
      <c r="J140" s="118">
        <f ca="1">IFERROR(__xludf.DUMMYFUNCTION("""COMPUTED_VALUE"""),1)</f>
        <v>1</v>
      </c>
      <c r="K140" s="120"/>
      <c r="L140" s="121"/>
      <c r="M140" s="120"/>
      <c r="N140" s="121"/>
      <c r="O140" s="120"/>
      <c r="P140" s="122"/>
      <c r="Q140" s="123" t="str">
        <f ca="1">IFERROR(__xludf.DUMMYFUNCTION("""COMPUTED_VALUE"""),"Boyang Ma")</f>
        <v>Boyang Ma</v>
      </c>
      <c r="R140" s="123" t="str">
        <f ca="1">IFERROR(__xludf.DUMMYFUNCTION("""COMPUTED_VALUE"""),"Connor Brannan")</f>
        <v>Connor Brannan</v>
      </c>
      <c r="S140" s="123" t="str">
        <f ca="1">IFERROR(__xludf.DUMMYFUNCTION("""COMPUTED_VALUE"""),"Audrey Kuoh")</f>
        <v>Audrey Kuoh</v>
      </c>
      <c r="T140" s="123" t="str">
        <f ca="1">IFERROR(__xludf.DUMMYFUNCTION("""COMPUTED_VALUE"""),"Calvin Butler")</f>
        <v>Calvin Butler</v>
      </c>
    </row>
    <row r="141" spans="1:20" ht="13.8">
      <c r="A141" s="118" t="str">
        <f ca="1">IFERROR(__xludf.DUMMYFUNCTION("""COMPUTED_VALUE"""),"CCC")</f>
        <v>CCC</v>
      </c>
      <c r="B141" s="119" t="str">
        <f ca="1">IFERROR(__xludf.DUMMYFUNCTION("""COMPUTED_VALUE"""),"Rhys Willet")</f>
        <v>Rhys Willet</v>
      </c>
      <c r="C141" s="118">
        <f ca="1">IFERROR(__xludf.DUMMYFUNCTION("""COMPUTED_VALUE"""),10)</f>
        <v>10</v>
      </c>
      <c r="D141" s="118" t="str">
        <f ca="1">IFERROR(__xludf.DUMMYFUNCTION("""COMPUTED_VALUE"""),"B")</f>
        <v>B</v>
      </c>
      <c r="E141" s="118" t="str">
        <f ca="1">IFERROR(__xludf.DUMMYFUNCTION("""COMPUTED_VALUE"""),"F")</f>
        <v>F</v>
      </c>
      <c r="F141" s="118" t="str">
        <f ca="1">IFERROR(__xludf.DUMMYFUNCTION("""COMPUTED_VALUE"""),"J")</f>
        <v>J</v>
      </c>
      <c r="G141" s="118">
        <f ca="1">IFERROR(__xludf.DUMMYFUNCTION("""COMPUTED_VALUE"""),5)</f>
        <v>5</v>
      </c>
      <c r="H141" s="118" t="str">
        <f ca="1">IFERROR(__xludf.DUMMYFUNCTION("""COMPUTED_VALUE"""),"CCC")</f>
        <v>CCC</v>
      </c>
      <c r="I141" s="118">
        <f ca="1">IFERROR(__xludf.DUMMYFUNCTION("""COMPUTED_VALUE"""),5)</f>
        <v>5</v>
      </c>
      <c r="J141" s="118">
        <f ca="1">IFERROR(__xludf.DUMMYFUNCTION("""COMPUTED_VALUE"""),2)</f>
        <v>2</v>
      </c>
      <c r="K141" s="120">
        <f ca="1">IFERROR(__xludf.DUMMYFUNCTION("""COMPUTED_VALUE"""),43.05)</f>
        <v>43.05</v>
      </c>
      <c r="L141" s="121"/>
      <c r="M141" s="120"/>
      <c r="N141" s="121"/>
      <c r="O141" s="120"/>
      <c r="P141" s="122"/>
      <c r="Q141" s="123" t="str">
        <f ca="1">IFERROR(__xludf.DUMMYFUNCTION("""COMPUTED_VALUE"""),"Bree Doss")</f>
        <v>Bree Doss</v>
      </c>
      <c r="R141" s="123" t="str">
        <f ca="1">IFERROR(__xludf.DUMMYFUNCTION("""COMPUTED_VALUE"""),"Connor Friedman")</f>
        <v>Connor Friedman</v>
      </c>
      <c r="S141" s="123" t="str">
        <f ca="1">IFERROR(__xludf.DUMMYFUNCTION("""COMPUTED_VALUE"""),"Audrey Magolies")</f>
        <v>Audrey Magolies</v>
      </c>
      <c r="T141" s="123" t="str">
        <f ca="1">IFERROR(__xludf.DUMMYFUNCTION("""COMPUTED_VALUE"""),"Camden Daftari")</f>
        <v>Camden Daftari</v>
      </c>
    </row>
    <row r="142" spans="1:20" ht="13.8">
      <c r="A142" s="118" t="str">
        <f ca="1">IFERROR(__xludf.DUMMYFUNCTION("""COMPUTED_VALUE"""),"CCC")</f>
        <v>CCC</v>
      </c>
      <c r="B142" s="119" t="str">
        <f ca="1">IFERROR(__xludf.DUMMYFUNCTION("""COMPUTED_VALUE"""),"Divya Bharathan")</f>
        <v>Divya Bharathan</v>
      </c>
      <c r="C142" s="118">
        <f ca="1">IFERROR(__xludf.DUMMYFUNCTION("""COMPUTED_VALUE"""),11)</f>
        <v>11</v>
      </c>
      <c r="D142" s="118" t="str">
        <f ca="1">IFERROR(__xludf.DUMMYFUNCTION("""COMPUTED_VALUE"""),"G")</f>
        <v>G</v>
      </c>
      <c r="E142" s="118" t="str">
        <f ca="1">IFERROR(__xludf.DUMMYFUNCTION("""COMPUTED_VALUE"""),"J")</f>
        <v>J</v>
      </c>
      <c r="F142" s="118" t="str">
        <f ca="1">IFERROR(__xludf.DUMMYFUNCTION("""COMPUTED_VALUE"""),"I")</f>
        <v>I</v>
      </c>
      <c r="G142" s="118">
        <f ca="1">IFERROR(__xludf.DUMMYFUNCTION("""COMPUTED_VALUE"""),5)</f>
        <v>5</v>
      </c>
      <c r="H142" s="118" t="str">
        <f ca="1">IFERROR(__xludf.DUMMYFUNCTION("""COMPUTED_VALUE"""),"CCC")</f>
        <v>CCC</v>
      </c>
      <c r="I142" s="118">
        <f ca="1">IFERROR(__xludf.DUMMYFUNCTION("""COMPUTED_VALUE"""),6)</f>
        <v>6</v>
      </c>
      <c r="J142" s="118">
        <f ca="1">IFERROR(__xludf.DUMMYFUNCTION("""COMPUTED_VALUE"""),4)</f>
        <v>4</v>
      </c>
      <c r="K142" s="120">
        <f ca="1">IFERROR(__xludf.DUMMYFUNCTION("""COMPUTED_VALUE"""),72)</f>
        <v>72</v>
      </c>
      <c r="L142" s="121"/>
      <c r="M142" s="120"/>
      <c r="N142" s="121"/>
      <c r="O142" s="120">
        <f ca="1">IFERROR(__xludf.DUMMYFUNCTION("""COMPUTED_VALUE"""),44.4)</f>
        <v>44.4</v>
      </c>
      <c r="P142" s="122"/>
      <c r="Q142" s="123" t="str">
        <f ca="1">IFERROR(__xludf.DUMMYFUNCTION("""COMPUTED_VALUE"""),"Brenna Daniel")</f>
        <v>Brenna Daniel</v>
      </c>
      <c r="R142" s="123" t="str">
        <f ca="1">IFERROR(__xludf.DUMMYFUNCTION("""COMPUTED_VALUE"""),"Connor Long")</f>
        <v>Connor Long</v>
      </c>
      <c r="S142" s="123" t="str">
        <f ca="1">IFERROR(__xludf.DUMMYFUNCTION("""COMPUTED_VALUE"""),"Audrey McGeorge")</f>
        <v>Audrey McGeorge</v>
      </c>
      <c r="T142" s="123" t="str">
        <f ca="1">IFERROR(__xludf.DUMMYFUNCTION("""COMPUTED_VALUE"""),"Cameron Cohen")</f>
        <v>Cameron Cohen</v>
      </c>
    </row>
    <row r="143" spans="1:20" ht="13.8">
      <c r="A143" s="118" t="str">
        <f ca="1">IFERROR(__xludf.DUMMYFUNCTION("""COMPUTED_VALUE"""),"CCC")</f>
        <v>CCC</v>
      </c>
      <c r="B143" s="119" t="str">
        <f ca="1">IFERROR(__xludf.DUMMYFUNCTION("""COMPUTED_VALUE"""),"Colin Wilson")</f>
        <v>Colin Wilson</v>
      </c>
      <c r="C143" s="118">
        <f ca="1">IFERROR(__xludf.DUMMYFUNCTION("""COMPUTED_VALUE"""),11)</f>
        <v>11</v>
      </c>
      <c r="D143" s="118" t="str">
        <f ca="1">IFERROR(__xludf.DUMMYFUNCTION("""COMPUTED_VALUE"""),"B")</f>
        <v>B</v>
      </c>
      <c r="E143" s="118" t="str">
        <f ca="1">IFERROR(__xludf.DUMMYFUNCTION("""COMPUTED_VALUE"""),"J")</f>
        <v>J</v>
      </c>
      <c r="F143" s="118" t="str">
        <f ca="1">IFERROR(__xludf.DUMMYFUNCTION("""COMPUTED_VALUE"""),"I")</f>
        <v>I</v>
      </c>
      <c r="G143" s="118">
        <f ca="1">IFERROR(__xludf.DUMMYFUNCTION("""COMPUTED_VALUE"""),5)</f>
        <v>5</v>
      </c>
      <c r="H143" s="118" t="str">
        <f ca="1">IFERROR(__xludf.DUMMYFUNCTION("""COMPUTED_VALUE"""),"CCC")</f>
        <v>CCC</v>
      </c>
      <c r="I143" s="118">
        <f ca="1">IFERROR(__xludf.DUMMYFUNCTION("""COMPUTED_VALUE"""),7)</f>
        <v>7</v>
      </c>
      <c r="J143" s="118">
        <f ca="1">IFERROR(__xludf.DUMMYFUNCTION("""COMPUTED_VALUE"""),5)</f>
        <v>5</v>
      </c>
      <c r="K143" s="120">
        <f ca="1">IFERROR(__xludf.DUMMYFUNCTION("""COMPUTED_VALUE"""),100.6)</f>
        <v>100.6</v>
      </c>
      <c r="L143" s="121"/>
      <c r="M143" s="120">
        <f ca="1">IFERROR(__xludf.DUMMYFUNCTION("""COMPUTED_VALUE"""),100.6)</f>
        <v>100.6</v>
      </c>
      <c r="N143" s="121"/>
      <c r="O143" s="120">
        <f ca="1">IFERROR(__xludf.DUMMYFUNCTION("""COMPUTED_VALUE"""),91.95)</f>
        <v>91.95</v>
      </c>
      <c r="P143" s="122"/>
      <c r="Q143" s="123" t="str">
        <f ca="1">IFERROR(__xludf.DUMMYFUNCTION("""COMPUTED_VALUE"""),"Bri Whitney")</f>
        <v>Bri Whitney</v>
      </c>
      <c r="R143" s="123" t="str">
        <f ca="1">IFERROR(__xludf.DUMMYFUNCTION("""COMPUTED_VALUE"""),"Connor Martinez")</f>
        <v>Connor Martinez</v>
      </c>
      <c r="S143" s="123" t="str">
        <f ca="1">IFERROR(__xludf.DUMMYFUNCTION("""COMPUTED_VALUE"""),"Audrey Mitchell")</f>
        <v>Audrey Mitchell</v>
      </c>
      <c r="T143" s="123" t="str">
        <f ca="1">IFERROR(__xludf.DUMMYFUNCTION("""COMPUTED_VALUE"""),"Cameron Effgen")</f>
        <v>Cameron Effgen</v>
      </c>
    </row>
    <row r="144" spans="1:20" ht="13.8">
      <c r="A144" s="118" t="str">
        <f ca="1">IFERROR(__xludf.DUMMYFUNCTION("""COMPUTED_VALUE"""),"CCC")</f>
        <v>CCC</v>
      </c>
      <c r="B144" s="119" t="str">
        <f ca="1">IFERROR(__xludf.DUMMYFUNCTION("""COMPUTED_VALUE"""),"Drew Southworth")</f>
        <v>Drew Southworth</v>
      </c>
      <c r="C144" s="118">
        <f ca="1">IFERROR(__xludf.DUMMYFUNCTION("""COMPUTED_VALUE"""),12)</f>
        <v>12</v>
      </c>
      <c r="D144" s="118" t="str">
        <f ca="1">IFERROR(__xludf.DUMMYFUNCTION("""COMPUTED_VALUE"""),"B")</f>
        <v>B</v>
      </c>
      <c r="E144" s="118" t="str">
        <f ca="1">IFERROR(__xludf.DUMMYFUNCTION("""COMPUTED_VALUE"""),"J")</f>
        <v>J</v>
      </c>
      <c r="F144" s="118" t="str">
        <f ca="1">IFERROR(__xludf.DUMMYFUNCTION("""COMPUTED_VALUE"""),"I")</f>
        <v>I</v>
      </c>
      <c r="G144" s="118">
        <f ca="1">IFERROR(__xludf.DUMMYFUNCTION("""COMPUTED_VALUE"""),5)</f>
        <v>5</v>
      </c>
      <c r="H144" s="118" t="str">
        <f ca="1">IFERROR(__xludf.DUMMYFUNCTION("""COMPUTED_VALUE"""),"CCC")</f>
        <v>CCC</v>
      </c>
      <c r="I144" s="118">
        <f ca="1">IFERROR(__xludf.DUMMYFUNCTION("""COMPUTED_VALUE"""),7)</f>
        <v>7</v>
      </c>
      <c r="J144" s="118">
        <f ca="1">IFERROR(__xludf.DUMMYFUNCTION("""COMPUTED_VALUE"""),3)</f>
        <v>3</v>
      </c>
      <c r="K144" s="120">
        <f ca="1">IFERROR(__xludf.DUMMYFUNCTION("""COMPUTED_VALUE"""),68.95)</f>
        <v>68.95</v>
      </c>
      <c r="L144" s="121"/>
      <c r="M144" s="120">
        <f ca="1">IFERROR(__xludf.DUMMYFUNCTION("""COMPUTED_VALUE"""),66.8)</f>
        <v>66.8</v>
      </c>
      <c r="N144" s="121"/>
      <c r="O144" s="120">
        <f ca="1">IFERROR(__xludf.DUMMYFUNCTION("""COMPUTED_VALUE"""),62.8)</f>
        <v>62.8</v>
      </c>
      <c r="P144" s="122"/>
      <c r="Q144" s="123" t="str">
        <f ca="1">IFERROR(__xludf.DUMMYFUNCTION("""COMPUTED_VALUE"""),"Briana Birchfield")</f>
        <v>Briana Birchfield</v>
      </c>
      <c r="R144" s="123" t="str">
        <f ca="1">IFERROR(__xludf.DUMMYFUNCTION("""COMPUTED_VALUE"""),"Connor Schilling")</f>
        <v>Connor Schilling</v>
      </c>
      <c r="S144" s="123" t="str">
        <f ca="1">IFERROR(__xludf.DUMMYFUNCTION("""COMPUTED_VALUE"""),"Audrey Moore")</f>
        <v>Audrey Moore</v>
      </c>
      <c r="T144" s="123" t="str">
        <f ca="1">IFERROR(__xludf.DUMMYFUNCTION("""COMPUTED_VALUE"""),"Cameron Pitera")</f>
        <v>Cameron Pitera</v>
      </c>
    </row>
    <row r="145" spans="1:20" ht="13.8">
      <c r="A145" s="118" t="str">
        <f ca="1">IFERROR(__xludf.DUMMYFUNCTION("""COMPUTED_VALUE"""),"CCC")</f>
        <v>CCC</v>
      </c>
      <c r="B145" s="119" t="str">
        <f ca="1">IFERROR(__xludf.DUMMYFUNCTION("""COMPUTED_VALUE"""),"Graysen Loftis")</f>
        <v>Graysen Loftis</v>
      </c>
      <c r="C145" s="118">
        <f ca="1">IFERROR(__xludf.DUMMYFUNCTION("""COMPUTED_VALUE"""),11)</f>
        <v>11</v>
      </c>
      <c r="D145" s="118" t="str">
        <f ca="1">IFERROR(__xludf.DUMMYFUNCTION("""COMPUTED_VALUE"""),"B")</f>
        <v>B</v>
      </c>
      <c r="E145" s="118" t="str">
        <f ca="1">IFERROR(__xludf.DUMMYFUNCTION("""COMPUTED_VALUE"""),"J")</f>
        <v>J</v>
      </c>
      <c r="F145" s="118" t="str">
        <f ca="1">IFERROR(__xludf.DUMMYFUNCTION("""COMPUTED_VALUE"""),"I")</f>
        <v>I</v>
      </c>
      <c r="G145" s="118">
        <f ca="1">IFERROR(__xludf.DUMMYFUNCTION("""COMPUTED_VALUE"""),5)</f>
        <v>5</v>
      </c>
      <c r="H145" s="118" t="str">
        <f ca="1">IFERROR(__xludf.DUMMYFUNCTION("""COMPUTED_VALUE"""),"CCC")</f>
        <v>CCC</v>
      </c>
      <c r="I145" s="118">
        <f ca="1">IFERROR(__xludf.DUMMYFUNCTION("""COMPUTED_VALUE"""),7)</f>
        <v>7</v>
      </c>
      <c r="J145" s="118">
        <f ca="1">IFERROR(__xludf.DUMMYFUNCTION("""COMPUTED_VALUE"""),5)</f>
        <v>5</v>
      </c>
      <c r="K145" s="120">
        <f ca="1">IFERROR(__xludf.DUMMYFUNCTION("""COMPUTED_VALUE"""),101.85)</f>
        <v>101.85</v>
      </c>
      <c r="L145" s="121"/>
      <c r="M145" s="120">
        <f ca="1">IFERROR(__xludf.DUMMYFUNCTION("""COMPUTED_VALUE"""),-107.4)</f>
        <v>-107.4</v>
      </c>
      <c r="N145" s="121"/>
      <c r="O145" s="120">
        <f ca="1">IFERROR(__xludf.DUMMYFUNCTION("""COMPUTED_VALUE"""),92.9)</f>
        <v>92.9</v>
      </c>
      <c r="P145" s="122"/>
      <c r="Q145" s="123" t="str">
        <f ca="1">IFERROR(__xludf.DUMMYFUNCTION("""COMPUTED_VALUE"""),"Brianna Solis")</f>
        <v>Brianna Solis</v>
      </c>
      <c r="R145" s="123" t="str">
        <f ca="1">IFERROR(__xludf.DUMMYFUNCTION("""COMPUTED_VALUE"""),"Connor Stith")</f>
        <v>Connor Stith</v>
      </c>
      <c r="S145" s="123" t="str">
        <f ca="1">IFERROR(__xludf.DUMMYFUNCTION("""COMPUTED_VALUE"""),"Aurora Davison")</f>
        <v>Aurora Davison</v>
      </c>
      <c r="T145" s="123" t="str">
        <f ca="1">IFERROR(__xludf.DUMMYFUNCTION("""COMPUTED_VALUE"""),"Carlo Vella")</f>
        <v>Carlo Vella</v>
      </c>
    </row>
    <row r="146" spans="1:20" ht="13.8">
      <c r="A146" s="118" t="str">
        <f ca="1">IFERROR(__xludf.DUMMYFUNCTION("""COMPUTED_VALUE"""),"CCC")</f>
        <v>CCC</v>
      </c>
      <c r="B146" s="119" t="str">
        <f ca="1">IFERROR(__xludf.DUMMYFUNCTION("""COMPUTED_VALUE"""),"Josh Themely")</f>
        <v>Josh Themely</v>
      </c>
      <c r="C146" s="118">
        <f ca="1">IFERROR(__xludf.DUMMYFUNCTION("""COMPUTED_VALUE"""),12)</f>
        <v>12</v>
      </c>
      <c r="D146" s="118" t="str">
        <f ca="1">IFERROR(__xludf.DUMMYFUNCTION("""COMPUTED_VALUE"""),"B")</f>
        <v>B</v>
      </c>
      <c r="E146" s="118" t="str">
        <f ca="1">IFERROR(__xludf.DUMMYFUNCTION("""COMPUTED_VALUE"""),"J")</f>
        <v>J</v>
      </c>
      <c r="F146" s="118" t="str">
        <f ca="1">IFERROR(__xludf.DUMMYFUNCTION("""COMPUTED_VALUE"""),"I")</f>
        <v>I</v>
      </c>
      <c r="G146" s="118">
        <f ca="1">IFERROR(__xludf.DUMMYFUNCTION("""COMPUTED_VALUE"""),5)</f>
        <v>5</v>
      </c>
      <c r="H146" s="118" t="str">
        <f ca="1">IFERROR(__xludf.DUMMYFUNCTION("""COMPUTED_VALUE"""),"CCC")</f>
        <v>CCC</v>
      </c>
      <c r="I146" s="118">
        <f ca="1">IFERROR(__xludf.DUMMYFUNCTION("""COMPUTED_VALUE"""),7)</f>
        <v>7</v>
      </c>
      <c r="J146" s="118">
        <f ca="1">IFERROR(__xludf.DUMMYFUNCTION("""COMPUTED_VALUE"""),2)</f>
        <v>2</v>
      </c>
      <c r="K146" s="120">
        <f ca="1">IFERROR(__xludf.DUMMYFUNCTION("""COMPUTED_VALUE"""),76.85)</f>
        <v>76.849999999999994</v>
      </c>
      <c r="L146" s="121"/>
      <c r="M146" s="120">
        <f ca="1">IFERROR(__xludf.DUMMYFUNCTION("""COMPUTED_VALUE"""),76.85)</f>
        <v>76.849999999999994</v>
      </c>
      <c r="N146" s="121"/>
      <c r="O146" s="120">
        <f ca="1">IFERROR(__xludf.DUMMYFUNCTION("""COMPUTED_VALUE"""),-101.85)</f>
        <v>-101.85</v>
      </c>
      <c r="P146" s="122"/>
      <c r="Q146" s="123" t="str">
        <f ca="1">IFERROR(__xludf.DUMMYFUNCTION("""COMPUTED_VALUE"""),"Bridget O'Leary")</f>
        <v>Bridget O'Leary</v>
      </c>
      <c r="R146" s="123" t="str">
        <f ca="1">IFERROR(__xludf.DUMMYFUNCTION("""COMPUTED_VALUE"""),"Conor Stodel")</f>
        <v>Conor Stodel</v>
      </c>
      <c r="S146" s="123" t="str">
        <f ca="1">IFERROR(__xludf.DUMMYFUNCTION("""COMPUTED_VALUE"""),"Ava Kowalchick")</f>
        <v>Ava Kowalchick</v>
      </c>
      <c r="T146" s="123" t="str">
        <f ca="1">IFERROR(__xludf.DUMMYFUNCTION("""COMPUTED_VALUE"""),"Carlos Manuel Iguina Espinoza")</f>
        <v>Carlos Manuel Iguina Espinoza</v>
      </c>
    </row>
    <row r="147" spans="1:20" ht="13.8">
      <c r="A147" s="118" t="str">
        <f ca="1">IFERROR(__xludf.DUMMYFUNCTION("""COMPUTED_VALUE"""),"CCC")</f>
        <v>CCC</v>
      </c>
      <c r="B147" s="119" t="str">
        <f ca="1">IFERROR(__xludf.DUMMYFUNCTION("""COMPUTED_VALUE"""),"CC Wilson")</f>
        <v>CC Wilson</v>
      </c>
      <c r="C147" s="118">
        <f ca="1">IFERROR(__xludf.DUMMYFUNCTION("""COMPUTED_VALUE"""),14)</f>
        <v>14</v>
      </c>
      <c r="D147" s="118" t="str">
        <f ca="1">IFERROR(__xludf.DUMMYFUNCTION("""COMPUTED_VALUE"""),"G")</f>
        <v>G</v>
      </c>
      <c r="E147" s="118" t="str">
        <f ca="1">IFERROR(__xludf.DUMMYFUNCTION("""COMPUTED_VALUE"""),"I")</f>
        <v>I</v>
      </c>
      <c r="F147" s="118" t="str">
        <f ca="1">IFERROR(__xludf.DUMMYFUNCTION("""COMPUTED_VALUE"""),"S")</f>
        <v>S</v>
      </c>
      <c r="G147" s="118">
        <f ca="1">IFERROR(__xludf.DUMMYFUNCTION("""COMPUTED_VALUE"""),5)</f>
        <v>5</v>
      </c>
      <c r="H147" s="118" t="str">
        <f ca="1">IFERROR(__xludf.DUMMYFUNCTION("""COMPUTED_VALUE"""),"CCC")</f>
        <v>CCC</v>
      </c>
      <c r="I147" s="118">
        <f ca="1">IFERROR(__xludf.DUMMYFUNCTION("""COMPUTED_VALUE"""),8)</f>
        <v>8</v>
      </c>
      <c r="J147" s="118">
        <f ca="1">IFERROR(__xludf.DUMMYFUNCTION("""COMPUTED_VALUE"""),5)</f>
        <v>5</v>
      </c>
      <c r="K147" s="120">
        <f ca="1">IFERROR(__xludf.DUMMYFUNCTION("""COMPUTED_VALUE"""),140.85)</f>
        <v>140.85</v>
      </c>
      <c r="L147" s="121"/>
      <c r="M147" s="120">
        <f ca="1">IFERROR(__xludf.DUMMYFUNCTION("""COMPUTED_VALUE"""),130.45)</f>
        <v>130.44999999999999</v>
      </c>
      <c r="N147" s="121"/>
      <c r="O147" s="120">
        <f ca="1">IFERROR(__xludf.DUMMYFUNCTION("""COMPUTED_VALUE"""),121.6)</f>
        <v>121.6</v>
      </c>
      <c r="P147" s="122"/>
      <c r="Q147" s="123" t="str">
        <f ca="1">IFERROR(__xludf.DUMMYFUNCTION("""COMPUTED_VALUE"""),"Bridget Snyder")</f>
        <v>Bridget Snyder</v>
      </c>
      <c r="R147" s="123" t="str">
        <f ca="1">IFERROR(__xludf.DUMMYFUNCTION("""COMPUTED_VALUE"""),"Cooper Matthews")</f>
        <v>Cooper Matthews</v>
      </c>
      <c r="S147" s="123" t="str">
        <f ca="1">IFERROR(__xludf.DUMMYFUNCTION("""COMPUTED_VALUE"""),"Ava Patel")</f>
        <v>Ava Patel</v>
      </c>
      <c r="T147" s="123" t="str">
        <f ca="1">IFERROR(__xludf.DUMMYFUNCTION("""COMPUTED_VALUE"""),"Carson Shreckhise")</f>
        <v>Carson Shreckhise</v>
      </c>
    </row>
    <row r="148" spans="1:20" ht="13.8">
      <c r="A148" s="118" t="str">
        <f ca="1">IFERROR(__xludf.DUMMYFUNCTION("""COMPUTED_VALUE"""),"CCC")</f>
        <v>CCC</v>
      </c>
      <c r="B148" s="119" t="str">
        <f ca="1">IFERROR(__xludf.DUMMYFUNCTION("""COMPUTED_VALUE"""),"Nate Southworth")</f>
        <v>Nate Southworth</v>
      </c>
      <c r="C148" s="118">
        <f ca="1">IFERROR(__xludf.DUMMYFUNCTION("""COMPUTED_VALUE"""),14)</f>
        <v>14</v>
      </c>
      <c r="D148" s="118" t="str">
        <f ca="1">IFERROR(__xludf.DUMMYFUNCTION("""COMPUTED_VALUE"""),"B")</f>
        <v>B</v>
      </c>
      <c r="E148" s="118" t="str">
        <f ca="1">IFERROR(__xludf.DUMMYFUNCTION("""COMPUTED_VALUE"""),"I")</f>
        <v>I</v>
      </c>
      <c r="F148" s="118" t="str">
        <f ca="1">IFERROR(__xludf.DUMMYFUNCTION("""COMPUTED_VALUE"""),"S")</f>
        <v>S</v>
      </c>
      <c r="G148" s="118">
        <f ca="1">IFERROR(__xludf.DUMMYFUNCTION("""COMPUTED_VALUE"""),5)</f>
        <v>5</v>
      </c>
      <c r="H148" s="118" t="str">
        <f ca="1">IFERROR(__xludf.DUMMYFUNCTION("""COMPUTED_VALUE"""),"CCC")</f>
        <v>CCC</v>
      </c>
      <c r="I148" s="118">
        <f ca="1">IFERROR(__xludf.DUMMYFUNCTION("""COMPUTED_VALUE"""),9)</f>
        <v>9</v>
      </c>
      <c r="J148" s="118">
        <f ca="1">IFERROR(__xludf.DUMMYFUNCTION("""COMPUTED_VALUE"""),5)</f>
        <v>5</v>
      </c>
      <c r="K148" s="120">
        <f ca="1">IFERROR(__xludf.DUMMYFUNCTION("""COMPUTED_VALUE"""),124.65)</f>
        <v>124.65</v>
      </c>
      <c r="L148" s="121"/>
      <c r="M148" s="120">
        <f ca="1">IFERROR(__xludf.DUMMYFUNCTION("""COMPUTED_VALUE"""),118.95)</f>
        <v>118.95</v>
      </c>
      <c r="N148" s="121"/>
      <c r="O148" s="120">
        <f ca="1">IFERROR(__xludf.DUMMYFUNCTION("""COMPUTED_VALUE"""),124.65)</f>
        <v>124.65</v>
      </c>
      <c r="P148" s="122"/>
      <c r="Q148" s="123" t="str">
        <f ca="1">IFERROR(__xludf.DUMMYFUNCTION("""COMPUTED_VALUE"""),"Brielle Burnside")</f>
        <v>Brielle Burnside</v>
      </c>
      <c r="R148" s="123" t="str">
        <f ca="1">IFERROR(__xludf.DUMMYFUNCTION("""COMPUTED_VALUE"""),"Cooper Morschauser")</f>
        <v>Cooper Morschauser</v>
      </c>
      <c r="S148" s="123" t="str">
        <f ca="1">IFERROR(__xludf.DUMMYFUNCTION("""COMPUTED_VALUE"""),"Avalon Allard")</f>
        <v>Avalon Allard</v>
      </c>
      <c r="T148" s="123" t="str">
        <f ca="1">IFERROR(__xludf.DUMMYFUNCTION("""COMPUTED_VALUE"""),"Carter Addison")</f>
        <v>Carter Addison</v>
      </c>
    </row>
    <row r="149" spans="1:20" ht="13.8">
      <c r="A149" s="118" t="str">
        <f ca="1">IFERROR(__xludf.DUMMYFUNCTION("""COMPUTED_VALUE"""),"CCC")</f>
        <v>CCC</v>
      </c>
      <c r="B149" s="119" t="str">
        <f ca="1">IFERROR(__xludf.DUMMYFUNCTION("""COMPUTED_VALUE"""),"Maia McAllister")</f>
        <v>Maia McAllister</v>
      </c>
      <c r="C149" s="118">
        <f ca="1">IFERROR(__xludf.DUMMYFUNCTION("""COMPUTED_VALUE"""),16)</f>
        <v>16</v>
      </c>
      <c r="D149" s="118" t="str">
        <f ca="1">IFERROR(__xludf.DUMMYFUNCTION("""COMPUTED_VALUE"""),"G")</f>
        <v>G</v>
      </c>
      <c r="E149" s="118" t="str">
        <f ca="1">IFERROR(__xludf.DUMMYFUNCTION("""COMPUTED_VALUE"""),"S")</f>
        <v>S</v>
      </c>
      <c r="F149" s="118" t="str">
        <f ca="1">IFERROR(__xludf.DUMMYFUNCTION("""COMPUTED_VALUE"""),"S")</f>
        <v>S</v>
      </c>
      <c r="G149" s="118">
        <f ca="1">IFERROR(__xludf.DUMMYFUNCTION("""COMPUTED_VALUE"""),5)</f>
        <v>5</v>
      </c>
      <c r="H149" s="118" t="str">
        <f ca="1">IFERROR(__xludf.DUMMYFUNCTION("""COMPUTED_VALUE"""),"CCC")</f>
        <v>CCC</v>
      </c>
      <c r="I149" s="118">
        <f ca="1">IFERROR(__xludf.DUMMYFUNCTION("""COMPUTED_VALUE"""),10)</f>
        <v>10</v>
      </c>
      <c r="J149" s="118">
        <f ca="1">IFERROR(__xludf.DUMMYFUNCTION("""COMPUTED_VALUE"""),5)</f>
        <v>5</v>
      </c>
      <c r="K149" s="120">
        <f ca="1">IFERROR(__xludf.DUMMYFUNCTION("""COMPUTED_VALUE"""),175.15)</f>
        <v>175.15</v>
      </c>
      <c r="L149" s="121"/>
      <c r="M149" s="120">
        <f ca="1">IFERROR(__xludf.DUMMYFUNCTION("""COMPUTED_VALUE"""),164.85)</f>
        <v>164.85</v>
      </c>
      <c r="N149" s="121"/>
      <c r="O149" s="120">
        <f ca="1">IFERROR(__xludf.DUMMYFUNCTION("""COMPUTED_VALUE"""),146.35)</f>
        <v>146.35</v>
      </c>
      <c r="P149" s="122"/>
      <c r="Q149" s="123" t="str">
        <f ca="1">IFERROR(__xludf.DUMMYFUNCTION("""COMPUTED_VALUE"""),"Brielle Linenberg")</f>
        <v>Brielle Linenberg</v>
      </c>
      <c r="R149" s="123" t="str">
        <f ca="1">IFERROR(__xludf.DUMMYFUNCTION("""COMPUTED_VALUE"""),"Cormac DiVincenzo")</f>
        <v>Cormac DiVincenzo</v>
      </c>
      <c r="S149" s="123" t="str">
        <f ca="1">IFERROR(__xludf.DUMMYFUNCTION("""COMPUTED_VALUE"""),"Avery Brown")</f>
        <v>Avery Brown</v>
      </c>
      <c r="T149" s="123" t="str">
        <f ca="1">IFERROR(__xludf.DUMMYFUNCTION("""COMPUTED_VALUE"""),"Carter Huey")</f>
        <v>Carter Huey</v>
      </c>
    </row>
    <row r="150" spans="1:20" ht="13.8">
      <c r="A150" s="118" t="str">
        <f ca="1">IFERROR(__xludf.DUMMYFUNCTION("""COMPUTED_VALUE"""),"CCC")</f>
        <v>CCC</v>
      </c>
      <c r="B150" s="119" t="str">
        <f ca="1">IFERROR(__xludf.DUMMYFUNCTION("""COMPUTED_VALUE"""),"Jake Themely")</f>
        <v>Jake Themely</v>
      </c>
      <c r="C150" s="118">
        <f ca="1">IFERROR(__xludf.DUMMYFUNCTION("""COMPUTED_VALUE"""),15)</f>
        <v>15</v>
      </c>
      <c r="D150" s="118" t="str">
        <f ca="1">IFERROR(__xludf.DUMMYFUNCTION("""COMPUTED_VALUE"""),"B")</f>
        <v>B</v>
      </c>
      <c r="E150" s="118" t="str">
        <f ca="1">IFERROR(__xludf.DUMMYFUNCTION("""COMPUTED_VALUE"""),"S")</f>
        <v>S</v>
      </c>
      <c r="F150" s="118" t="str">
        <f ca="1">IFERROR(__xludf.DUMMYFUNCTION("""COMPUTED_VALUE"""),"S")</f>
        <v>S</v>
      </c>
      <c r="G150" s="118">
        <f ca="1">IFERROR(__xludf.DUMMYFUNCTION("""COMPUTED_VALUE"""),5)</f>
        <v>5</v>
      </c>
      <c r="H150" s="118" t="str">
        <f ca="1">IFERROR(__xludf.DUMMYFUNCTION("""COMPUTED_VALUE"""),"CCC")</f>
        <v>CCC</v>
      </c>
      <c r="I150" s="118">
        <f ca="1">IFERROR(__xludf.DUMMYFUNCTION("""COMPUTED_VALUE"""),11)</f>
        <v>11</v>
      </c>
      <c r="J150" s="118">
        <f ca="1">IFERROR(__xludf.DUMMYFUNCTION("""COMPUTED_VALUE"""),5)</f>
        <v>5</v>
      </c>
      <c r="K150" s="120">
        <f ca="1">IFERROR(__xludf.DUMMYFUNCTION("""COMPUTED_VALUE"""),204.55)</f>
        <v>204.55</v>
      </c>
      <c r="L150" s="121"/>
      <c r="M150" s="120">
        <f ca="1">IFERROR(__xludf.DUMMYFUNCTION("""COMPUTED_VALUE"""),169.85)</f>
        <v>169.85</v>
      </c>
      <c r="N150" s="121"/>
      <c r="O150" s="120">
        <f ca="1">IFERROR(__xludf.DUMMYFUNCTION("""COMPUTED_VALUE"""),177.6)</f>
        <v>177.6</v>
      </c>
      <c r="P150" s="122"/>
      <c r="Q150" s="123" t="str">
        <f ca="1">IFERROR(__xludf.DUMMYFUNCTION("""COMPUTED_VALUE"""),"Brigid Cahill")</f>
        <v>Brigid Cahill</v>
      </c>
      <c r="R150" s="123" t="str">
        <f ca="1">IFERROR(__xludf.DUMMYFUNCTION("""COMPUTED_VALUE"""),"Cormac Henderson")</f>
        <v>Cormac Henderson</v>
      </c>
      <c r="S150" s="123" t="str">
        <f ca="1">IFERROR(__xludf.DUMMYFUNCTION("""COMPUTED_VALUE"""),"Avery Cash")</f>
        <v>Avery Cash</v>
      </c>
      <c r="T150" s="123" t="str">
        <f ca="1">IFERROR(__xludf.DUMMYFUNCTION("""COMPUTED_VALUE"""),"Carter Jenkins")</f>
        <v>Carter Jenkins</v>
      </c>
    </row>
    <row r="151" spans="1:20" ht="13.8">
      <c r="A151" s="118" t="str">
        <f ca="1">IFERROR(__xludf.DUMMYFUNCTION("""COMPUTED_VALUE"""),"CCC")</f>
        <v>CCC</v>
      </c>
      <c r="B151" s="119" t="str">
        <f ca="1">IFERROR(__xludf.DUMMYFUNCTION("""COMPUTED_VALUE"""),"Ryan Wells")</f>
        <v>Ryan Wells</v>
      </c>
      <c r="C151" s="118">
        <f ca="1">IFERROR(__xludf.DUMMYFUNCTION("""COMPUTED_VALUE"""),16)</f>
        <v>16</v>
      </c>
      <c r="D151" s="118" t="str">
        <f ca="1">IFERROR(__xludf.DUMMYFUNCTION("""COMPUTED_VALUE"""),"B")</f>
        <v>B</v>
      </c>
      <c r="E151" s="118" t="str">
        <f ca="1">IFERROR(__xludf.DUMMYFUNCTION("""COMPUTED_VALUE"""),"S")</f>
        <v>S</v>
      </c>
      <c r="F151" s="118" t="str">
        <f ca="1">IFERROR(__xludf.DUMMYFUNCTION("""COMPUTED_VALUE"""),"S")</f>
        <v>S</v>
      </c>
      <c r="G151" s="118">
        <f ca="1">IFERROR(__xludf.DUMMYFUNCTION("""COMPUTED_VALUE"""),5)</f>
        <v>5</v>
      </c>
      <c r="H151" s="118" t="str">
        <f ca="1">IFERROR(__xludf.DUMMYFUNCTION("""COMPUTED_VALUE"""),"CCC")</f>
        <v>CCC</v>
      </c>
      <c r="I151" s="118">
        <f ca="1">IFERROR(__xludf.DUMMYFUNCTION("""COMPUTED_VALUE"""),11)</f>
        <v>11</v>
      </c>
      <c r="J151" s="118">
        <f ca="1">IFERROR(__xludf.DUMMYFUNCTION("""COMPUTED_VALUE"""),3)</f>
        <v>3</v>
      </c>
      <c r="K151" s="120">
        <f ca="1">IFERROR(__xludf.DUMMYFUNCTION("""COMPUTED_VALUE"""),257.6)</f>
        <v>257.60000000000002</v>
      </c>
      <c r="L151" s="121"/>
      <c r="M151" s="120"/>
      <c r="N151" s="121"/>
      <c r="O151" s="120"/>
      <c r="P151" s="122"/>
      <c r="Q151" s="123" t="str">
        <f ca="1">IFERROR(__xludf.DUMMYFUNCTION("""COMPUTED_VALUE"""),"Britton Colosi")</f>
        <v>Britton Colosi</v>
      </c>
      <c r="R151" s="123" t="str">
        <f ca="1">IFERROR(__xludf.DUMMYFUNCTION("""COMPUTED_VALUE"""),"Cormac Jackson")</f>
        <v>Cormac Jackson</v>
      </c>
      <c r="S151" s="123" t="str">
        <f ca="1">IFERROR(__xludf.DUMMYFUNCTION("""COMPUTED_VALUE"""),"Avery Ehst")</f>
        <v>Avery Ehst</v>
      </c>
      <c r="T151" s="123" t="str">
        <f ca="1">IFERROR(__xludf.DUMMYFUNCTION("""COMPUTED_VALUE"""),"Carter Williams")</f>
        <v>Carter Williams</v>
      </c>
    </row>
    <row r="152" spans="1:20" ht="13.8">
      <c r="A152" s="118" t="str">
        <f ca="1">IFERROR(__xludf.DUMMYFUNCTION("""COMPUTED_VALUE"""),"CCC")</f>
        <v>CCC</v>
      </c>
      <c r="B152" s="119" t="str">
        <f ca="1">IFERROR(__xludf.DUMMYFUNCTION("""COMPUTED_VALUE"""),"Trey Gagermeier")</f>
        <v>Trey Gagermeier</v>
      </c>
      <c r="C152" s="118">
        <f ca="1">IFERROR(__xludf.DUMMYFUNCTION("""COMPUTED_VALUE"""),17)</f>
        <v>17</v>
      </c>
      <c r="D152" s="118" t="str">
        <f ca="1">IFERROR(__xludf.DUMMYFUNCTION("""COMPUTED_VALUE"""),"B")</f>
        <v>B</v>
      </c>
      <c r="E152" s="118" t="str">
        <f ca="1">IFERROR(__xludf.DUMMYFUNCTION("""COMPUTED_VALUE"""),"S")</f>
        <v>S</v>
      </c>
      <c r="F152" s="118" t="str">
        <f ca="1">IFERROR(__xludf.DUMMYFUNCTION("""COMPUTED_VALUE"""),"S")</f>
        <v>S</v>
      </c>
      <c r="G152" s="118">
        <f ca="1">IFERROR(__xludf.DUMMYFUNCTION("""COMPUTED_VALUE"""),5)</f>
        <v>5</v>
      </c>
      <c r="H152" s="118" t="str">
        <f ca="1">IFERROR(__xludf.DUMMYFUNCTION("""COMPUTED_VALUE"""),"CCC")</f>
        <v>CCC</v>
      </c>
      <c r="I152" s="118">
        <f ca="1">IFERROR(__xludf.DUMMYFUNCTION("""COMPUTED_VALUE"""),11)</f>
        <v>11</v>
      </c>
      <c r="J152" s="118">
        <f ca="1">IFERROR(__xludf.DUMMYFUNCTION("""COMPUTED_VALUE"""),5)</f>
        <v>5</v>
      </c>
      <c r="K152" s="120">
        <f ca="1">IFERROR(__xludf.DUMMYFUNCTION("""COMPUTED_VALUE"""),167.55)</f>
        <v>167.55</v>
      </c>
      <c r="L152" s="121"/>
      <c r="M152" s="120">
        <f ca="1">IFERROR(__xludf.DUMMYFUNCTION("""COMPUTED_VALUE"""),132.9)</f>
        <v>132.9</v>
      </c>
      <c r="N152" s="121"/>
      <c r="O152" s="120">
        <f ca="1">IFERROR(__xludf.DUMMYFUNCTION("""COMPUTED_VALUE"""),128.7)</f>
        <v>128.69999999999999</v>
      </c>
      <c r="P152" s="122"/>
      <c r="Q152" s="123" t="str">
        <f ca="1">IFERROR(__xludf.DUMMYFUNCTION("""COMPUTED_VALUE"""),"Brogen Cagianesa")</f>
        <v>Brogen Cagianesa</v>
      </c>
      <c r="R152" s="123" t="str">
        <f ca="1">IFERROR(__xludf.DUMMYFUNCTION("""COMPUTED_VALUE"""),"Cormac Moore")</f>
        <v>Cormac Moore</v>
      </c>
      <c r="S152" s="123" t="str">
        <f ca="1">IFERROR(__xludf.DUMMYFUNCTION("""COMPUTED_VALUE"""),"Avery Hilliard")</f>
        <v>Avery Hilliard</v>
      </c>
      <c r="T152" s="123" t="str">
        <f ca="1">IFERROR(__xludf.DUMMYFUNCTION("""COMPUTED_VALUE"""),"Cash Riedel")</f>
        <v>Cash Riedel</v>
      </c>
    </row>
    <row r="153" spans="1:20" ht="13.8">
      <c r="A153" s="118" t="str">
        <f ca="1">IFERROR(__xludf.DUMMYFUNCTION("""COMPUTED_VALUE"""),"CH")</f>
        <v>CH</v>
      </c>
      <c r="B153" s="119" t="str">
        <f ca="1">IFERROR(__xludf.DUMMYFUNCTION("""COMPUTED_VALUE"""),"Aadhya Alla")</f>
        <v>Aadhya Alla</v>
      </c>
      <c r="C153" s="118">
        <f ca="1">IFERROR(__xludf.DUMMYFUNCTION("""COMPUTED_VALUE"""),9)</f>
        <v>9</v>
      </c>
      <c r="D153" s="118" t="str">
        <f ca="1">IFERROR(__xludf.DUMMYFUNCTION("""COMPUTED_VALUE"""),"G")</f>
        <v>G</v>
      </c>
      <c r="E153" s="118" t="str">
        <f ca="1">IFERROR(__xludf.DUMMYFUNCTION("""COMPUTED_VALUE"""),"F")</f>
        <v>F</v>
      </c>
      <c r="F153" s="118" t="str">
        <f ca="1">IFERROR(__xludf.DUMMYFUNCTION("""COMPUTED_VALUE"""),"J")</f>
        <v>J</v>
      </c>
      <c r="G153" s="118">
        <f ca="1">IFERROR(__xludf.DUMMYFUNCTION("""COMPUTED_VALUE"""),5)</f>
        <v>5</v>
      </c>
      <c r="H153" s="118" t="str">
        <f ca="1">IFERROR(__xludf.DUMMYFUNCTION("""COMPUTED_VALUE"""),"CH")</f>
        <v>CH</v>
      </c>
      <c r="I153" s="118">
        <f ca="1">IFERROR(__xludf.DUMMYFUNCTION("""COMPUTED_VALUE"""),4)</f>
        <v>4</v>
      </c>
      <c r="J153" s="118">
        <f ca="1">IFERROR(__xludf.DUMMYFUNCTION("""COMPUTED_VALUE"""),0)</f>
        <v>0</v>
      </c>
      <c r="K153" s="120"/>
      <c r="L153" s="121"/>
      <c r="M153" s="120"/>
      <c r="N153" s="121"/>
      <c r="O153" s="120"/>
      <c r="P153" s="122"/>
      <c r="Q153" s="123" t="str">
        <f ca="1">IFERROR(__xludf.DUMMYFUNCTION("""COMPUTED_VALUE"""),"Brooke Nichols")</f>
        <v>Brooke Nichols</v>
      </c>
      <c r="R153" s="123" t="str">
        <f ca="1">IFERROR(__xludf.DUMMYFUNCTION("""COMPUTED_VALUE"""),"Curt Berry")</f>
        <v>Curt Berry</v>
      </c>
      <c r="S153" s="123" t="str">
        <f ca="1">IFERROR(__xludf.DUMMYFUNCTION("""COMPUTED_VALUE"""),"Avery Jackson")</f>
        <v>Avery Jackson</v>
      </c>
      <c r="T153" s="123" t="str">
        <f ca="1">IFERROR(__xludf.DUMMYFUNCTION("""COMPUTED_VALUE"""),"Cavan Telleen")</f>
        <v>Cavan Telleen</v>
      </c>
    </row>
    <row r="154" spans="1:20" ht="13.8">
      <c r="A154" s="118" t="str">
        <f ca="1">IFERROR(__xludf.DUMMYFUNCTION("""COMPUTED_VALUE"""),"CH")</f>
        <v>CH</v>
      </c>
      <c r="B154" s="119" t="str">
        <f ca="1">IFERROR(__xludf.DUMMYFUNCTION("""COMPUTED_VALUE"""),"Beatrice Lieu St Amant")</f>
        <v>Beatrice Lieu St Amant</v>
      </c>
      <c r="C154" s="118">
        <f ca="1">IFERROR(__xludf.DUMMYFUNCTION("""COMPUTED_VALUE"""),10)</f>
        <v>10</v>
      </c>
      <c r="D154" s="118" t="str">
        <f ca="1">IFERROR(__xludf.DUMMYFUNCTION("""COMPUTED_VALUE"""),"G")</f>
        <v>G</v>
      </c>
      <c r="E154" s="118" t="str">
        <f ca="1">IFERROR(__xludf.DUMMYFUNCTION("""COMPUTED_VALUE"""),"F")</f>
        <v>F</v>
      </c>
      <c r="F154" s="118" t="str">
        <f ca="1">IFERROR(__xludf.DUMMYFUNCTION("""COMPUTED_VALUE"""),"J")</f>
        <v>J</v>
      </c>
      <c r="G154" s="118">
        <f ca="1">IFERROR(__xludf.DUMMYFUNCTION("""COMPUTED_VALUE"""),5)</f>
        <v>5</v>
      </c>
      <c r="H154" s="118" t="str">
        <f ca="1">IFERROR(__xludf.DUMMYFUNCTION("""COMPUTED_VALUE"""),"CH")</f>
        <v>CH</v>
      </c>
      <c r="I154" s="118">
        <f ca="1">IFERROR(__xludf.DUMMYFUNCTION("""COMPUTED_VALUE"""),4)</f>
        <v>4</v>
      </c>
      <c r="J154" s="118">
        <f ca="1">IFERROR(__xludf.DUMMYFUNCTION("""COMPUTED_VALUE"""),0)</f>
        <v>0</v>
      </c>
      <c r="K154" s="120"/>
      <c r="L154" s="121"/>
      <c r="M154" s="120"/>
      <c r="N154" s="121"/>
      <c r="O154" s="120"/>
      <c r="P154" s="122"/>
      <c r="Q154" s="123" t="str">
        <f ca="1">IFERROR(__xludf.DUMMYFUNCTION("""COMPUTED_VALUE"""),"Brooklyn Brabender")</f>
        <v>Brooklyn Brabender</v>
      </c>
      <c r="R154" s="123" t="str">
        <f ca="1">IFERROR(__xludf.DUMMYFUNCTION("""COMPUTED_VALUE"""),"Curtis Richardson")</f>
        <v>Curtis Richardson</v>
      </c>
      <c r="S154" s="123" t="str">
        <f ca="1">IFERROR(__xludf.DUMMYFUNCTION("""COMPUTED_VALUE"""),"Avery Ma")</f>
        <v>Avery Ma</v>
      </c>
      <c r="T154" s="123" t="str">
        <f ca="1">IFERROR(__xludf.DUMMYFUNCTION("""COMPUTED_VALUE"""),"Cedar Lee")</f>
        <v>Cedar Lee</v>
      </c>
    </row>
    <row r="155" spans="1:20" ht="13.8">
      <c r="A155" s="118" t="str">
        <f ca="1">IFERROR(__xludf.DUMMYFUNCTION("""COMPUTED_VALUE"""),"CH")</f>
        <v>CH</v>
      </c>
      <c r="B155" s="119" t="str">
        <f ca="1">IFERROR(__xludf.DUMMYFUNCTION("""COMPUTED_VALUE"""),"Cayla Lee")</f>
        <v>Cayla Lee</v>
      </c>
      <c r="C155" s="118">
        <f ca="1">IFERROR(__xludf.DUMMYFUNCTION("""COMPUTED_VALUE"""),6)</f>
        <v>6</v>
      </c>
      <c r="D155" s="118" t="str">
        <f ca="1">IFERROR(__xludf.DUMMYFUNCTION("""COMPUTED_VALUE"""),"G")</f>
        <v>G</v>
      </c>
      <c r="E155" s="118" t="str">
        <f ca="1">IFERROR(__xludf.DUMMYFUNCTION("""COMPUTED_VALUE"""),"F")</f>
        <v>F</v>
      </c>
      <c r="F155" s="118" t="str">
        <f ca="1">IFERROR(__xludf.DUMMYFUNCTION("""COMPUTED_VALUE"""),"J")</f>
        <v>J</v>
      </c>
      <c r="G155" s="118">
        <f ca="1">IFERROR(__xludf.DUMMYFUNCTION("""COMPUTED_VALUE"""),5)</f>
        <v>5</v>
      </c>
      <c r="H155" s="118" t="str">
        <f ca="1">IFERROR(__xludf.DUMMYFUNCTION("""COMPUTED_VALUE"""),"CH")</f>
        <v>CH</v>
      </c>
      <c r="I155" s="118">
        <f ca="1">IFERROR(__xludf.DUMMYFUNCTION("""COMPUTED_VALUE"""),4)</f>
        <v>4</v>
      </c>
      <c r="J155" s="118">
        <f ca="1">IFERROR(__xludf.DUMMYFUNCTION("""COMPUTED_VALUE"""),0)</f>
        <v>0</v>
      </c>
      <c r="K155" s="120"/>
      <c r="L155" s="121"/>
      <c r="M155" s="120"/>
      <c r="N155" s="121"/>
      <c r="O155" s="120"/>
      <c r="P155" s="122"/>
      <c r="Q155" s="123" t="str">
        <f ca="1">IFERROR(__xludf.DUMMYFUNCTION("""COMPUTED_VALUE"""),"Brynn Strano")</f>
        <v>Brynn Strano</v>
      </c>
      <c r="R155" s="123" t="str">
        <f ca="1">IFERROR(__xludf.DUMMYFUNCTION("""COMPUTED_VALUE"""),"Daniel Ahern")</f>
        <v>Daniel Ahern</v>
      </c>
      <c r="S155" s="123" t="str">
        <f ca="1">IFERROR(__xludf.DUMMYFUNCTION("""COMPUTED_VALUE"""),"Avery Nguyen")</f>
        <v>Avery Nguyen</v>
      </c>
      <c r="T155" s="123" t="str">
        <f ca="1">IFERROR(__xludf.DUMMYFUNCTION("""COMPUTED_VALUE"""),"Chanler Majiros")</f>
        <v>Chanler Majiros</v>
      </c>
    </row>
    <row r="156" spans="1:20" ht="13.8">
      <c r="A156" s="118" t="str">
        <f ca="1">IFERROR(__xludf.DUMMYFUNCTION("""COMPUTED_VALUE"""),"CH")</f>
        <v>CH</v>
      </c>
      <c r="B156" s="119" t="str">
        <f ca="1">IFERROR(__xludf.DUMMYFUNCTION("""COMPUTED_VALUE"""),"Chloe McNabney")</f>
        <v>Chloe McNabney</v>
      </c>
      <c r="C156" s="118">
        <f ca="1">IFERROR(__xludf.DUMMYFUNCTION("""COMPUTED_VALUE"""),10)</f>
        <v>10</v>
      </c>
      <c r="D156" s="118" t="str">
        <f ca="1">IFERROR(__xludf.DUMMYFUNCTION("""COMPUTED_VALUE"""),"G")</f>
        <v>G</v>
      </c>
      <c r="E156" s="118" t="str">
        <f ca="1">IFERROR(__xludf.DUMMYFUNCTION("""COMPUTED_VALUE"""),"F")</f>
        <v>F</v>
      </c>
      <c r="F156" s="118" t="str">
        <f ca="1">IFERROR(__xludf.DUMMYFUNCTION("""COMPUTED_VALUE"""),"J")</f>
        <v>J</v>
      </c>
      <c r="G156" s="118">
        <f ca="1">IFERROR(__xludf.DUMMYFUNCTION("""COMPUTED_VALUE"""),5)</f>
        <v>5</v>
      </c>
      <c r="H156" s="118" t="str">
        <f ca="1">IFERROR(__xludf.DUMMYFUNCTION("""COMPUTED_VALUE"""),"CH")</f>
        <v>CH</v>
      </c>
      <c r="I156" s="118">
        <f ca="1">IFERROR(__xludf.DUMMYFUNCTION("""COMPUTED_VALUE"""),4)</f>
        <v>4</v>
      </c>
      <c r="J156" s="118">
        <f ca="1">IFERROR(__xludf.DUMMYFUNCTION("""COMPUTED_VALUE"""),0)</f>
        <v>0</v>
      </c>
      <c r="K156" s="120"/>
      <c r="L156" s="121"/>
      <c r="M156" s="120"/>
      <c r="N156" s="121"/>
      <c r="O156" s="120"/>
      <c r="P156" s="122"/>
      <c r="Q156" s="123" t="str">
        <f ca="1">IFERROR(__xludf.DUMMYFUNCTION("""COMPUTED_VALUE"""),"Brynn White")</f>
        <v>Brynn White</v>
      </c>
      <c r="R156" s="123" t="str">
        <f ca="1">IFERROR(__xludf.DUMMYFUNCTION("""COMPUTED_VALUE"""),"Daniel McKinnon")</f>
        <v>Daniel McKinnon</v>
      </c>
      <c r="S156" s="123" t="str">
        <f ca="1">IFERROR(__xludf.DUMMYFUNCTION("""COMPUTED_VALUE"""),"Avery O'Brien")</f>
        <v>Avery O'Brien</v>
      </c>
      <c r="T156" s="123" t="str">
        <f ca="1">IFERROR(__xludf.DUMMYFUNCTION("""COMPUTED_VALUE"""),"Charith Reddy Vempalli")</f>
        <v>Charith Reddy Vempalli</v>
      </c>
    </row>
    <row r="157" spans="1:20" ht="13.8">
      <c r="A157" s="118" t="str">
        <f ca="1">IFERROR(__xludf.DUMMYFUNCTION("""COMPUTED_VALUE"""),"CH")</f>
        <v>CH</v>
      </c>
      <c r="B157" s="119" t="str">
        <f ca="1">IFERROR(__xludf.DUMMYFUNCTION("""COMPUTED_VALUE"""),"Colette Hecker")</f>
        <v>Colette Hecker</v>
      </c>
      <c r="C157" s="118">
        <f ca="1">IFERROR(__xludf.DUMMYFUNCTION("""COMPUTED_VALUE"""),8)</f>
        <v>8</v>
      </c>
      <c r="D157" s="118" t="str">
        <f ca="1">IFERROR(__xludf.DUMMYFUNCTION("""COMPUTED_VALUE"""),"G")</f>
        <v>G</v>
      </c>
      <c r="E157" s="118" t="str">
        <f ca="1">IFERROR(__xludf.DUMMYFUNCTION("""COMPUTED_VALUE"""),"F")</f>
        <v>F</v>
      </c>
      <c r="F157" s="118" t="str">
        <f ca="1">IFERROR(__xludf.DUMMYFUNCTION("""COMPUTED_VALUE"""),"J")</f>
        <v>J</v>
      </c>
      <c r="G157" s="118">
        <f ca="1">IFERROR(__xludf.DUMMYFUNCTION("""COMPUTED_VALUE"""),5)</f>
        <v>5</v>
      </c>
      <c r="H157" s="118" t="str">
        <f ca="1">IFERROR(__xludf.DUMMYFUNCTION("""COMPUTED_VALUE"""),"CH")</f>
        <v>CH</v>
      </c>
      <c r="I157" s="118">
        <f ca="1">IFERROR(__xludf.DUMMYFUNCTION("""COMPUTED_VALUE"""),4)</f>
        <v>4</v>
      </c>
      <c r="J157" s="118">
        <f ca="1">IFERROR(__xludf.DUMMYFUNCTION("""COMPUTED_VALUE"""),0)</f>
        <v>0</v>
      </c>
      <c r="K157" s="120"/>
      <c r="L157" s="121"/>
      <c r="M157" s="120"/>
      <c r="N157" s="121"/>
      <c r="O157" s="120"/>
      <c r="P157" s="122"/>
      <c r="Q157" s="123" t="str">
        <f ca="1">IFERROR(__xludf.DUMMYFUNCTION("""COMPUTED_VALUE"""),"Caelyn Kramer")</f>
        <v>Caelyn Kramer</v>
      </c>
      <c r="R157" s="123" t="str">
        <f ca="1">IFERROR(__xludf.DUMMYFUNCTION("""COMPUTED_VALUE"""),"Daniel Nelson")</f>
        <v>Daniel Nelson</v>
      </c>
      <c r="S157" s="123" t="str">
        <f ca="1">IFERROR(__xludf.DUMMYFUNCTION("""COMPUTED_VALUE"""),"Avery Swanson")</f>
        <v>Avery Swanson</v>
      </c>
      <c r="T157" s="123" t="str">
        <f ca="1">IFERROR(__xludf.DUMMYFUNCTION("""COMPUTED_VALUE"""),"Charles Shingleton")</f>
        <v>Charles Shingleton</v>
      </c>
    </row>
    <row r="158" spans="1:20" ht="13.8">
      <c r="A158" s="118" t="str">
        <f ca="1">IFERROR(__xludf.DUMMYFUNCTION("""COMPUTED_VALUE"""),"CH")</f>
        <v>CH</v>
      </c>
      <c r="B158" s="119" t="str">
        <f ca="1">IFERROR(__xludf.DUMMYFUNCTION("""COMPUTED_VALUE"""),"Emily McKinnon")</f>
        <v>Emily McKinnon</v>
      </c>
      <c r="C158" s="118">
        <f ca="1">IFERROR(__xludf.DUMMYFUNCTION("""COMPUTED_VALUE"""),10)</f>
        <v>10</v>
      </c>
      <c r="D158" s="118" t="str">
        <f ca="1">IFERROR(__xludf.DUMMYFUNCTION("""COMPUTED_VALUE"""),"G")</f>
        <v>G</v>
      </c>
      <c r="E158" s="118" t="str">
        <f ca="1">IFERROR(__xludf.DUMMYFUNCTION("""COMPUTED_VALUE"""),"F")</f>
        <v>F</v>
      </c>
      <c r="F158" s="118" t="str">
        <f ca="1">IFERROR(__xludf.DUMMYFUNCTION("""COMPUTED_VALUE"""),"J")</f>
        <v>J</v>
      </c>
      <c r="G158" s="118">
        <f ca="1">IFERROR(__xludf.DUMMYFUNCTION("""COMPUTED_VALUE"""),5)</f>
        <v>5</v>
      </c>
      <c r="H158" s="118" t="str">
        <f ca="1">IFERROR(__xludf.DUMMYFUNCTION("""COMPUTED_VALUE"""),"CH")</f>
        <v>CH</v>
      </c>
      <c r="I158" s="118">
        <f ca="1">IFERROR(__xludf.DUMMYFUNCTION("""COMPUTED_VALUE"""),4)</f>
        <v>4</v>
      </c>
      <c r="J158" s="118">
        <f ca="1">IFERROR(__xludf.DUMMYFUNCTION("""COMPUTED_VALUE"""),1)</f>
        <v>1</v>
      </c>
      <c r="K158" s="120">
        <f ca="1">IFERROR(__xludf.DUMMYFUNCTION("""COMPUTED_VALUE"""),31.25)</f>
        <v>31.25</v>
      </c>
      <c r="L158" s="121"/>
      <c r="M158" s="120">
        <f ca="1">IFERROR(__xludf.DUMMYFUNCTION("""COMPUTED_VALUE"""),31.25)</f>
        <v>31.25</v>
      </c>
      <c r="N158" s="121"/>
      <c r="O158" s="120"/>
      <c r="P158" s="122"/>
      <c r="Q158" s="123" t="str">
        <f ca="1">IFERROR(__xludf.DUMMYFUNCTION("""COMPUTED_VALUE"""),"Cailee Kaiser")</f>
        <v>Cailee Kaiser</v>
      </c>
      <c r="R158" s="123" t="str">
        <f ca="1">IFERROR(__xludf.DUMMYFUNCTION("""COMPUTED_VALUE"""),"Daniel Pinto")</f>
        <v>Daniel Pinto</v>
      </c>
      <c r="S158" s="123" t="str">
        <f ca="1">IFERROR(__xludf.DUMMYFUNCTION("""COMPUTED_VALUE"""),"Avery Thoman")</f>
        <v>Avery Thoman</v>
      </c>
      <c r="T158" s="123" t="str">
        <f ca="1">IFERROR(__xludf.DUMMYFUNCTION("""COMPUTED_VALUE"""),"Charlie Bennett")</f>
        <v>Charlie Bennett</v>
      </c>
    </row>
    <row r="159" spans="1:20" ht="13.8">
      <c r="A159" s="118" t="str">
        <f ca="1">IFERROR(__xludf.DUMMYFUNCTION("""COMPUTED_VALUE"""),"CH")</f>
        <v>CH</v>
      </c>
      <c r="B159" s="119" t="str">
        <f ca="1">IFERROR(__xludf.DUMMYFUNCTION("""COMPUTED_VALUE"""),"Emma Tkacz")</f>
        <v>Emma Tkacz</v>
      </c>
      <c r="C159" s="118">
        <f ca="1">IFERROR(__xludf.DUMMYFUNCTION("""COMPUTED_VALUE"""),7)</f>
        <v>7</v>
      </c>
      <c r="D159" s="118" t="str">
        <f ca="1">IFERROR(__xludf.DUMMYFUNCTION("""COMPUTED_VALUE"""),"G")</f>
        <v>G</v>
      </c>
      <c r="E159" s="118" t="str">
        <f ca="1">IFERROR(__xludf.DUMMYFUNCTION("""COMPUTED_VALUE"""),"F")</f>
        <v>F</v>
      </c>
      <c r="F159" s="118" t="str">
        <f ca="1">IFERROR(__xludf.DUMMYFUNCTION("""COMPUTED_VALUE"""),"J")</f>
        <v>J</v>
      </c>
      <c r="G159" s="118">
        <f ca="1">IFERROR(__xludf.DUMMYFUNCTION("""COMPUTED_VALUE"""),5)</f>
        <v>5</v>
      </c>
      <c r="H159" s="118" t="str">
        <f ca="1">IFERROR(__xludf.DUMMYFUNCTION("""COMPUTED_VALUE"""),"CH")</f>
        <v>CH</v>
      </c>
      <c r="I159" s="118">
        <f ca="1">IFERROR(__xludf.DUMMYFUNCTION("""COMPUTED_VALUE"""),4)</f>
        <v>4</v>
      </c>
      <c r="J159" s="118">
        <f ca="1">IFERROR(__xludf.DUMMYFUNCTION("""COMPUTED_VALUE"""),0)</f>
        <v>0</v>
      </c>
      <c r="K159" s="120"/>
      <c r="L159" s="121"/>
      <c r="M159" s="120"/>
      <c r="N159" s="121"/>
      <c r="O159" s="120"/>
      <c r="P159" s="122"/>
      <c r="Q159" s="123" t="str">
        <f ca="1">IFERROR(__xludf.DUMMYFUNCTION("""COMPUTED_VALUE"""),"Caitlin Martin")</f>
        <v>Caitlin Martin</v>
      </c>
      <c r="R159" s="123" t="str">
        <f ca="1">IFERROR(__xludf.DUMMYFUNCTION("""COMPUTED_VALUE"""),"Dara Mazahery")</f>
        <v>Dara Mazahery</v>
      </c>
      <c r="S159" s="123" t="str">
        <f ca="1">IFERROR(__xludf.DUMMYFUNCTION("""COMPUTED_VALUE"""),"Avery Wing")</f>
        <v>Avery Wing</v>
      </c>
      <c r="T159" s="123" t="str">
        <f ca="1">IFERROR(__xludf.DUMMYFUNCTION("""COMPUTED_VALUE"""),"Charlie Cate")</f>
        <v>Charlie Cate</v>
      </c>
    </row>
    <row r="160" spans="1:20" ht="13.8">
      <c r="A160" s="118" t="str">
        <f ca="1">IFERROR(__xludf.DUMMYFUNCTION("""COMPUTED_VALUE"""),"CH")</f>
        <v>CH</v>
      </c>
      <c r="B160" s="119" t="str">
        <f ca="1">IFERROR(__xludf.DUMMYFUNCTION("""COMPUTED_VALUE"""),"Evelyn Uhl")</f>
        <v>Evelyn Uhl</v>
      </c>
      <c r="C160" s="118">
        <f ca="1">IFERROR(__xludf.DUMMYFUNCTION("""COMPUTED_VALUE"""),10)</f>
        <v>10</v>
      </c>
      <c r="D160" s="118" t="str">
        <f ca="1">IFERROR(__xludf.DUMMYFUNCTION("""COMPUTED_VALUE"""),"G")</f>
        <v>G</v>
      </c>
      <c r="E160" s="118" t="str">
        <f ca="1">IFERROR(__xludf.DUMMYFUNCTION("""COMPUTED_VALUE"""),"F")</f>
        <v>F</v>
      </c>
      <c r="F160" s="118" t="str">
        <f ca="1">IFERROR(__xludf.DUMMYFUNCTION("""COMPUTED_VALUE"""),"J")</f>
        <v>J</v>
      </c>
      <c r="G160" s="118">
        <f ca="1">IFERROR(__xludf.DUMMYFUNCTION("""COMPUTED_VALUE"""),5)</f>
        <v>5</v>
      </c>
      <c r="H160" s="118" t="str">
        <f ca="1">IFERROR(__xludf.DUMMYFUNCTION("""COMPUTED_VALUE"""),"CH")</f>
        <v>CH</v>
      </c>
      <c r="I160" s="118">
        <f ca="1">IFERROR(__xludf.DUMMYFUNCTION("""COMPUTED_VALUE"""),4)</f>
        <v>4</v>
      </c>
      <c r="J160" s="118">
        <f ca="1">IFERROR(__xludf.DUMMYFUNCTION("""COMPUTED_VALUE"""),3)</f>
        <v>3</v>
      </c>
      <c r="K160" s="120">
        <f ca="1">IFERROR(__xludf.DUMMYFUNCTION("""COMPUTED_VALUE"""),53.15)</f>
        <v>53.15</v>
      </c>
      <c r="L160" s="121"/>
      <c r="M160" s="120"/>
      <c r="N160" s="121"/>
      <c r="O160" s="120"/>
      <c r="P160" s="122"/>
      <c r="Q160" s="123" t="str">
        <f ca="1">IFERROR(__xludf.DUMMYFUNCTION("""COMPUTED_VALUE"""),"Caliah Dumas")</f>
        <v>Caliah Dumas</v>
      </c>
      <c r="R160" s="123" t="str">
        <f ca="1">IFERROR(__xludf.DUMMYFUNCTION("""COMPUTED_VALUE"""),"Davey Scharre")</f>
        <v>Davey Scharre</v>
      </c>
      <c r="S160" s="123" t="str">
        <f ca="1">IFERROR(__xludf.DUMMYFUNCTION("""COMPUTED_VALUE"""),"Avi Padgett")</f>
        <v>Avi Padgett</v>
      </c>
      <c r="T160" s="123" t="str">
        <f ca="1">IFERROR(__xludf.DUMMYFUNCTION("""COMPUTED_VALUE"""),"Charlie Colwill")</f>
        <v>Charlie Colwill</v>
      </c>
    </row>
    <row r="161" spans="1:20" ht="13.8">
      <c r="A161" s="118" t="str">
        <f ca="1">IFERROR(__xludf.DUMMYFUNCTION("""COMPUTED_VALUE"""),"CH")</f>
        <v>CH</v>
      </c>
      <c r="B161" s="119" t="str">
        <f ca="1">IFERROR(__xludf.DUMMYFUNCTION("""COMPUTED_VALUE"""),"Isabelle Dixey")</f>
        <v>Isabelle Dixey</v>
      </c>
      <c r="C161" s="118">
        <f ca="1">IFERROR(__xludf.DUMMYFUNCTION("""COMPUTED_VALUE"""),8)</f>
        <v>8</v>
      </c>
      <c r="D161" s="118" t="str">
        <f ca="1">IFERROR(__xludf.DUMMYFUNCTION("""COMPUTED_VALUE"""),"G")</f>
        <v>G</v>
      </c>
      <c r="E161" s="118" t="str">
        <f ca="1">IFERROR(__xludf.DUMMYFUNCTION("""COMPUTED_VALUE"""),"F")</f>
        <v>F</v>
      </c>
      <c r="F161" s="118" t="str">
        <f ca="1">IFERROR(__xludf.DUMMYFUNCTION("""COMPUTED_VALUE"""),"J")</f>
        <v>J</v>
      </c>
      <c r="G161" s="118">
        <f ca="1">IFERROR(__xludf.DUMMYFUNCTION("""COMPUTED_VALUE"""),5)</f>
        <v>5</v>
      </c>
      <c r="H161" s="118" t="str">
        <f ca="1">IFERROR(__xludf.DUMMYFUNCTION("""COMPUTED_VALUE"""),"CH")</f>
        <v>CH</v>
      </c>
      <c r="I161" s="118">
        <f ca="1">IFERROR(__xludf.DUMMYFUNCTION("""COMPUTED_VALUE"""),4)</f>
        <v>4</v>
      </c>
      <c r="J161" s="118">
        <f ca="1">IFERROR(__xludf.DUMMYFUNCTION("""COMPUTED_VALUE"""),0)</f>
        <v>0</v>
      </c>
      <c r="K161" s="120"/>
      <c r="L161" s="121"/>
      <c r="M161" s="120"/>
      <c r="N161" s="121"/>
      <c r="O161" s="120"/>
      <c r="P161" s="122"/>
      <c r="Q161" s="123" t="str">
        <f ca="1">IFERROR(__xludf.DUMMYFUNCTION("""COMPUTED_VALUE"""),"Calissia Dumas")</f>
        <v>Calissia Dumas</v>
      </c>
      <c r="R161" s="123" t="str">
        <f ca="1">IFERROR(__xludf.DUMMYFUNCTION("""COMPUTED_VALUE"""),"David Garcia-McIntire")</f>
        <v>David Garcia-McIntire</v>
      </c>
      <c r="S161" s="123" t="str">
        <f ca="1">IFERROR(__xludf.DUMMYFUNCTION("""COMPUTED_VALUE"""),"Bailey Themak")</f>
        <v>Bailey Themak</v>
      </c>
      <c r="T161" s="123" t="str">
        <f ca="1">IFERROR(__xludf.DUMMYFUNCTION("""COMPUTED_VALUE"""),"Charlie DeZee")</f>
        <v>Charlie DeZee</v>
      </c>
    </row>
    <row r="162" spans="1:20" ht="13.8">
      <c r="A162" s="118" t="str">
        <f ca="1">IFERROR(__xludf.DUMMYFUNCTION("""COMPUTED_VALUE"""),"CH")</f>
        <v>CH</v>
      </c>
      <c r="B162" s="119" t="str">
        <f ca="1">IFERROR(__xludf.DUMMYFUNCTION("""COMPUTED_VALUE"""),"Kate Matthews")</f>
        <v>Kate Matthews</v>
      </c>
      <c r="C162" s="118">
        <f ca="1">IFERROR(__xludf.DUMMYFUNCTION("""COMPUTED_VALUE"""),8)</f>
        <v>8</v>
      </c>
      <c r="D162" s="118" t="str">
        <f ca="1">IFERROR(__xludf.DUMMYFUNCTION("""COMPUTED_VALUE"""),"G")</f>
        <v>G</v>
      </c>
      <c r="E162" s="118" t="str">
        <f ca="1">IFERROR(__xludf.DUMMYFUNCTION("""COMPUTED_VALUE"""),"F")</f>
        <v>F</v>
      </c>
      <c r="F162" s="118" t="str">
        <f ca="1">IFERROR(__xludf.DUMMYFUNCTION("""COMPUTED_VALUE"""),"J")</f>
        <v>J</v>
      </c>
      <c r="G162" s="118">
        <f ca="1">IFERROR(__xludf.DUMMYFUNCTION("""COMPUTED_VALUE"""),5)</f>
        <v>5</v>
      </c>
      <c r="H162" s="118" t="str">
        <f ca="1">IFERROR(__xludf.DUMMYFUNCTION("""COMPUTED_VALUE"""),"CH")</f>
        <v>CH</v>
      </c>
      <c r="I162" s="118">
        <f ca="1">IFERROR(__xludf.DUMMYFUNCTION("""COMPUTED_VALUE"""),4)</f>
        <v>4</v>
      </c>
      <c r="J162" s="118">
        <f ca="1">IFERROR(__xludf.DUMMYFUNCTION("""COMPUTED_VALUE"""),0)</f>
        <v>0</v>
      </c>
      <c r="K162" s="120"/>
      <c r="L162" s="121"/>
      <c r="M162" s="120"/>
      <c r="N162" s="121"/>
      <c r="O162" s="120"/>
      <c r="P162" s="122"/>
      <c r="Q162" s="123" t="str">
        <f ca="1">IFERROR(__xludf.DUMMYFUNCTION("""COMPUTED_VALUE"""),"Callie Moriarty")</f>
        <v>Callie Moriarty</v>
      </c>
      <c r="R162" s="123" t="str">
        <f ca="1">IFERROR(__xludf.DUMMYFUNCTION("""COMPUTED_VALUE"""),"David McArdle")</f>
        <v>David McArdle</v>
      </c>
      <c r="S162" s="123" t="str">
        <f ca="1">IFERROR(__xludf.DUMMYFUNCTION("""COMPUTED_VALUE"""),"Barbara Santley")</f>
        <v>Barbara Santley</v>
      </c>
      <c r="T162" s="123" t="str">
        <f ca="1">IFERROR(__xludf.DUMMYFUNCTION("""COMPUTED_VALUE"""),"Charlie Gent")</f>
        <v>Charlie Gent</v>
      </c>
    </row>
    <row r="163" spans="1:20" ht="13.8">
      <c r="A163" s="118" t="str">
        <f ca="1">IFERROR(__xludf.DUMMYFUNCTION("""COMPUTED_VALUE"""),"CH")</f>
        <v>CH</v>
      </c>
      <c r="B163" s="119" t="str">
        <f ca="1">IFERROR(__xludf.DUMMYFUNCTION("""COMPUTED_VALUE"""),"Lilly Apgar")</f>
        <v>Lilly Apgar</v>
      </c>
      <c r="C163" s="118">
        <f ca="1">IFERROR(__xludf.DUMMYFUNCTION("""COMPUTED_VALUE"""),10)</f>
        <v>10</v>
      </c>
      <c r="D163" s="118" t="str">
        <f ca="1">IFERROR(__xludf.DUMMYFUNCTION("""COMPUTED_VALUE"""),"G")</f>
        <v>G</v>
      </c>
      <c r="E163" s="118" t="str">
        <f ca="1">IFERROR(__xludf.DUMMYFUNCTION("""COMPUTED_VALUE"""),"F")</f>
        <v>F</v>
      </c>
      <c r="F163" s="118" t="str">
        <f ca="1">IFERROR(__xludf.DUMMYFUNCTION("""COMPUTED_VALUE"""),"J")</f>
        <v>J</v>
      </c>
      <c r="G163" s="118">
        <f ca="1">IFERROR(__xludf.DUMMYFUNCTION("""COMPUTED_VALUE"""),5)</f>
        <v>5</v>
      </c>
      <c r="H163" s="118" t="str">
        <f ca="1">IFERROR(__xludf.DUMMYFUNCTION("""COMPUTED_VALUE"""),"CH")</f>
        <v>CH</v>
      </c>
      <c r="I163" s="118">
        <f ca="1">IFERROR(__xludf.DUMMYFUNCTION("""COMPUTED_VALUE"""),4)</f>
        <v>4</v>
      </c>
      <c r="J163" s="118">
        <f ca="1">IFERROR(__xludf.DUMMYFUNCTION("""COMPUTED_VALUE"""),3)</f>
        <v>3</v>
      </c>
      <c r="K163" s="120">
        <f ca="1">IFERROR(__xludf.DUMMYFUNCTION("""COMPUTED_VALUE"""),56.15)</f>
        <v>56.15</v>
      </c>
      <c r="L163" s="121"/>
      <c r="M163" s="120"/>
      <c r="N163" s="121"/>
      <c r="O163" s="120"/>
      <c r="P163" s="122"/>
      <c r="Q163" s="123" t="str">
        <f ca="1">IFERROR(__xludf.DUMMYFUNCTION("""COMPUTED_VALUE"""),"Callie Swanson")</f>
        <v>Callie Swanson</v>
      </c>
      <c r="R163" s="123" t="str">
        <f ca="1">IFERROR(__xludf.DUMMYFUNCTION("""COMPUTED_VALUE"""),"David Myers")</f>
        <v>David Myers</v>
      </c>
      <c r="S163" s="123" t="str">
        <f ca="1">IFERROR(__xludf.DUMMYFUNCTION("""COMPUTED_VALUE"""),"Beatrice Lieu St Amant")</f>
        <v>Beatrice Lieu St Amant</v>
      </c>
      <c r="T163" s="123" t="str">
        <f ca="1">IFERROR(__xludf.DUMMYFUNCTION("""COMPUTED_VALUE"""),"Charlie Jreige")</f>
        <v>Charlie Jreige</v>
      </c>
    </row>
    <row r="164" spans="1:20" ht="13.8">
      <c r="A164" s="118" t="str">
        <f ca="1">IFERROR(__xludf.DUMMYFUNCTION("""COMPUTED_VALUE"""),"CH")</f>
        <v>CH</v>
      </c>
      <c r="B164" s="119" t="str">
        <f ca="1">IFERROR(__xludf.DUMMYFUNCTION("""COMPUTED_VALUE"""),"Mallory Coute")</f>
        <v>Mallory Coute</v>
      </c>
      <c r="C164" s="118">
        <f ca="1">IFERROR(__xludf.DUMMYFUNCTION("""COMPUTED_VALUE"""),10)</f>
        <v>10</v>
      </c>
      <c r="D164" s="118" t="str">
        <f ca="1">IFERROR(__xludf.DUMMYFUNCTION("""COMPUTED_VALUE"""),"G")</f>
        <v>G</v>
      </c>
      <c r="E164" s="118" t="str">
        <f ca="1">IFERROR(__xludf.DUMMYFUNCTION("""COMPUTED_VALUE"""),"F")</f>
        <v>F</v>
      </c>
      <c r="F164" s="118" t="str">
        <f ca="1">IFERROR(__xludf.DUMMYFUNCTION("""COMPUTED_VALUE"""),"J")</f>
        <v>J</v>
      </c>
      <c r="G164" s="118">
        <f ca="1">IFERROR(__xludf.DUMMYFUNCTION("""COMPUTED_VALUE"""),5)</f>
        <v>5</v>
      </c>
      <c r="H164" s="118" t="str">
        <f ca="1">IFERROR(__xludf.DUMMYFUNCTION("""COMPUTED_VALUE"""),"CH")</f>
        <v>CH</v>
      </c>
      <c r="I164" s="118">
        <f ca="1">IFERROR(__xludf.DUMMYFUNCTION("""COMPUTED_VALUE"""),4)</f>
        <v>4</v>
      </c>
      <c r="J164" s="118">
        <f ca="1">IFERROR(__xludf.DUMMYFUNCTION("""COMPUTED_VALUE"""),0)</f>
        <v>0</v>
      </c>
      <c r="K164" s="120"/>
      <c r="L164" s="121"/>
      <c r="M164" s="120"/>
      <c r="N164" s="121"/>
      <c r="O164" s="120"/>
      <c r="P164" s="122"/>
      <c r="Q164" s="123" t="str">
        <f ca="1">IFERROR(__xludf.DUMMYFUNCTION("""COMPUTED_VALUE"""),"Cameron Roehrig")</f>
        <v>Cameron Roehrig</v>
      </c>
      <c r="R164" s="123" t="str">
        <f ca="1">IFERROR(__xludf.DUMMYFUNCTION("""COMPUTED_VALUE"""),"David Rhea")</f>
        <v>David Rhea</v>
      </c>
      <c r="S164" s="123" t="str">
        <f ca="1">IFERROR(__xludf.DUMMYFUNCTION("""COMPUTED_VALUE"""),"Beatrice Simonsen")</f>
        <v>Beatrice Simonsen</v>
      </c>
      <c r="T164" s="123" t="str">
        <f ca="1">IFERROR(__xludf.DUMMYFUNCTION("""COMPUTED_VALUE"""),"Charlie Lake")</f>
        <v>Charlie Lake</v>
      </c>
    </row>
    <row r="165" spans="1:20" ht="13.8">
      <c r="A165" s="118" t="str">
        <f ca="1">IFERROR(__xludf.DUMMYFUNCTION("""COMPUTED_VALUE"""),"CH")</f>
        <v>CH</v>
      </c>
      <c r="B165" s="119" t="str">
        <f ca="1">IFERROR(__xludf.DUMMYFUNCTION("""COMPUTED_VALUE"""),"Mia Tabrizi")</f>
        <v>Mia Tabrizi</v>
      </c>
      <c r="C165" s="118">
        <f ca="1">IFERROR(__xludf.DUMMYFUNCTION("""COMPUTED_VALUE"""),9)</f>
        <v>9</v>
      </c>
      <c r="D165" s="118" t="str">
        <f ca="1">IFERROR(__xludf.DUMMYFUNCTION("""COMPUTED_VALUE"""),"G")</f>
        <v>G</v>
      </c>
      <c r="E165" s="118" t="str">
        <f ca="1">IFERROR(__xludf.DUMMYFUNCTION("""COMPUTED_VALUE"""),"F")</f>
        <v>F</v>
      </c>
      <c r="F165" s="118" t="str">
        <f ca="1">IFERROR(__xludf.DUMMYFUNCTION("""COMPUTED_VALUE"""),"J")</f>
        <v>J</v>
      </c>
      <c r="G165" s="118">
        <f ca="1">IFERROR(__xludf.DUMMYFUNCTION("""COMPUTED_VALUE"""),5)</f>
        <v>5</v>
      </c>
      <c r="H165" s="118" t="str">
        <f ca="1">IFERROR(__xludf.DUMMYFUNCTION("""COMPUTED_VALUE"""),"CH")</f>
        <v>CH</v>
      </c>
      <c r="I165" s="118">
        <f ca="1">IFERROR(__xludf.DUMMYFUNCTION("""COMPUTED_VALUE"""),4)</f>
        <v>4</v>
      </c>
      <c r="J165" s="118">
        <f ca="1">IFERROR(__xludf.DUMMYFUNCTION("""COMPUTED_VALUE"""),0)</f>
        <v>0</v>
      </c>
      <c r="K165" s="120"/>
      <c r="L165" s="121"/>
      <c r="M165" s="120"/>
      <c r="N165" s="121"/>
      <c r="O165" s="120"/>
      <c r="P165" s="122"/>
      <c r="Q165" s="123" t="str">
        <f ca="1">IFERROR(__xludf.DUMMYFUNCTION("""COMPUTED_VALUE"""),"Camilla Kettig")</f>
        <v>Camilla Kettig</v>
      </c>
      <c r="R165" s="123" t="str">
        <f ca="1">IFERROR(__xludf.DUMMYFUNCTION("""COMPUTED_VALUE"""),"David Shriber")</f>
        <v>David Shriber</v>
      </c>
      <c r="S165" s="123" t="str">
        <f ca="1">IFERROR(__xludf.DUMMYFUNCTION("""COMPUTED_VALUE"""),"Beatrice Sultanaeva")</f>
        <v>Beatrice Sultanaeva</v>
      </c>
      <c r="T165" s="123" t="str">
        <f ca="1">IFERROR(__xludf.DUMMYFUNCTION("""COMPUTED_VALUE"""),"Charlie Morrison")</f>
        <v>Charlie Morrison</v>
      </c>
    </row>
    <row r="166" spans="1:20" ht="13.8">
      <c r="A166" s="118" t="str">
        <f ca="1">IFERROR(__xludf.DUMMYFUNCTION("""COMPUTED_VALUE"""),"CH")</f>
        <v>CH</v>
      </c>
      <c r="B166" s="119" t="str">
        <f ca="1">IFERROR(__xludf.DUMMYFUNCTION("""COMPUTED_VALUE"""),"Mishi Roper")</f>
        <v>Mishi Roper</v>
      </c>
      <c r="C166" s="118">
        <f ca="1">IFERROR(__xludf.DUMMYFUNCTION("""COMPUTED_VALUE"""),10)</f>
        <v>10</v>
      </c>
      <c r="D166" s="118" t="str">
        <f ca="1">IFERROR(__xludf.DUMMYFUNCTION("""COMPUTED_VALUE"""),"G")</f>
        <v>G</v>
      </c>
      <c r="E166" s="118" t="str">
        <f ca="1">IFERROR(__xludf.DUMMYFUNCTION("""COMPUTED_VALUE"""),"F")</f>
        <v>F</v>
      </c>
      <c r="F166" s="118" t="str">
        <f ca="1">IFERROR(__xludf.DUMMYFUNCTION("""COMPUTED_VALUE"""),"J")</f>
        <v>J</v>
      </c>
      <c r="G166" s="118">
        <f ca="1">IFERROR(__xludf.DUMMYFUNCTION("""COMPUTED_VALUE"""),5)</f>
        <v>5</v>
      </c>
      <c r="H166" s="118" t="str">
        <f ca="1">IFERROR(__xludf.DUMMYFUNCTION("""COMPUTED_VALUE"""),"CH")</f>
        <v>CH</v>
      </c>
      <c r="I166" s="118">
        <f ca="1">IFERROR(__xludf.DUMMYFUNCTION("""COMPUTED_VALUE"""),4)</f>
        <v>4</v>
      </c>
      <c r="J166" s="118">
        <f ca="1">IFERROR(__xludf.DUMMYFUNCTION("""COMPUTED_VALUE"""),1)</f>
        <v>1</v>
      </c>
      <c r="K166" s="120">
        <f ca="1">IFERROR(__xludf.DUMMYFUNCTION("""COMPUTED_VALUE"""),49.05)</f>
        <v>49.05</v>
      </c>
      <c r="L166" s="121"/>
      <c r="M166" s="120"/>
      <c r="N166" s="121"/>
      <c r="O166" s="120">
        <f ca="1">IFERROR(__xludf.DUMMYFUNCTION("""COMPUTED_VALUE"""),49.05)</f>
        <v>49.05</v>
      </c>
      <c r="P166" s="122"/>
      <c r="Q166" s="123" t="str">
        <f ca="1">IFERROR(__xludf.DUMMYFUNCTION("""COMPUTED_VALUE"""),"Camilla Warren")</f>
        <v>Camilla Warren</v>
      </c>
      <c r="R166" s="123" t="str">
        <f ca="1">IFERROR(__xludf.DUMMYFUNCTION("""COMPUTED_VALUE"""),"Davis Miller")</f>
        <v>Davis Miller</v>
      </c>
      <c r="S166" s="123" t="str">
        <f ca="1">IFERROR(__xludf.DUMMYFUNCTION("""COMPUTED_VALUE"""),"Beatriz Perosa")</f>
        <v>Beatriz Perosa</v>
      </c>
      <c r="T166" s="123" t="str">
        <f ca="1">IFERROR(__xludf.DUMMYFUNCTION("""COMPUTED_VALUE"""),"Charlie Rogers")</f>
        <v>Charlie Rogers</v>
      </c>
    </row>
    <row r="167" spans="1:20" ht="13.8">
      <c r="A167" s="118" t="str">
        <f ca="1">IFERROR(__xludf.DUMMYFUNCTION("""COMPUTED_VALUE"""),"CH")</f>
        <v>CH</v>
      </c>
      <c r="B167" s="119" t="str">
        <f ca="1">IFERROR(__xludf.DUMMYFUNCTION("""COMPUTED_VALUE"""),"Sammy Jarvis")</f>
        <v>Sammy Jarvis</v>
      </c>
      <c r="C167" s="118">
        <f ca="1">IFERROR(__xludf.DUMMYFUNCTION("""COMPUTED_VALUE"""),9)</f>
        <v>9</v>
      </c>
      <c r="D167" s="118" t="str">
        <f ca="1">IFERROR(__xludf.DUMMYFUNCTION("""COMPUTED_VALUE"""),"G")</f>
        <v>G</v>
      </c>
      <c r="E167" s="118" t="str">
        <f ca="1">IFERROR(__xludf.DUMMYFUNCTION("""COMPUTED_VALUE"""),"F")</f>
        <v>F</v>
      </c>
      <c r="F167" s="118" t="str">
        <f ca="1">IFERROR(__xludf.DUMMYFUNCTION("""COMPUTED_VALUE"""),"J")</f>
        <v>J</v>
      </c>
      <c r="G167" s="118">
        <f ca="1">IFERROR(__xludf.DUMMYFUNCTION("""COMPUTED_VALUE"""),5)</f>
        <v>5</v>
      </c>
      <c r="H167" s="118" t="str">
        <f ca="1">IFERROR(__xludf.DUMMYFUNCTION("""COMPUTED_VALUE"""),"CH")</f>
        <v>CH</v>
      </c>
      <c r="I167" s="118">
        <f ca="1">IFERROR(__xludf.DUMMYFUNCTION("""COMPUTED_VALUE"""),4)</f>
        <v>4</v>
      </c>
      <c r="J167" s="118">
        <f ca="1">IFERROR(__xludf.DUMMYFUNCTION("""COMPUTED_VALUE"""),3)</f>
        <v>3</v>
      </c>
      <c r="K167" s="120">
        <f ca="1">IFERROR(__xludf.DUMMYFUNCTION("""COMPUTED_VALUE"""),43.75)</f>
        <v>43.75</v>
      </c>
      <c r="L167" s="121"/>
      <c r="M167" s="120">
        <f ca="1">IFERROR(__xludf.DUMMYFUNCTION("""COMPUTED_VALUE"""),38.7)</f>
        <v>38.700000000000003</v>
      </c>
      <c r="N167" s="121"/>
      <c r="O167" s="120"/>
      <c r="P167" s="122"/>
      <c r="Q167" s="123" t="str">
        <f ca="1">IFERROR(__xludf.DUMMYFUNCTION("""COMPUTED_VALUE"""),"Camille Upton")</f>
        <v>Camille Upton</v>
      </c>
      <c r="R167" s="123" t="str">
        <f ca="1">IFERROR(__xludf.DUMMYFUNCTION("""COMPUTED_VALUE"""),"Deacon Tuss")</f>
        <v>Deacon Tuss</v>
      </c>
      <c r="S167" s="123" t="str">
        <f ca="1">IFERROR(__xludf.DUMMYFUNCTION("""COMPUTED_VALUE"""),"Bee Brown")</f>
        <v>Bee Brown</v>
      </c>
      <c r="T167" s="123" t="str">
        <f ca="1">IFERROR(__xludf.DUMMYFUNCTION("""COMPUTED_VALUE"""),"Chase Burke")</f>
        <v>Chase Burke</v>
      </c>
    </row>
    <row r="168" spans="1:20" ht="13.8">
      <c r="A168" s="118" t="str">
        <f ca="1">IFERROR(__xludf.DUMMYFUNCTION("""COMPUTED_VALUE"""),"CH")</f>
        <v>CH</v>
      </c>
      <c r="B168" s="119" t="str">
        <f ca="1">IFERROR(__xludf.DUMMYFUNCTION("""COMPUTED_VALUE"""),"Stella McCormack")</f>
        <v>Stella McCormack</v>
      </c>
      <c r="C168" s="118">
        <f ca="1">IFERROR(__xludf.DUMMYFUNCTION("""COMPUTED_VALUE"""),8)</f>
        <v>8</v>
      </c>
      <c r="D168" s="118" t="str">
        <f ca="1">IFERROR(__xludf.DUMMYFUNCTION("""COMPUTED_VALUE"""),"G")</f>
        <v>G</v>
      </c>
      <c r="E168" s="118" t="str">
        <f ca="1">IFERROR(__xludf.DUMMYFUNCTION("""COMPUTED_VALUE"""),"F")</f>
        <v>F</v>
      </c>
      <c r="F168" s="118" t="str">
        <f ca="1">IFERROR(__xludf.DUMMYFUNCTION("""COMPUTED_VALUE"""),"J")</f>
        <v>J</v>
      </c>
      <c r="G168" s="118">
        <f ca="1">IFERROR(__xludf.DUMMYFUNCTION("""COMPUTED_VALUE"""),5)</f>
        <v>5</v>
      </c>
      <c r="H168" s="118" t="str">
        <f ca="1">IFERROR(__xludf.DUMMYFUNCTION("""COMPUTED_VALUE"""),"CH")</f>
        <v>CH</v>
      </c>
      <c r="I168" s="118">
        <f ca="1">IFERROR(__xludf.DUMMYFUNCTION("""COMPUTED_VALUE"""),4)</f>
        <v>4</v>
      </c>
      <c r="J168" s="118">
        <f ca="1">IFERROR(__xludf.DUMMYFUNCTION("""COMPUTED_VALUE"""),3)</f>
        <v>3</v>
      </c>
      <c r="K168" s="120">
        <f ca="1">IFERROR(__xludf.DUMMYFUNCTION("""COMPUTED_VALUE"""),64.05)</f>
        <v>64.05</v>
      </c>
      <c r="L168" s="121"/>
      <c r="M168" s="120"/>
      <c r="N168" s="121"/>
      <c r="O168" s="120">
        <f ca="1">IFERROR(__xludf.DUMMYFUNCTION("""COMPUTED_VALUE"""),64.05)</f>
        <v>64.05</v>
      </c>
      <c r="P168" s="122"/>
      <c r="Q168" s="123" t="str">
        <f ca="1">IFERROR(__xludf.DUMMYFUNCTION("""COMPUTED_VALUE"""),"Campbell Badini")</f>
        <v>Campbell Badini</v>
      </c>
      <c r="R168" s="123" t="str">
        <f ca="1">IFERROR(__xludf.DUMMYFUNCTION("""COMPUTED_VALUE"""),"Declan Fitzsimmons")</f>
        <v>Declan Fitzsimmons</v>
      </c>
      <c r="S168" s="123" t="str">
        <f ca="1">IFERROR(__xludf.DUMMYFUNCTION("""COMPUTED_VALUE"""),"Bella DeSando")</f>
        <v>Bella DeSando</v>
      </c>
      <c r="T168" s="123" t="str">
        <f ca="1">IFERROR(__xludf.DUMMYFUNCTION("""COMPUTED_VALUE"""),"Chase Edwards")</f>
        <v>Chase Edwards</v>
      </c>
    </row>
    <row r="169" spans="1:20" ht="13.8">
      <c r="A169" s="118" t="str">
        <f ca="1">IFERROR(__xludf.DUMMYFUNCTION("""COMPUTED_VALUE"""),"CH")</f>
        <v>CH</v>
      </c>
      <c r="B169" s="119" t="str">
        <f ca="1">IFERROR(__xludf.DUMMYFUNCTION("""COMPUTED_VALUE"""),"Victoria Turcot")</f>
        <v>Victoria Turcot</v>
      </c>
      <c r="C169" s="118">
        <f ca="1">IFERROR(__xludf.DUMMYFUNCTION("""COMPUTED_VALUE"""),8)</f>
        <v>8</v>
      </c>
      <c r="D169" s="118" t="str">
        <f ca="1">IFERROR(__xludf.DUMMYFUNCTION("""COMPUTED_VALUE"""),"G")</f>
        <v>G</v>
      </c>
      <c r="E169" s="118" t="str">
        <f ca="1">IFERROR(__xludf.DUMMYFUNCTION("""COMPUTED_VALUE"""),"F")</f>
        <v>F</v>
      </c>
      <c r="F169" s="118" t="str">
        <f ca="1">IFERROR(__xludf.DUMMYFUNCTION("""COMPUTED_VALUE"""),"J")</f>
        <v>J</v>
      </c>
      <c r="G169" s="118">
        <f ca="1">IFERROR(__xludf.DUMMYFUNCTION("""COMPUTED_VALUE"""),5)</f>
        <v>5</v>
      </c>
      <c r="H169" s="118" t="str">
        <f ca="1">IFERROR(__xludf.DUMMYFUNCTION("""COMPUTED_VALUE"""),"CH")</f>
        <v>CH</v>
      </c>
      <c r="I169" s="118">
        <f ca="1">IFERROR(__xludf.DUMMYFUNCTION("""COMPUTED_VALUE"""),4)</f>
        <v>4</v>
      </c>
      <c r="J169" s="118">
        <f ca="1">IFERROR(__xludf.DUMMYFUNCTION("""COMPUTED_VALUE"""),0)</f>
        <v>0</v>
      </c>
      <c r="K169" s="120"/>
      <c r="L169" s="121"/>
      <c r="M169" s="120"/>
      <c r="N169" s="121"/>
      <c r="O169" s="120"/>
      <c r="P169" s="122"/>
      <c r="Q169" s="123" t="str">
        <f ca="1">IFERROR(__xludf.DUMMYFUNCTION("""COMPUTED_VALUE"""),"Campbell Black")</f>
        <v>Campbell Black</v>
      </c>
      <c r="R169" s="123" t="str">
        <f ca="1">IFERROR(__xludf.DUMMYFUNCTION("""COMPUTED_VALUE"""),"Declan Jackson")</f>
        <v>Declan Jackson</v>
      </c>
      <c r="S169" s="123" t="str">
        <f ca="1">IFERROR(__xludf.DUMMYFUNCTION("""COMPUTED_VALUE"""),"Bella Fleming")</f>
        <v>Bella Fleming</v>
      </c>
      <c r="T169" s="123" t="str">
        <f ca="1">IFERROR(__xludf.DUMMYFUNCTION("""COMPUTED_VALUE"""),"Chase Kemps")</f>
        <v>Chase Kemps</v>
      </c>
    </row>
    <row r="170" spans="1:20" ht="13.8">
      <c r="A170" s="118" t="str">
        <f ca="1">IFERROR(__xludf.DUMMYFUNCTION("""COMPUTED_VALUE"""),"CH")</f>
        <v>CH</v>
      </c>
      <c r="B170" s="119" t="str">
        <f ca="1">IFERROR(__xludf.DUMMYFUNCTION("""COMPUTED_VALUE"""),"Yohanna Stone")</f>
        <v>Yohanna Stone</v>
      </c>
      <c r="C170" s="118">
        <f ca="1">IFERROR(__xludf.DUMMYFUNCTION("""COMPUTED_VALUE"""),8)</f>
        <v>8</v>
      </c>
      <c r="D170" s="118" t="str">
        <f ca="1">IFERROR(__xludf.DUMMYFUNCTION("""COMPUTED_VALUE"""),"G")</f>
        <v>G</v>
      </c>
      <c r="E170" s="118" t="str">
        <f ca="1">IFERROR(__xludf.DUMMYFUNCTION("""COMPUTED_VALUE"""),"F")</f>
        <v>F</v>
      </c>
      <c r="F170" s="118" t="str">
        <f ca="1">IFERROR(__xludf.DUMMYFUNCTION("""COMPUTED_VALUE"""),"J")</f>
        <v>J</v>
      </c>
      <c r="G170" s="118">
        <f ca="1">IFERROR(__xludf.DUMMYFUNCTION("""COMPUTED_VALUE"""),5)</f>
        <v>5</v>
      </c>
      <c r="H170" s="118" t="str">
        <f ca="1">IFERROR(__xludf.DUMMYFUNCTION("""COMPUTED_VALUE"""),"CH")</f>
        <v>CH</v>
      </c>
      <c r="I170" s="118">
        <f ca="1">IFERROR(__xludf.DUMMYFUNCTION("""COMPUTED_VALUE"""),4)</f>
        <v>4</v>
      </c>
      <c r="J170" s="118">
        <f ca="1">IFERROR(__xludf.DUMMYFUNCTION("""COMPUTED_VALUE"""),0)</f>
        <v>0</v>
      </c>
      <c r="K170" s="120"/>
      <c r="L170" s="121"/>
      <c r="M170" s="120"/>
      <c r="N170" s="121"/>
      <c r="O170" s="120"/>
      <c r="P170" s="122"/>
      <c r="Q170" s="123" t="str">
        <f ca="1">IFERROR(__xludf.DUMMYFUNCTION("""COMPUTED_VALUE"""),"Cana Nguyen")</f>
        <v>Cana Nguyen</v>
      </c>
      <c r="R170" s="123" t="str">
        <f ca="1">IFERROR(__xludf.DUMMYFUNCTION("""COMPUTED_VALUE"""),"Declan Pacheco-Manetti")</f>
        <v>Declan Pacheco-Manetti</v>
      </c>
      <c r="S170" s="123" t="str">
        <f ca="1">IFERROR(__xludf.DUMMYFUNCTION("""COMPUTED_VALUE"""),"Belle Amatuzzi")</f>
        <v>Belle Amatuzzi</v>
      </c>
      <c r="T170" s="123" t="str">
        <f ca="1">IFERROR(__xludf.DUMMYFUNCTION("""COMPUTED_VALUE"""),"Chase McCormick")</f>
        <v>Chase McCormick</v>
      </c>
    </row>
    <row r="171" spans="1:20" ht="13.8">
      <c r="A171" s="118" t="str">
        <f ca="1">IFERROR(__xludf.DUMMYFUNCTION("""COMPUTED_VALUE"""),"CH")</f>
        <v>CH</v>
      </c>
      <c r="B171" s="119" t="str">
        <f ca="1">IFERROR(__xludf.DUMMYFUNCTION("""COMPUTED_VALUE"""),"Aiden Cox")</f>
        <v>Aiden Cox</v>
      </c>
      <c r="C171" s="118">
        <f ca="1">IFERROR(__xludf.DUMMYFUNCTION("""COMPUTED_VALUE"""),10)</f>
        <v>10</v>
      </c>
      <c r="D171" s="118" t="str">
        <f ca="1">IFERROR(__xludf.DUMMYFUNCTION("""COMPUTED_VALUE"""),"B")</f>
        <v>B</v>
      </c>
      <c r="E171" s="118" t="str">
        <f ca="1">IFERROR(__xludf.DUMMYFUNCTION("""COMPUTED_VALUE"""),"F")</f>
        <v>F</v>
      </c>
      <c r="F171" s="118" t="str">
        <f ca="1">IFERROR(__xludf.DUMMYFUNCTION("""COMPUTED_VALUE"""),"J")</f>
        <v>J</v>
      </c>
      <c r="G171" s="118">
        <f ca="1">IFERROR(__xludf.DUMMYFUNCTION("""COMPUTED_VALUE"""),5)</f>
        <v>5</v>
      </c>
      <c r="H171" s="118" t="str">
        <f ca="1">IFERROR(__xludf.DUMMYFUNCTION("""COMPUTED_VALUE"""),"CH")</f>
        <v>CH</v>
      </c>
      <c r="I171" s="118">
        <f ca="1">IFERROR(__xludf.DUMMYFUNCTION("""COMPUTED_VALUE"""),5)</f>
        <v>5</v>
      </c>
      <c r="J171" s="118">
        <f ca="1">IFERROR(__xludf.DUMMYFUNCTION("""COMPUTED_VALUE"""),1)</f>
        <v>1</v>
      </c>
      <c r="K171" s="120">
        <f ca="1">IFERROR(__xludf.DUMMYFUNCTION("""COMPUTED_VALUE"""),45.65)</f>
        <v>45.65</v>
      </c>
      <c r="L171" s="121"/>
      <c r="M171" s="120"/>
      <c r="N171" s="121"/>
      <c r="O171" s="120"/>
      <c r="P171" s="122"/>
      <c r="Q171" s="123" t="str">
        <f ca="1">IFERROR(__xludf.DUMMYFUNCTION("""COMPUTED_VALUE"""),"Carina Bosco")</f>
        <v>Carina Bosco</v>
      </c>
      <c r="R171" s="123" t="str">
        <f ca="1">IFERROR(__xludf.DUMMYFUNCTION("""COMPUTED_VALUE"""),"Declan Prunty")</f>
        <v>Declan Prunty</v>
      </c>
      <c r="S171" s="123" t="str">
        <f ca="1">IFERROR(__xludf.DUMMYFUNCTION("""COMPUTED_VALUE"""),"Bennett Barletta")</f>
        <v>Bennett Barletta</v>
      </c>
      <c r="T171" s="123" t="str">
        <f ca="1">IFERROR(__xludf.DUMMYFUNCTION("""COMPUTED_VALUE"""),"Chi Sandhu")</f>
        <v>Chi Sandhu</v>
      </c>
    </row>
    <row r="172" spans="1:20" ht="13.8">
      <c r="A172" s="118" t="str">
        <f ca="1">IFERROR(__xludf.DUMMYFUNCTION("""COMPUTED_VALUE"""),"CH")</f>
        <v>CH</v>
      </c>
      <c r="B172" s="119" t="str">
        <f ca="1">IFERROR(__xludf.DUMMYFUNCTION("""COMPUTED_VALUE"""),"Alexander Tkacz")</f>
        <v>Alexander Tkacz</v>
      </c>
      <c r="C172" s="118">
        <f ca="1">IFERROR(__xludf.DUMMYFUNCTION("""COMPUTED_VALUE"""),8)</f>
        <v>8</v>
      </c>
      <c r="D172" s="118" t="str">
        <f ca="1">IFERROR(__xludf.DUMMYFUNCTION("""COMPUTED_VALUE"""),"B")</f>
        <v>B</v>
      </c>
      <c r="E172" s="118" t="str">
        <f ca="1">IFERROR(__xludf.DUMMYFUNCTION("""COMPUTED_VALUE"""),"F")</f>
        <v>F</v>
      </c>
      <c r="F172" s="118" t="str">
        <f ca="1">IFERROR(__xludf.DUMMYFUNCTION("""COMPUTED_VALUE"""),"J")</f>
        <v>J</v>
      </c>
      <c r="G172" s="118">
        <f ca="1">IFERROR(__xludf.DUMMYFUNCTION("""COMPUTED_VALUE"""),5)</f>
        <v>5</v>
      </c>
      <c r="H172" s="118" t="str">
        <f ca="1">IFERROR(__xludf.DUMMYFUNCTION("""COMPUTED_VALUE"""),"CH")</f>
        <v>CH</v>
      </c>
      <c r="I172" s="118">
        <f ca="1">IFERROR(__xludf.DUMMYFUNCTION("""COMPUTED_VALUE"""),5)</f>
        <v>5</v>
      </c>
      <c r="J172" s="118">
        <f ca="1">IFERROR(__xludf.DUMMYFUNCTION("""COMPUTED_VALUE"""),0)</f>
        <v>0</v>
      </c>
      <c r="K172" s="120"/>
      <c r="L172" s="121"/>
      <c r="M172" s="120"/>
      <c r="N172" s="121"/>
      <c r="O172" s="120"/>
      <c r="P172" s="122"/>
      <c r="Q172" s="123" t="str">
        <f ca="1">IFERROR(__xludf.DUMMYFUNCTION("""COMPUTED_VALUE"""),"Caris Allen")</f>
        <v>Caris Allen</v>
      </c>
      <c r="R172" s="123" t="str">
        <f ca="1">IFERROR(__xludf.DUMMYFUNCTION("""COMPUTED_VALUE"""),"Desi Gellie")</f>
        <v>Desi Gellie</v>
      </c>
      <c r="S172" s="123" t="str">
        <f ca="1">IFERROR(__xludf.DUMMYFUNCTION("""COMPUTED_VALUE"""),"Bianca Soto")</f>
        <v>Bianca Soto</v>
      </c>
      <c r="T172" s="123" t="str">
        <f ca="1">IFERROR(__xludf.DUMMYFUNCTION("""COMPUTED_VALUE"""),"Chris Buell")</f>
        <v>Chris Buell</v>
      </c>
    </row>
    <row r="173" spans="1:20" ht="13.8">
      <c r="A173" s="118" t="str">
        <f ca="1">IFERROR(__xludf.DUMMYFUNCTION("""COMPUTED_VALUE"""),"CH")</f>
        <v>CH</v>
      </c>
      <c r="B173" s="119" t="str">
        <f ca="1">IFERROR(__xludf.DUMMYFUNCTION("""COMPUTED_VALUE"""),"Andrew Beck")</f>
        <v>Andrew Beck</v>
      </c>
      <c r="C173" s="118">
        <f ca="1">IFERROR(__xludf.DUMMYFUNCTION("""COMPUTED_VALUE"""),8)</f>
        <v>8</v>
      </c>
      <c r="D173" s="118" t="str">
        <f ca="1">IFERROR(__xludf.DUMMYFUNCTION("""COMPUTED_VALUE"""),"B")</f>
        <v>B</v>
      </c>
      <c r="E173" s="118" t="str">
        <f ca="1">IFERROR(__xludf.DUMMYFUNCTION("""COMPUTED_VALUE"""),"F")</f>
        <v>F</v>
      </c>
      <c r="F173" s="118" t="str">
        <f ca="1">IFERROR(__xludf.DUMMYFUNCTION("""COMPUTED_VALUE"""),"J")</f>
        <v>J</v>
      </c>
      <c r="G173" s="118">
        <f ca="1">IFERROR(__xludf.DUMMYFUNCTION("""COMPUTED_VALUE"""),5)</f>
        <v>5</v>
      </c>
      <c r="H173" s="118" t="str">
        <f ca="1">IFERROR(__xludf.DUMMYFUNCTION("""COMPUTED_VALUE"""),"CH")</f>
        <v>CH</v>
      </c>
      <c r="I173" s="118">
        <f ca="1">IFERROR(__xludf.DUMMYFUNCTION("""COMPUTED_VALUE"""),5)</f>
        <v>5</v>
      </c>
      <c r="J173" s="118">
        <f ca="1">IFERROR(__xludf.DUMMYFUNCTION("""COMPUTED_VALUE"""),4)</f>
        <v>4</v>
      </c>
      <c r="K173" s="120">
        <f ca="1">IFERROR(__xludf.DUMMYFUNCTION("""COMPUTED_VALUE"""),66.2)</f>
        <v>66.2</v>
      </c>
      <c r="L173" s="121"/>
      <c r="M173" s="120">
        <f ca="1">IFERROR(__xludf.DUMMYFUNCTION("""COMPUTED_VALUE"""),66.2)</f>
        <v>66.2</v>
      </c>
      <c r="N173" s="121"/>
      <c r="O173" s="120">
        <f ca="1">IFERROR(__xludf.DUMMYFUNCTION("""COMPUTED_VALUE"""),-68.5)</f>
        <v>-68.5</v>
      </c>
      <c r="P173" s="122"/>
      <c r="Q173" s="123" t="str">
        <f ca="1">IFERROR(__xludf.DUMMYFUNCTION("""COMPUTED_VALUE"""),"Carolina Neill")</f>
        <v>Carolina Neill</v>
      </c>
      <c r="R173" s="123" t="str">
        <f ca="1">IFERROR(__xludf.DUMMYFUNCTION("""COMPUTED_VALUE"""),"Deven Todman")</f>
        <v>Deven Todman</v>
      </c>
      <c r="S173" s="123" t="str">
        <f ca="1">IFERROR(__xludf.DUMMYFUNCTION("""COMPUTED_VALUE"""),"Blaire Kellogg")</f>
        <v>Blaire Kellogg</v>
      </c>
      <c r="T173" s="123" t="str">
        <f ca="1">IFERROR(__xludf.DUMMYFUNCTION("""COMPUTED_VALUE"""),"Christian Jacobs")</f>
        <v>Christian Jacobs</v>
      </c>
    </row>
    <row r="174" spans="1:20" ht="13.8">
      <c r="A174" s="118" t="str">
        <f ca="1">IFERROR(__xludf.DUMMYFUNCTION("""COMPUTED_VALUE"""),"CH")</f>
        <v>CH</v>
      </c>
      <c r="B174" s="119" t="str">
        <f ca="1">IFERROR(__xludf.DUMMYFUNCTION("""COMPUTED_VALUE"""),"Baxter Shimooka")</f>
        <v>Baxter Shimooka</v>
      </c>
      <c r="C174" s="118">
        <f ca="1">IFERROR(__xludf.DUMMYFUNCTION("""COMPUTED_VALUE"""),9)</f>
        <v>9</v>
      </c>
      <c r="D174" s="118" t="str">
        <f ca="1">IFERROR(__xludf.DUMMYFUNCTION("""COMPUTED_VALUE"""),"B")</f>
        <v>B</v>
      </c>
      <c r="E174" s="118" t="str">
        <f ca="1">IFERROR(__xludf.DUMMYFUNCTION("""COMPUTED_VALUE"""),"F")</f>
        <v>F</v>
      </c>
      <c r="F174" s="118" t="str">
        <f ca="1">IFERROR(__xludf.DUMMYFUNCTION("""COMPUTED_VALUE"""),"J")</f>
        <v>J</v>
      </c>
      <c r="G174" s="118">
        <f ca="1">IFERROR(__xludf.DUMMYFUNCTION("""COMPUTED_VALUE"""),5)</f>
        <v>5</v>
      </c>
      <c r="H174" s="118" t="str">
        <f ca="1">IFERROR(__xludf.DUMMYFUNCTION("""COMPUTED_VALUE"""),"CH")</f>
        <v>CH</v>
      </c>
      <c r="I174" s="118">
        <f ca="1">IFERROR(__xludf.DUMMYFUNCTION("""COMPUTED_VALUE"""),5)</f>
        <v>5</v>
      </c>
      <c r="J174" s="118">
        <f ca="1">IFERROR(__xludf.DUMMYFUNCTION("""COMPUTED_VALUE"""),4)</f>
        <v>4</v>
      </c>
      <c r="K174" s="120">
        <f ca="1">IFERROR(__xludf.DUMMYFUNCTION("""COMPUTED_VALUE"""),55.8)</f>
        <v>55.8</v>
      </c>
      <c r="L174" s="121"/>
      <c r="M174" s="120"/>
      <c r="N174" s="121"/>
      <c r="O174" s="120">
        <f ca="1">IFERROR(__xludf.DUMMYFUNCTION("""COMPUTED_VALUE"""),51.35)</f>
        <v>51.35</v>
      </c>
      <c r="P174" s="122"/>
      <c r="Q174" s="123" t="str">
        <f ca="1">IFERROR(__xludf.DUMMYFUNCTION("""COMPUTED_VALUE"""),"Caroline Markey")</f>
        <v>Caroline Markey</v>
      </c>
      <c r="R174" s="123" t="str">
        <f ca="1">IFERROR(__xludf.DUMMYFUNCTION("""COMPUTED_VALUE"""),"Devin Davenport")</f>
        <v>Devin Davenport</v>
      </c>
      <c r="S174" s="123" t="str">
        <f ca="1">IFERROR(__xludf.DUMMYFUNCTION("""COMPUTED_VALUE"""),"Blakely Thompson")</f>
        <v>Blakely Thompson</v>
      </c>
      <c r="T174" s="123" t="str">
        <f ca="1">IFERROR(__xludf.DUMMYFUNCTION("""COMPUTED_VALUE"""),"Christopher Barron")</f>
        <v>Christopher Barron</v>
      </c>
    </row>
    <row r="175" spans="1:20" ht="13.8">
      <c r="A175" s="118" t="str">
        <f ca="1">IFERROR(__xludf.DUMMYFUNCTION("""COMPUTED_VALUE"""),"CH")</f>
        <v>CH</v>
      </c>
      <c r="B175" s="119" t="str">
        <f ca="1">IFERROR(__xludf.DUMMYFUNCTION("""COMPUTED_VALUE"""),"Brooks Pacheco-Manetti")</f>
        <v>Brooks Pacheco-Manetti</v>
      </c>
      <c r="C175" s="118">
        <f ca="1">IFERROR(__xludf.DUMMYFUNCTION("""COMPUTED_VALUE"""),5)</f>
        <v>5</v>
      </c>
      <c r="D175" s="118" t="str">
        <f ca="1">IFERROR(__xludf.DUMMYFUNCTION("""COMPUTED_VALUE"""),"B")</f>
        <v>B</v>
      </c>
      <c r="E175" s="118" t="str">
        <f ca="1">IFERROR(__xludf.DUMMYFUNCTION("""COMPUTED_VALUE"""),"F")</f>
        <v>F</v>
      </c>
      <c r="F175" s="118" t="str">
        <f ca="1">IFERROR(__xludf.DUMMYFUNCTION("""COMPUTED_VALUE"""),"J")</f>
        <v>J</v>
      </c>
      <c r="G175" s="118">
        <f ca="1">IFERROR(__xludf.DUMMYFUNCTION("""COMPUTED_VALUE"""),5)</f>
        <v>5</v>
      </c>
      <c r="H175" s="118" t="str">
        <f ca="1">IFERROR(__xludf.DUMMYFUNCTION("""COMPUTED_VALUE"""),"CH")</f>
        <v>CH</v>
      </c>
      <c r="I175" s="118">
        <f ca="1">IFERROR(__xludf.DUMMYFUNCTION("""COMPUTED_VALUE"""),5)</f>
        <v>5</v>
      </c>
      <c r="J175" s="118">
        <f ca="1">IFERROR(__xludf.DUMMYFUNCTION("""COMPUTED_VALUE"""),0)</f>
        <v>0</v>
      </c>
      <c r="K175" s="120"/>
      <c r="L175" s="121"/>
      <c r="M175" s="120"/>
      <c r="N175" s="121"/>
      <c r="O175" s="120"/>
      <c r="P175" s="122"/>
      <c r="Q175" s="123" t="str">
        <f ca="1">IFERROR(__xludf.DUMMYFUNCTION("""COMPUTED_VALUE"""),"Caroline McAsey")</f>
        <v>Caroline McAsey</v>
      </c>
      <c r="R175" s="123" t="str">
        <f ca="1">IFERROR(__xludf.DUMMYFUNCTION("""COMPUTED_VALUE"""),"Dex Weaver")</f>
        <v>Dex Weaver</v>
      </c>
      <c r="S175" s="123" t="str">
        <f ca="1">IFERROR(__xludf.DUMMYFUNCTION("""COMPUTED_VALUE"""),"Bodhi Tam")</f>
        <v>Bodhi Tam</v>
      </c>
      <c r="T175" s="123" t="str">
        <f ca="1">IFERROR(__xludf.DUMMYFUNCTION("""COMPUTED_VALUE"""),"Christopher Crepeau")</f>
        <v>Christopher Crepeau</v>
      </c>
    </row>
    <row r="176" spans="1:20" ht="13.8">
      <c r="A176" s="118" t="str">
        <f ca="1">IFERROR(__xludf.DUMMYFUNCTION("""COMPUTED_VALUE"""),"CH")</f>
        <v>CH</v>
      </c>
      <c r="B176" s="119" t="str">
        <f ca="1">IFERROR(__xludf.DUMMYFUNCTION("""COMPUTED_VALUE"""),"Carson Shreckhise")</f>
        <v>Carson Shreckhise</v>
      </c>
      <c r="C176" s="118">
        <f ca="1">IFERROR(__xludf.DUMMYFUNCTION("""COMPUTED_VALUE"""),6)</f>
        <v>6</v>
      </c>
      <c r="D176" s="118" t="str">
        <f ca="1">IFERROR(__xludf.DUMMYFUNCTION("""COMPUTED_VALUE"""),"B")</f>
        <v>B</v>
      </c>
      <c r="E176" s="118" t="str">
        <f ca="1">IFERROR(__xludf.DUMMYFUNCTION("""COMPUTED_VALUE"""),"F")</f>
        <v>F</v>
      </c>
      <c r="F176" s="118" t="str">
        <f ca="1">IFERROR(__xludf.DUMMYFUNCTION("""COMPUTED_VALUE"""),"J")</f>
        <v>J</v>
      </c>
      <c r="G176" s="118">
        <f ca="1">IFERROR(__xludf.DUMMYFUNCTION("""COMPUTED_VALUE"""),5)</f>
        <v>5</v>
      </c>
      <c r="H176" s="118" t="str">
        <f ca="1">IFERROR(__xludf.DUMMYFUNCTION("""COMPUTED_VALUE"""),"CH")</f>
        <v>CH</v>
      </c>
      <c r="I176" s="118">
        <f ca="1">IFERROR(__xludf.DUMMYFUNCTION("""COMPUTED_VALUE"""),5)</f>
        <v>5</v>
      </c>
      <c r="J176" s="118">
        <f ca="1">IFERROR(__xludf.DUMMYFUNCTION("""COMPUTED_VALUE"""),0)</f>
        <v>0</v>
      </c>
      <c r="K176" s="120"/>
      <c r="L176" s="121"/>
      <c r="M176" s="120"/>
      <c r="N176" s="121"/>
      <c r="O176" s="120"/>
      <c r="P176" s="122"/>
      <c r="Q176" s="123" t="str">
        <f ca="1">IFERROR(__xludf.DUMMYFUNCTION("""COMPUTED_VALUE"""),"Caroline Null")</f>
        <v>Caroline Null</v>
      </c>
      <c r="R176" s="123" t="str">
        <f ca="1">IFERROR(__xludf.DUMMYFUNCTION("""COMPUTED_VALUE"""),"Dominic Meruvia")</f>
        <v>Dominic Meruvia</v>
      </c>
      <c r="S176" s="123" t="str">
        <f ca="1">IFERROR(__xludf.DUMMYFUNCTION("""COMPUTED_VALUE"""),"Boyang Ma")</f>
        <v>Boyang Ma</v>
      </c>
      <c r="T176" s="123" t="str">
        <f ca="1">IFERROR(__xludf.DUMMYFUNCTION("""COMPUTED_VALUE"""),"Christopher Daniels")</f>
        <v>Christopher Daniels</v>
      </c>
    </row>
    <row r="177" spans="1:20" ht="13.8">
      <c r="A177" s="118" t="str">
        <f ca="1">IFERROR(__xludf.DUMMYFUNCTION("""COMPUTED_VALUE"""),"CH")</f>
        <v>CH</v>
      </c>
      <c r="B177" s="119" t="str">
        <f ca="1">IFERROR(__xludf.DUMMYFUNCTION("""COMPUTED_VALUE"""),"Cedar Lee")</f>
        <v>Cedar Lee</v>
      </c>
      <c r="C177" s="118">
        <f ca="1">IFERROR(__xludf.DUMMYFUNCTION("""COMPUTED_VALUE"""),8)</f>
        <v>8</v>
      </c>
      <c r="D177" s="118" t="str">
        <f ca="1">IFERROR(__xludf.DUMMYFUNCTION("""COMPUTED_VALUE"""),"B")</f>
        <v>B</v>
      </c>
      <c r="E177" s="118" t="str">
        <f ca="1">IFERROR(__xludf.DUMMYFUNCTION("""COMPUTED_VALUE"""),"F")</f>
        <v>F</v>
      </c>
      <c r="F177" s="118" t="str">
        <f ca="1">IFERROR(__xludf.DUMMYFUNCTION("""COMPUTED_VALUE"""),"J")</f>
        <v>J</v>
      </c>
      <c r="G177" s="118">
        <f ca="1">IFERROR(__xludf.DUMMYFUNCTION("""COMPUTED_VALUE"""),5)</f>
        <v>5</v>
      </c>
      <c r="H177" s="118" t="str">
        <f ca="1">IFERROR(__xludf.DUMMYFUNCTION("""COMPUTED_VALUE"""),"CH")</f>
        <v>CH</v>
      </c>
      <c r="I177" s="118">
        <f ca="1">IFERROR(__xludf.DUMMYFUNCTION("""COMPUTED_VALUE"""),5)</f>
        <v>5</v>
      </c>
      <c r="J177" s="118">
        <f ca="1">IFERROR(__xludf.DUMMYFUNCTION("""COMPUTED_VALUE"""),3)</f>
        <v>3</v>
      </c>
      <c r="K177" s="120">
        <f ca="1">IFERROR(__xludf.DUMMYFUNCTION("""COMPUTED_VALUE"""),39.8)</f>
        <v>39.799999999999997</v>
      </c>
      <c r="L177" s="121"/>
      <c r="M177" s="120"/>
      <c r="N177" s="121"/>
      <c r="O177" s="120">
        <f ca="1">IFERROR(__xludf.DUMMYFUNCTION("""COMPUTED_VALUE"""),19.4)</f>
        <v>19.399999999999999</v>
      </c>
      <c r="P177" s="122"/>
      <c r="Q177" s="123" t="str">
        <f ca="1">IFERROR(__xludf.DUMMYFUNCTION("""COMPUTED_VALUE"""),"Caroline Reilly")</f>
        <v>Caroline Reilly</v>
      </c>
      <c r="R177" s="123" t="str">
        <f ca="1">IFERROR(__xludf.DUMMYFUNCTION("""COMPUTED_VALUE"""),"Donovan Dempsey")</f>
        <v>Donovan Dempsey</v>
      </c>
      <c r="S177" s="123" t="str">
        <f ca="1">IFERROR(__xludf.DUMMYFUNCTION("""COMPUTED_VALUE"""),"Bree Doss")</f>
        <v>Bree Doss</v>
      </c>
      <c r="T177" s="123" t="str">
        <f ca="1">IFERROR(__xludf.DUMMYFUNCTION("""COMPUTED_VALUE"""),"Christopher Neumann")</f>
        <v>Christopher Neumann</v>
      </c>
    </row>
    <row r="178" spans="1:20" ht="13.8">
      <c r="A178" s="118" t="str">
        <f ca="1">IFERROR(__xludf.DUMMYFUNCTION("""COMPUTED_VALUE"""),"CH")</f>
        <v>CH</v>
      </c>
      <c r="B178" s="119" t="str">
        <f ca="1">IFERROR(__xludf.DUMMYFUNCTION("""COMPUTED_VALUE"""),"Cooper Matthews")</f>
        <v>Cooper Matthews</v>
      </c>
      <c r="C178" s="118">
        <f ca="1">IFERROR(__xludf.DUMMYFUNCTION("""COMPUTED_VALUE"""),6)</f>
        <v>6</v>
      </c>
      <c r="D178" s="118" t="str">
        <f ca="1">IFERROR(__xludf.DUMMYFUNCTION("""COMPUTED_VALUE"""),"B")</f>
        <v>B</v>
      </c>
      <c r="E178" s="118" t="str">
        <f ca="1">IFERROR(__xludf.DUMMYFUNCTION("""COMPUTED_VALUE"""),"F")</f>
        <v>F</v>
      </c>
      <c r="F178" s="118" t="str">
        <f ca="1">IFERROR(__xludf.DUMMYFUNCTION("""COMPUTED_VALUE"""),"J")</f>
        <v>J</v>
      </c>
      <c r="G178" s="118">
        <f ca="1">IFERROR(__xludf.DUMMYFUNCTION("""COMPUTED_VALUE"""),5)</f>
        <v>5</v>
      </c>
      <c r="H178" s="118" t="str">
        <f ca="1">IFERROR(__xludf.DUMMYFUNCTION("""COMPUTED_VALUE"""),"CH")</f>
        <v>CH</v>
      </c>
      <c r="I178" s="118">
        <f ca="1">IFERROR(__xludf.DUMMYFUNCTION("""COMPUTED_VALUE"""),5)</f>
        <v>5</v>
      </c>
      <c r="J178" s="118">
        <f ca="1">IFERROR(__xludf.DUMMYFUNCTION("""COMPUTED_VALUE"""),3)</f>
        <v>3</v>
      </c>
      <c r="K178" s="120">
        <f ca="1">IFERROR(__xludf.DUMMYFUNCTION("""COMPUTED_VALUE"""),40.35)</f>
        <v>40.35</v>
      </c>
      <c r="L178" s="121"/>
      <c r="M178" s="120"/>
      <c r="N178" s="121"/>
      <c r="O178" s="120">
        <f ca="1">IFERROR(__xludf.DUMMYFUNCTION("""COMPUTED_VALUE"""),24.5)</f>
        <v>24.5</v>
      </c>
      <c r="P178" s="122"/>
      <c r="Q178" s="123" t="str">
        <f ca="1">IFERROR(__xludf.DUMMYFUNCTION("""COMPUTED_VALUE"""),"Caroline Van Order")</f>
        <v>Caroline Van Order</v>
      </c>
      <c r="R178" s="123" t="str">
        <f ca="1">IFERROR(__xludf.DUMMYFUNCTION("""COMPUTED_VALUE"""),"Drew Laursen")</f>
        <v>Drew Laursen</v>
      </c>
      <c r="S178" s="123" t="str">
        <f ca="1">IFERROR(__xludf.DUMMYFUNCTION("""COMPUTED_VALUE"""),"Brenna Daniel")</f>
        <v>Brenna Daniel</v>
      </c>
      <c r="T178" s="123" t="str">
        <f ca="1">IFERROR(__xludf.DUMMYFUNCTION("""COMPUTED_VALUE"""),"Christopher Olsen")</f>
        <v>Christopher Olsen</v>
      </c>
    </row>
    <row r="179" spans="1:20" ht="13.8">
      <c r="A179" s="118" t="str">
        <f ca="1">IFERROR(__xludf.DUMMYFUNCTION("""COMPUTED_VALUE"""),"CH")</f>
        <v>CH</v>
      </c>
      <c r="B179" s="119" t="str">
        <f ca="1">IFERROR(__xludf.DUMMYFUNCTION("""COMPUTED_VALUE"""),"Daniel McKinnon")</f>
        <v>Daniel McKinnon</v>
      </c>
      <c r="C179" s="118">
        <f ca="1">IFERROR(__xludf.DUMMYFUNCTION("""COMPUTED_VALUE"""),7)</f>
        <v>7</v>
      </c>
      <c r="D179" s="118" t="str">
        <f ca="1">IFERROR(__xludf.DUMMYFUNCTION("""COMPUTED_VALUE"""),"B")</f>
        <v>B</v>
      </c>
      <c r="E179" s="118" t="str">
        <f ca="1">IFERROR(__xludf.DUMMYFUNCTION("""COMPUTED_VALUE"""),"F")</f>
        <v>F</v>
      </c>
      <c r="F179" s="118" t="str">
        <f ca="1">IFERROR(__xludf.DUMMYFUNCTION("""COMPUTED_VALUE"""),"J")</f>
        <v>J</v>
      </c>
      <c r="G179" s="118">
        <f ca="1">IFERROR(__xludf.DUMMYFUNCTION("""COMPUTED_VALUE"""),5)</f>
        <v>5</v>
      </c>
      <c r="H179" s="118" t="str">
        <f ca="1">IFERROR(__xludf.DUMMYFUNCTION("""COMPUTED_VALUE"""),"CH")</f>
        <v>CH</v>
      </c>
      <c r="I179" s="118">
        <f ca="1">IFERROR(__xludf.DUMMYFUNCTION("""COMPUTED_VALUE"""),5)</f>
        <v>5</v>
      </c>
      <c r="J179" s="118">
        <f ca="1">IFERROR(__xludf.DUMMYFUNCTION("""COMPUTED_VALUE"""),0)</f>
        <v>0</v>
      </c>
      <c r="K179" s="120"/>
      <c r="L179" s="121"/>
      <c r="M179" s="120"/>
      <c r="N179" s="121"/>
      <c r="O179" s="120"/>
      <c r="P179" s="122"/>
      <c r="Q179" s="123" t="str">
        <f ca="1">IFERROR(__xludf.DUMMYFUNCTION("""COMPUTED_VALUE"""),"Caroline Wilson")</f>
        <v>Caroline Wilson</v>
      </c>
      <c r="R179" s="123" t="str">
        <f ca="1">IFERROR(__xludf.DUMMYFUNCTION("""COMPUTED_VALUE"""),"Drew Southworth")</f>
        <v>Drew Southworth</v>
      </c>
      <c r="S179" s="123" t="str">
        <f ca="1">IFERROR(__xludf.DUMMYFUNCTION("""COMPUTED_VALUE"""),"Bri Whitney")</f>
        <v>Bri Whitney</v>
      </c>
      <c r="T179" s="123" t="str">
        <f ca="1">IFERROR(__xludf.DUMMYFUNCTION("""COMPUTED_VALUE"""),"Cian Gallagher")</f>
        <v>Cian Gallagher</v>
      </c>
    </row>
    <row r="180" spans="1:20" ht="13.8">
      <c r="A180" s="118" t="str">
        <f ca="1">IFERROR(__xludf.DUMMYFUNCTION("""COMPUTED_VALUE"""),"CH")</f>
        <v>CH</v>
      </c>
      <c r="B180" s="119" t="str">
        <f ca="1">IFERROR(__xludf.DUMMYFUNCTION("""COMPUTED_VALUE"""),"Declan Pacheco-Manetti")</f>
        <v>Declan Pacheco-Manetti</v>
      </c>
      <c r="C180" s="118">
        <f ca="1">IFERROR(__xludf.DUMMYFUNCTION("""COMPUTED_VALUE"""),7)</f>
        <v>7</v>
      </c>
      <c r="D180" s="118" t="str">
        <f ca="1">IFERROR(__xludf.DUMMYFUNCTION("""COMPUTED_VALUE"""),"B")</f>
        <v>B</v>
      </c>
      <c r="E180" s="118" t="str">
        <f ca="1">IFERROR(__xludf.DUMMYFUNCTION("""COMPUTED_VALUE"""),"F")</f>
        <v>F</v>
      </c>
      <c r="F180" s="118" t="str">
        <f ca="1">IFERROR(__xludf.DUMMYFUNCTION("""COMPUTED_VALUE"""),"J")</f>
        <v>J</v>
      </c>
      <c r="G180" s="118">
        <f ca="1">IFERROR(__xludf.DUMMYFUNCTION("""COMPUTED_VALUE"""),5)</f>
        <v>5</v>
      </c>
      <c r="H180" s="118" t="str">
        <f ca="1">IFERROR(__xludf.DUMMYFUNCTION("""COMPUTED_VALUE"""),"CH")</f>
        <v>CH</v>
      </c>
      <c r="I180" s="118">
        <f ca="1">IFERROR(__xludf.DUMMYFUNCTION("""COMPUTED_VALUE"""),5)</f>
        <v>5</v>
      </c>
      <c r="J180" s="118">
        <f ca="1">IFERROR(__xludf.DUMMYFUNCTION("""COMPUTED_VALUE"""),0)</f>
        <v>0</v>
      </c>
      <c r="K180" s="120"/>
      <c r="L180" s="121"/>
      <c r="M180" s="120"/>
      <c r="N180" s="121"/>
      <c r="O180" s="120"/>
      <c r="P180" s="122"/>
      <c r="Q180" s="123" t="str">
        <f ca="1">IFERROR(__xludf.DUMMYFUNCTION("""COMPUTED_VALUE"""),"Carrie Byrd")</f>
        <v>Carrie Byrd</v>
      </c>
      <c r="R180" s="123" t="str">
        <f ca="1">IFERROR(__xludf.DUMMYFUNCTION("""COMPUTED_VALUE"""),"Drew Winslow")</f>
        <v>Drew Winslow</v>
      </c>
      <c r="S180" s="123" t="str">
        <f ca="1">IFERROR(__xludf.DUMMYFUNCTION("""COMPUTED_VALUE"""),"Briana Birchfield")</f>
        <v>Briana Birchfield</v>
      </c>
      <c r="T180" s="123" t="str">
        <f ca="1">IFERROR(__xludf.DUMMYFUNCTION("""COMPUTED_VALUE"""),"CJ Petersen")</f>
        <v>CJ Petersen</v>
      </c>
    </row>
    <row r="181" spans="1:20" ht="13.8">
      <c r="A181" s="118" t="str">
        <f ca="1">IFERROR(__xludf.DUMMYFUNCTION("""COMPUTED_VALUE"""),"CH")</f>
        <v>CH</v>
      </c>
      <c r="B181" s="119" t="str">
        <f ca="1">IFERROR(__xludf.DUMMYFUNCTION("""COMPUTED_VALUE"""),"Emmett Shreckhise")</f>
        <v>Emmett Shreckhise</v>
      </c>
      <c r="C181" s="118">
        <f ca="1">IFERROR(__xludf.DUMMYFUNCTION("""COMPUTED_VALUE"""),8)</f>
        <v>8</v>
      </c>
      <c r="D181" s="118" t="str">
        <f ca="1">IFERROR(__xludf.DUMMYFUNCTION("""COMPUTED_VALUE"""),"B")</f>
        <v>B</v>
      </c>
      <c r="E181" s="118" t="str">
        <f ca="1">IFERROR(__xludf.DUMMYFUNCTION("""COMPUTED_VALUE"""),"F")</f>
        <v>F</v>
      </c>
      <c r="F181" s="118" t="str">
        <f ca="1">IFERROR(__xludf.DUMMYFUNCTION("""COMPUTED_VALUE"""),"J")</f>
        <v>J</v>
      </c>
      <c r="G181" s="118">
        <f ca="1">IFERROR(__xludf.DUMMYFUNCTION("""COMPUTED_VALUE"""),5)</f>
        <v>5</v>
      </c>
      <c r="H181" s="118" t="str">
        <f ca="1">IFERROR(__xludf.DUMMYFUNCTION("""COMPUTED_VALUE"""),"CH")</f>
        <v>CH</v>
      </c>
      <c r="I181" s="118">
        <f ca="1">IFERROR(__xludf.DUMMYFUNCTION("""COMPUTED_VALUE"""),5)</f>
        <v>5</v>
      </c>
      <c r="J181" s="118">
        <f ca="1">IFERROR(__xludf.DUMMYFUNCTION("""COMPUTED_VALUE"""),3)</f>
        <v>3</v>
      </c>
      <c r="K181" s="120">
        <f ca="1">IFERROR(__xludf.DUMMYFUNCTION("""COMPUTED_VALUE"""),59.2)</f>
        <v>59.2</v>
      </c>
      <c r="L181" s="121"/>
      <c r="M181" s="120"/>
      <c r="N181" s="121"/>
      <c r="O181" s="120">
        <f ca="1">IFERROR(__xludf.DUMMYFUNCTION("""COMPUTED_VALUE"""),59.2)</f>
        <v>59.2</v>
      </c>
      <c r="P181" s="122"/>
      <c r="Q181" s="123" t="str">
        <f ca="1">IFERROR(__xludf.DUMMYFUNCTION("""COMPUTED_VALUE"""),"Casimira Betz")</f>
        <v>Casimira Betz</v>
      </c>
      <c r="R181" s="123" t="str">
        <f ca="1">IFERROR(__xludf.DUMMYFUNCTION("""COMPUTED_VALUE"""),"Drexel Gianoli")</f>
        <v>Drexel Gianoli</v>
      </c>
      <c r="S181" s="123" t="str">
        <f ca="1">IFERROR(__xludf.DUMMYFUNCTION("""COMPUTED_VALUE"""),"Brianna Solis")</f>
        <v>Brianna Solis</v>
      </c>
      <c r="T181" s="123" t="str">
        <f ca="1">IFERROR(__xludf.DUMMYFUNCTION("""COMPUTED_VALUE"""),"CJ Silva")</f>
        <v>CJ Silva</v>
      </c>
    </row>
    <row r="182" spans="1:20" ht="13.8">
      <c r="A182" s="118" t="str">
        <f ca="1">IFERROR(__xludf.DUMMYFUNCTION("""COMPUTED_VALUE"""),"CH")</f>
        <v>CH</v>
      </c>
      <c r="B182" s="119" t="str">
        <f ca="1">IFERROR(__xludf.DUMMYFUNCTION("""COMPUTED_VALUE"""),"Ethan Yang")</f>
        <v>Ethan Yang</v>
      </c>
      <c r="C182" s="118">
        <f ca="1">IFERROR(__xludf.DUMMYFUNCTION("""COMPUTED_VALUE"""),10)</f>
        <v>10</v>
      </c>
      <c r="D182" s="118" t="str">
        <f ca="1">IFERROR(__xludf.DUMMYFUNCTION("""COMPUTED_VALUE"""),"B")</f>
        <v>B</v>
      </c>
      <c r="E182" s="118" t="str">
        <f ca="1">IFERROR(__xludf.DUMMYFUNCTION("""COMPUTED_VALUE"""),"F")</f>
        <v>F</v>
      </c>
      <c r="F182" s="118" t="str">
        <f ca="1">IFERROR(__xludf.DUMMYFUNCTION("""COMPUTED_VALUE"""),"J")</f>
        <v>J</v>
      </c>
      <c r="G182" s="118">
        <f ca="1">IFERROR(__xludf.DUMMYFUNCTION("""COMPUTED_VALUE"""),5)</f>
        <v>5</v>
      </c>
      <c r="H182" s="118" t="str">
        <f ca="1">IFERROR(__xludf.DUMMYFUNCTION("""COMPUTED_VALUE"""),"CH")</f>
        <v>CH</v>
      </c>
      <c r="I182" s="118">
        <f ca="1">IFERROR(__xludf.DUMMYFUNCTION("""COMPUTED_VALUE"""),5)</f>
        <v>5</v>
      </c>
      <c r="J182" s="118">
        <f ca="1">IFERROR(__xludf.DUMMYFUNCTION("""COMPUTED_VALUE"""),0)</f>
        <v>0</v>
      </c>
      <c r="K182" s="120"/>
      <c r="L182" s="121"/>
      <c r="M182" s="120"/>
      <c r="N182" s="121"/>
      <c r="O182" s="120"/>
      <c r="P182" s="122"/>
      <c r="Q182" s="123" t="str">
        <f ca="1">IFERROR(__xludf.DUMMYFUNCTION("""COMPUTED_VALUE"""),"Cateleia Chu")</f>
        <v>Cateleia Chu</v>
      </c>
      <c r="R182" s="123" t="str">
        <f ca="1">IFERROR(__xludf.DUMMYFUNCTION("""COMPUTED_VALUE"""),"Duncan Carr")</f>
        <v>Duncan Carr</v>
      </c>
      <c r="S182" s="123" t="str">
        <f ca="1">IFERROR(__xludf.DUMMYFUNCTION("""COMPUTED_VALUE"""),"Bridget O'Leary")</f>
        <v>Bridget O'Leary</v>
      </c>
      <c r="T182" s="123" t="str">
        <f ca="1">IFERROR(__xludf.DUMMYFUNCTION("""COMPUTED_VALUE"""),"CJ Swemba")</f>
        <v>CJ Swemba</v>
      </c>
    </row>
    <row r="183" spans="1:20" ht="13.8">
      <c r="A183" s="118" t="str">
        <f ca="1">IFERROR(__xludf.DUMMYFUNCTION("""COMPUTED_VALUE"""),"CH")</f>
        <v>CH</v>
      </c>
      <c r="B183" s="119" t="str">
        <f ca="1">IFERROR(__xludf.DUMMYFUNCTION("""COMPUTED_VALUE"""),"Freddy Xin")</f>
        <v>Freddy Xin</v>
      </c>
      <c r="C183" s="118">
        <f ca="1">IFERROR(__xludf.DUMMYFUNCTION("""COMPUTED_VALUE"""),8)</f>
        <v>8</v>
      </c>
      <c r="D183" s="118" t="str">
        <f ca="1">IFERROR(__xludf.DUMMYFUNCTION("""COMPUTED_VALUE"""),"B")</f>
        <v>B</v>
      </c>
      <c r="E183" s="118" t="str">
        <f ca="1">IFERROR(__xludf.DUMMYFUNCTION("""COMPUTED_VALUE"""),"F")</f>
        <v>F</v>
      </c>
      <c r="F183" s="118" t="str">
        <f ca="1">IFERROR(__xludf.DUMMYFUNCTION("""COMPUTED_VALUE"""),"J")</f>
        <v>J</v>
      </c>
      <c r="G183" s="118">
        <f ca="1">IFERROR(__xludf.DUMMYFUNCTION("""COMPUTED_VALUE"""),5)</f>
        <v>5</v>
      </c>
      <c r="H183" s="118" t="str">
        <f ca="1">IFERROR(__xludf.DUMMYFUNCTION("""COMPUTED_VALUE"""),"CH")</f>
        <v>CH</v>
      </c>
      <c r="I183" s="118">
        <f ca="1">IFERROR(__xludf.DUMMYFUNCTION("""COMPUTED_VALUE"""),5)</f>
        <v>5</v>
      </c>
      <c r="J183" s="118">
        <f ca="1">IFERROR(__xludf.DUMMYFUNCTION("""COMPUTED_VALUE"""),0)</f>
        <v>0</v>
      </c>
      <c r="K183" s="120"/>
      <c r="L183" s="121"/>
      <c r="M183" s="120"/>
      <c r="N183" s="121"/>
      <c r="O183" s="120"/>
      <c r="P183" s="122"/>
      <c r="Q183" s="123" t="str">
        <f ca="1">IFERROR(__xludf.DUMMYFUNCTION("""COMPUTED_VALUE"""),"Catherine Redington")</f>
        <v>Catherine Redington</v>
      </c>
      <c r="R183" s="123" t="str">
        <f ca="1">IFERROR(__xludf.DUMMYFUNCTION("""COMPUTED_VALUE"""),"Dylan Baldrate")</f>
        <v>Dylan Baldrate</v>
      </c>
      <c r="S183" s="123" t="str">
        <f ca="1">IFERROR(__xludf.DUMMYFUNCTION("""COMPUTED_VALUE"""),"Bridget Snyder")</f>
        <v>Bridget Snyder</v>
      </c>
      <c r="T183" s="123" t="str">
        <f ca="1">IFERROR(__xludf.DUMMYFUNCTION("""COMPUTED_VALUE"""),"Clayton MacGarvey")</f>
        <v>Clayton MacGarvey</v>
      </c>
    </row>
    <row r="184" spans="1:20" ht="13.8">
      <c r="A184" s="118" t="str">
        <f ca="1">IFERROR(__xludf.DUMMYFUNCTION("""COMPUTED_VALUE"""),"CH")</f>
        <v>CH</v>
      </c>
      <c r="B184" s="119" t="str">
        <f ca="1">IFERROR(__xludf.DUMMYFUNCTION("""COMPUTED_VALUE"""),"Henry Schmitt")</f>
        <v>Henry Schmitt</v>
      </c>
      <c r="C184" s="118">
        <f ca="1">IFERROR(__xludf.DUMMYFUNCTION("""COMPUTED_VALUE"""),6)</f>
        <v>6</v>
      </c>
      <c r="D184" s="118" t="str">
        <f ca="1">IFERROR(__xludf.DUMMYFUNCTION("""COMPUTED_VALUE"""),"B")</f>
        <v>B</v>
      </c>
      <c r="E184" s="118" t="str">
        <f ca="1">IFERROR(__xludf.DUMMYFUNCTION("""COMPUTED_VALUE"""),"F")</f>
        <v>F</v>
      </c>
      <c r="F184" s="118" t="str">
        <f ca="1">IFERROR(__xludf.DUMMYFUNCTION("""COMPUTED_VALUE"""),"J")</f>
        <v>J</v>
      </c>
      <c r="G184" s="118">
        <f ca="1">IFERROR(__xludf.DUMMYFUNCTION("""COMPUTED_VALUE"""),5)</f>
        <v>5</v>
      </c>
      <c r="H184" s="118" t="str">
        <f ca="1">IFERROR(__xludf.DUMMYFUNCTION("""COMPUTED_VALUE"""),"CH")</f>
        <v>CH</v>
      </c>
      <c r="I184" s="118">
        <f ca="1">IFERROR(__xludf.DUMMYFUNCTION("""COMPUTED_VALUE"""),5)</f>
        <v>5</v>
      </c>
      <c r="J184" s="118">
        <f ca="1">IFERROR(__xludf.DUMMYFUNCTION("""COMPUTED_VALUE"""),0)</f>
        <v>0</v>
      </c>
      <c r="K184" s="120"/>
      <c r="L184" s="121"/>
      <c r="M184" s="120"/>
      <c r="N184" s="121"/>
      <c r="O184" s="120"/>
      <c r="P184" s="122"/>
      <c r="Q184" s="123" t="str">
        <f ca="1">IFERROR(__xludf.DUMMYFUNCTION("""COMPUTED_VALUE"""),"Catheryn Good")</f>
        <v>Catheryn Good</v>
      </c>
      <c r="R184" s="123" t="str">
        <f ca="1">IFERROR(__xludf.DUMMYFUNCTION("""COMPUTED_VALUE"""),"Dylan Davenport")</f>
        <v>Dylan Davenport</v>
      </c>
      <c r="S184" s="123" t="str">
        <f ca="1">IFERROR(__xludf.DUMMYFUNCTION("""COMPUTED_VALUE"""),"Brielle Burnside")</f>
        <v>Brielle Burnside</v>
      </c>
      <c r="T184" s="123" t="str">
        <f ca="1">IFERROR(__xludf.DUMMYFUNCTION("""COMPUTED_VALUE"""),"Cody Schneider")</f>
        <v>Cody Schneider</v>
      </c>
    </row>
    <row r="185" spans="1:20" ht="13.8">
      <c r="A185" s="118" t="str">
        <f ca="1">IFERROR(__xludf.DUMMYFUNCTION("""COMPUTED_VALUE"""),"CH")</f>
        <v>CH</v>
      </c>
      <c r="B185" s="119" t="str">
        <f ca="1">IFERROR(__xludf.DUMMYFUNCTION("""COMPUTED_VALUE"""),"Jack Pacheco-Manetti")</f>
        <v>Jack Pacheco-Manetti</v>
      </c>
      <c r="C185" s="118">
        <f ca="1">IFERROR(__xludf.DUMMYFUNCTION("""COMPUTED_VALUE"""),9)</f>
        <v>9</v>
      </c>
      <c r="D185" s="118" t="str">
        <f ca="1">IFERROR(__xludf.DUMMYFUNCTION("""COMPUTED_VALUE"""),"B")</f>
        <v>B</v>
      </c>
      <c r="E185" s="118" t="str">
        <f ca="1">IFERROR(__xludf.DUMMYFUNCTION("""COMPUTED_VALUE"""),"F")</f>
        <v>F</v>
      </c>
      <c r="F185" s="118" t="str">
        <f ca="1">IFERROR(__xludf.DUMMYFUNCTION("""COMPUTED_VALUE"""),"J")</f>
        <v>J</v>
      </c>
      <c r="G185" s="118">
        <f ca="1">IFERROR(__xludf.DUMMYFUNCTION("""COMPUTED_VALUE"""),5)</f>
        <v>5</v>
      </c>
      <c r="H185" s="118" t="str">
        <f ca="1">IFERROR(__xludf.DUMMYFUNCTION("""COMPUTED_VALUE"""),"CH")</f>
        <v>CH</v>
      </c>
      <c r="I185" s="118">
        <f ca="1">IFERROR(__xludf.DUMMYFUNCTION("""COMPUTED_VALUE"""),5)</f>
        <v>5</v>
      </c>
      <c r="J185" s="118">
        <f ca="1">IFERROR(__xludf.DUMMYFUNCTION("""COMPUTED_VALUE"""),0)</f>
        <v>0</v>
      </c>
      <c r="K185" s="120"/>
      <c r="L185" s="121"/>
      <c r="M185" s="120"/>
      <c r="N185" s="121"/>
      <c r="O185" s="120"/>
      <c r="P185" s="122"/>
      <c r="Q185" s="123" t="str">
        <f ca="1">IFERROR(__xludf.DUMMYFUNCTION("""COMPUTED_VALUE"""),"Cayla Lee")</f>
        <v>Cayla Lee</v>
      </c>
      <c r="R185" s="123" t="str">
        <f ca="1">IFERROR(__xludf.DUMMYFUNCTION("""COMPUTED_VALUE"""),"Dylan Lake")</f>
        <v>Dylan Lake</v>
      </c>
      <c r="S185" s="123" t="str">
        <f ca="1">IFERROR(__xludf.DUMMYFUNCTION("""COMPUTED_VALUE"""),"Brielle Linenberg")</f>
        <v>Brielle Linenberg</v>
      </c>
      <c r="T185" s="123" t="str">
        <f ca="1">IFERROR(__xludf.DUMMYFUNCTION("""COMPUTED_VALUE"""),"Colby Kogut")</f>
        <v>Colby Kogut</v>
      </c>
    </row>
    <row r="186" spans="1:20" ht="13.8">
      <c r="A186" s="118" t="str">
        <f ca="1">IFERROR(__xludf.DUMMYFUNCTION("""COMPUTED_VALUE"""),"CH")</f>
        <v>CH</v>
      </c>
      <c r="B186" s="119" t="str">
        <f ca="1">IFERROR(__xludf.DUMMYFUNCTION("""COMPUTED_VALUE"""),"Michael Tabrizi")</f>
        <v>Michael Tabrizi</v>
      </c>
      <c r="C186" s="118">
        <f ca="1">IFERROR(__xludf.DUMMYFUNCTION("""COMPUTED_VALUE"""),6)</f>
        <v>6</v>
      </c>
      <c r="D186" s="118" t="str">
        <f ca="1">IFERROR(__xludf.DUMMYFUNCTION("""COMPUTED_VALUE"""),"B")</f>
        <v>B</v>
      </c>
      <c r="E186" s="118" t="str">
        <f ca="1">IFERROR(__xludf.DUMMYFUNCTION("""COMPUTED_VALUE"""),"F")</f>
        <v>F</v>
      </c>
      <c r="F186" s="118" t="str">
        <f ca="1">IFERROR(__xludf.DUMMYFUNCTION("""COMPUTED_VALUE"""),"J")</f>
        <v>J</v>
      </c>
      <c r="G186" s="118">
        <f ca="1">IFERROR(__xludf.DUMMYFUNCTION("""COMPUTED_VALUE"""),5)</f>
        <v>5</v>
      </c>
      <c r="H186" s="118" t="str">
        <f ca="1">IFERROR(__xludf.DUMMYFUNCTION("""COMPUTED_VALUE"""),"CH")</f>
        <v>CH</v>
      </c>
      <c r="I186" s="118">
        <f ca="1">IFERROR(__xludf.DUMMYFUNCTION("""COMPUTED_VALUE"""),5)</f>
        <v>5</v>
      </c>
      <c r="J186" s="118">
        <f ca="1">IFERROR(__xludf.DUMMYFUNCTION("""COMPUTED_VALUE"""),0)</f>
        <v>0</v>
      </c>
      <c r="K186" s="120"/>
      <c r="L186" s="121"/>
      <c r="M186" s="120"/>
      <c r="N186" s="121"/>
      <c r="O186" s="120"/>
      <c r="P186" s="122"/>
      <c r="Q186" s="123" t="str">
        <f ca="1">IFERROR(__xludf.DUMMYFUNCTION("""COMPUTED_VALUE"""),"CC Lorah")</f>
        <v>CC Lorah</v>
      </c>
      <c r="R186" s="123" t="str">
        <f ca="1">IFERROR(__xludf.DUMMYFUNCTION("""COMPUTED_VALUE"""),"Dylan Radich")</f>
        <v>Dylan Radich</v>
      </c>
      <c r="S186" s="123" t="str">
        <f ca="1">IFERROR(__xludf.DUMMYFUNCTION("""COMPUTED_VALUE"""),"Brigid Cahill")</f>
        <v>Brigid Cahill</v>
      </c>
      <c r="T186" s="123" t="str">
        <f ca="1">IFERROR(__xludf.DUMMYFUNCTION("""COMPUTED_VALUE"""),"Colby Reese")</f>
        <v>Colby Reese</v>
      </c>
    </row>
    <row r="187" spans="1:20" ht="13.8">
      <c r="A187" s="118" t="str">
        <f ca="1">IFERROR(__xludf.DUMMYFUNCTION("""COMPUTED_VALUE"""),"CH")</f>
        <v>CH</v>
      </c>
      <c r="B187" s="119" t="str">
        <f ca="1">IFERROR(__xludf.DUMMYFUNCTION("""COMPUTED_VALUE"""),"Nicolas Turcot")</f>
        <v>Nicolas Turcot</v>
      </c>
      <c r="C187" s="118">
        <f ca="1">IFERROR(__xludf.DUMMYFUNCTION("""COMPUTED_VALUE"""),6)</f>
        <v>6</v>
      </c>
      <c r="D187" s="118" t="str">
        <f ca="1">IFERROR(__xludf.DUMMYFUNCTION("""COMPUTED_VALUE"""),"B")</f>
        <v>B</v>
      </c>
      <c r="E187" s="118" t="str">
        <f ca="1">IFERROR(__xludf.DUMMYFUNCTION("""COMPUTED_VALUE"""),"F")</f>
        <v>F</v>
      </c>
      <c r="F187" s="118" t="str">
        <f ca="1">IFERROR(__xludf.DUMMYFUNCTION("""COMPUTED_VALUE"""),"J")</f>
        <v>J</v>
      </c>
      <c r="G187" s="118">
        <f ca="1">IFERROR(__xludf.DUMMYFUNCTION("""COMPUTED_VALUE"""),5)</f>
        <v>5</v>
      </c>
      <c r="H187" s="118" t="str">
        <f ca="1">IFERROR(__xludf.DUMMYFUNCTION("""COMPUTED_VALUE"""),"CH")</f>
        <v>CH</v>
      </c>
      <c r="I187" s="118">
        <f ca="1">IFERROR(__xludf.DUMMYFUNCTION("""COMPUTED_VALUE"""),5)</f>
        <v>5</v>
      </c>
      <c r="J187" s="118">
        <f ca="1">IFERROR(__xludf.DUMMYFUNCTION("""COMPUTED_VALUE"""),0)</f>
        <v>0</v>
      </c>
      <c r="K187" s="120"/>
      <c r="L187" s="121"/>
      <c r="M187" s="120"/>
      <c r="N187" s="121"/>
      <c r="O187" s="120"/>
      <c r="P187" s="122"/>
      <c r="Q187" s="123" t="str">
        <f ca="1">IFERROR(__xludf.DUMMYFUNCTION("""COMPUTED_VALUE"""),"CeCe St. Jacques")</f>
        <v>CeCe St. Jacques</v>
      </c>
      <c r="R187" s="123" t="str">
        <f ca="1">IFERROR(__xludf.DUMMYFUNCTION("""COMPUTED_VALUE"""),"Eammon Bownas")</f>
        <v>Eammon Bownas</v>
      </c>
      <c r="S187" s="123" t="str">
        <f ca="1">IFERROR(__xludf.DUMMYFUNCTION("""COMPUTED_VALUE"""),"Britton Colosi")</f>
        <v>Britton Colosi</v>
      </c>
      <c r="T187" s="123" t="str">
        <f ca="1">IFERROR(__xludf.DUMMYFUNCTION("""COMPUTED_VALUE"""),"Colby Steffen")</f>
        <v>Colby Steffen</v>
      </c>
    </row>
    <row r="188" spans="1:20" ht="13.8">
      <c r="A188" s="118" t="str">
        <f ca="1">IFERROR(__xludf.DUMMYFUNCTION("""COMPUTED_VALUE"""),"CH")</f>
        <v>CH</v>
      </c>
      <c r="B188" s="119" t="str">
        <f ca="1">IFERROR(__xludf.DUMMYFUNCTION("""COMPUTED_VALUE"""),"Owen Constantine")</f>
        <v>Owen Constantine</v>
      </c>
      <c r="C188" s="118">
        <f ca="1">IFERROR(__xludf.DUMMYFUNCTION("""COMPUTED_VALUE"""),7)</f>
        <v>7</v>
      </c>
      <c r="D188" s="118" t="str">
        <f ca="1">IFERROR(__xludf.DUMMYFUNCTION("""COMPUTED_VALUE"""),"B")</f>
        <v>B</v>
      </c>
      <c r="E188" s="118" t="str">
        <f ca="1">IFERROR(__xludf.DUMMYFUNCTION("""COMPUTED_VALUE"""),"F")</f>
        <v>F</v>
      </c>
      <c r="F188" s="118" t="str">
        <f ca="1">IFERROR(__xludf.DUMMYFUNCTION("""COMPUTED_VALUE"""),"J")</f>
        <v>J</v>
      </c>
      <c r="G188" s="118">
        <f ca="1">IFERROR(__xludf.DUMMYFUNCTION("""COMPUTED_VALUE"""),5)</f>
        <v>5</v>
      </c>
      <c r="H188" s="118" t="str">
        <f ca="1">IFERROR(__xludf.DUMMYFUNCTION("""COMPUTED_VALUE"""),"CH")</f>
        <v>CH</v>
      </c>
      <c r="I188" s="118">
        <f ca="1">IFERROR(__xludf.DUMMYFUNCTION("""COMPUTED_VALUE"""),5)</f>
        <v>5</v>
      </c>
      <c r="J188" s="118">
        <f ca="1">IFERROR(__xludf.DUMMYFUNCTION("""COMPUTED_VALUE"""),0)</f>
        <v>0</v>
      </c>
      <c r="K188" s="120"/>
      <c r="L188" s="121"/>
      <c r="M188" s="120"/>
      <c r="N188" s="121"/>
      <c r="O188" s="120"/>
      <c r="P188" s="122"/>
      <c r="Q188" s="123" t="str">
        <f ca="1">IFERROR(__xludf.DUMMYFUNCTION("""COMPUTED_VALUE"""),"Cecilia Sanders")</f>
        <v>Cecilia Sanders</v>
      </c>
      <c r="R188" s="123" t="str">
        <f ca="1">IFERROR(__xludf.DUMMYFUNCTION("""COMPUTED_VALUE"""),"Easton Miller")</f>
        <v>Easton Miller</v>
      </c>
      <c r="S188" s="123" t="str">
        <f ca="1">IFERROR(__xludf.DUMMYFUNCTION("""COMPUTED_VALUE"""),"Brogen Cagianesa")</f>
        <v>Brogen Cagianesa</v>
      </c>
      <c r="T188" s="123" t="str">
        <f ca="1">IFERROR(__xludf.DUMMYFUNCTION("""COMPUTED_VALUE"""),"Cole Fegan")</f>
        <v>Cole Fegan</v>
      </c>
    </row>
    <row r="189" spans="1:20" ht="13.8">
      <c r="A189" s="118" t="str">
        <f ca="1">IFERROR(__xludf.DUMMYFUNCTION("""COMPUTED_VALUE"""),"CH")</f>
        <v>CH</v>
      </c>
      <c r="B189" s="119" t="str">
        <f ca="1">IFERROR(__xludf.DUMMYFUNCTION("""COMPUTED_VALUE"""),"Parker Jaskot")</f>
        <v>Parker Jaskot</v>
      </c>
      <c r="C189" s="118">
        <f ca="1">IFERROR(__xludf.DUMMYFUNCTION("""COMPUTED_VALUE"""),9)</f>
        <v>9</v>
      </c>
      <c r="D189" s="118" t="str">
        <f ca="1">IFERROR(__xludf.DUMMYFUNCTION("""COMPUTED_VALUE"""),"B")</f>
        <v>B</v>
      </c>
      <c r="E189" s="118" t="str">
        <f ca="1">IFERROR(__xludf.DUMMYFUNCTION("""COMPUTED_VALUE"""),"F")</f>
        <v>F</v>
      </c>
      <c r="F189" s="118" t="str">
        <f ca="1">IFERROR(__xludf.DUMMYFUNCTION("""COMPUTED_VALUE"""),"J")</f>
        <v>J</v>
      </c>
      <c r="G189" s="118">
        <f ca="1">IFERROR(__xludf.DUMMYFUNCTION("""COMPUTED_VALUE"""),5)</f>
        <v>5</v>
      </c>
      <c r="H189" s="118" t="str">
        <f ca="1">IFERROR(__xludf.DUMMYFUNCTION("""COMPUTED_VALUE"""),"CH")</f>
        <v>CH</v>
      </c>
      <c r="I189" s="118">
        <f ca="1">IFERROR(__xludf.DUMMYFUNCTION("""COMPUTED_VALUE"""),5)</f>
        <v>5</v>
      </c>
      <c r="J189" s="118">
        <f ca="1">IFERROR(__xludf.DUMMYFUNCTION("""COMPUTED_VALUE"""),0)</f>
        <v>0</v>
      </c>
      <c r="K189" s="120"/>
      <c r="L189" s="121"/>
      <c r="M189" s="120"/>
      <c r="N189" s="121"/>
      <c r="O189" s="120"/>
      <c r="P189" s="122"/>
      <c r="Q189" s="123" t="str">
        <f ca="1">IFERROR(__xludf.DUMMYFUNCTION("""COMPUTED_VALUE"""),"Ceclia White")</f>
        <v>Ceclia White</v>
      </c>
      <c r="R189" s="123" t="str">
        <f ca="1">IFERROR(__xludf.DUMMYFUNCTION("""COMPUTED_VALUE"""),"Ebenezer Louie")</f>
        <v>Ebenezer Louie</v>
      </c>
      <c r="S189" s="123" t="str">
        <f ca="1">IFERROR(__xludf.DUMMYFUNCTION("""COMPUTED_VALUE"""),"Brooke Nichols")</f>
        <v>Brooke Nichols</v>
      </c>
      <c r="T189" s="123" t="str">
        <f ca="1">IFERROR(__xludf.DUMMYFUNCTION("""COMPUTED_VALUE"""),"Colin Wilson")</f>
        <v>Colin Wilson</v>
      </c>
    </row>
    <row r="190" spans="1:20" ht="13.8">
      <c r="A190" s="118" t="str">
        <f ca="1">IFERROR(__xludf.DUMMYFUNCTION("""COMPUTED_VALUE"""),"CH")</f>
        <v>CH</v>
      </c>
      <c r="B190" s="119" t="str">
        <f ca="1">IFERROR(__xludf.DUMMYFUNCTION("""COMPUTED_VALUE"""),"Ryan Howsare")</f>
        <v>Ryan Howsare</v>
      </c>
      <c r="C190" s="118">
        <f ca="1">IFERROR(__xludf.DUMMYFUNCTION("""COMPUTED_VALUE"""),7)</f>
        <v>7</v>
      </c>
      <c r="D190" s="118" t="str">
        <f ca="1">IFERROR(__xludf.DUMMYFUNCTION("""COMPUTED_VALUE"""),"B")</f>
        <v>B</v>
      </c>
      <c r="E190" s="118" t="str">
        <f ca="1">IFERROR(__xludf.DUMMYFUNCTION("""COMPUTED_VALUE"""),"F")</f>
        <v>F</v>
      </c>
      <c r="F190" s="118" t="str">
        <f ca="1">IFERROR(__xludf.DUMMYFUNCTION("""COMPUTED_VALUE"""),"J")</f>
        <v>J</v>
      </c>
      <c r="G190" s="118">
        <f ca="1">IFERROR(__xludf.DUMMYFUNCTION("""COMPUTED_VALUE"""),5)</f>
        <v>5</v>
      </c>
      <c r="H190" s="118" t="str">
        <f ca="1">IFERROR(__xludf.DUMMYFUNCTION("""COMPUTED_VALUE"""),"CH")</f>
        <v>CH</v>
      </c>
      <c r="I190" s="118">
        <f ca="1">IFERROR(__xludf.DUMMYFUNCTION("""COMPUTED_VALUE"""),5)</f>
        <v>5</v>
      </c>
      <c r="J190" s="118">
        <f ca="1">IFERROR(__xludf.DUMMYFUNCTION("""COMPUTED_VALUE"""),4)</f>
        <v>4</v>
      </c>
      <c r="K190" s="120">
        <f ca="1">IFERROR(__xludf.DUMMYFUNCTION("""COMPUTED_VALUE"""),41.45)</f>
        <v>41.45</v>
      </c>
      <c r="L190" s="121"/>
      <c r="M190" s="120"/>
      <c r="N190" s="121"/>
      <c r="O190" s="120">
        <f ca="1">IFERROR(__xludf.DUMMYFUNCTION("""COMPUTED_VALUE"""),39.2)</f>
        <v>39.200000000000003</v>
      </c>
      <c r="P190" s="122"/>
      <c r="Q190" s="123" t="str">
        <f ca="1">IFERROR(__xludf.DUMMYFUNCTION("""COMPUTED_VALUE"""),"Charleigh Cravens")</f>
        <v>Charleigh Cravens</v>
      </c>
      <c r="R190" s="123" t="str">
        <f ca="1">IFERROR(__xludf.DUMMYFUNCTION("""COMPUTED_VALUE"""),"Edgar Benson")</f>
        <v>Edgar Benson</v>
      </c>
      <c r="S190" s="123" t="str">
        <f ca="1">IFERROR(__xludf.DUMMYFUNCTION("""COMPUTED_VALUE"""),"Brooklyn Brabender")</f>
        <v>Brooklyn Brabender</v>
      </c>
      <c r="T190" s="123" t="str">
        <f ca="1">IFERROR(__xludf.DUMMYFUNCTION("""COMPUTED_VALUE"""),"Colson Gardiner")</f>
        <v>Colson Gardiner</v>
      </c>
    </row>
    <row r="191" spans="1:20" ht="13.8">
      <c r="A191" s="118" t="str">
        <f ca="1">IFERROR(__xludf.DUMMYFUNCTION("""COMPUTED_VALUE"""),"CH")</f>
        <v>CH</v>
      </c>
      <c r="B191" s="119" t="str">
        <f ca="1">IFERROR(__xludf.DUMMYFUNCTION("""COMPUTED_VALUE"""),"Tyler Salmons")</f>
        <v>Tyler Salmons</v>
      </c>
      <c r="C191" s="118">
        <f ca="1">IFERROR(__xludf.DUMMYFUNCTION("""COMPUTED_VALUE"""),9)</f>
        <v>9</v>
      </c>
      <c r="D191" s="118" t="str">
        <f ca="1">IFERROR(__xludf.DUMMYFUNCTION("""COMPUTED_VALUE"""),"B")</f>
        <v>B</v>
      </c>
      <c r="E191" s="118" t="str">
        <f ca="1">IFERROR(__xludf.DUMMYFUNCTION("""COMPUTED_VALUE"""),"F")</f>
        <v>F</v>
      </c>
      <c r="F191" s="118" t="str">
        <f ca="1">IFERROR(__xludf.DUMMYFUNCTION("""COMPUTED_VALUE"""),"J")</f>
        <v>J</v>
      </c>
      <c r="G191" s="118">
        <f ca="1">IFERROR(__xludf.DUMMYFUNCTION("""COMPUTED_VALUE"""),5)</f>
        <v>5</v>
      </c>
      <c r="H191" s="118" t="str">
        <f ca="1">IFERROR(__xludf.DUMMYFUNCTION("""COMPUTED_VALUE"""),"CH")</f>
        <v>CH</v>
      </c>
      <c r="I191" s="118">
        <f ca="1">IFERROR(__xludf.DUMMYFUNCTION("""COMPUTED_VALUE"""),5)</f>
        <v>5</v>
      </c>
      <c r="J191" s="118">
        <f ca="1">IFERROR(__xludf.DUMMYFUNCTION("""COMPUTED_VALUE"""),0)</f>
        <v>0</v>
      </c>
      <c r="K191" s="120"/>
      <c r="L191" s="121"/>
      <c r="M191" s="120"/>
      <c r="N191" s="121"/>
      <c r="O191" s="120"/>
      <c r="P191" s="122"/>
      <c r="Q191" s="123" t="str">
        <f ca="1">IFERROR(__xludf.DUMMYFUNCTION("""COMPUTED_VALUE"""),"Charleigh Healey")</f>
        <v>Charleigh Healey</v>
      </c>
      <c r="R191" s="123" t="str">
        <f ca="1">IFERROR(__xludf.DUMMYFUNCTION("""COMPUTED_VALUE"""),"Edison Tan")</f>
        <v>Edison Tan</v>
      </c>
      <c r="S191" s="123" t="str">
        <f ca="1">IFERROR(__xludf.DUMMYFUNCTION("""COMPUTED_VALUE"""),"Bryn Cameron")</f>
        <v>Bryn Cameron</v>
      </c>
      <c r="T191" s="123" t="str">
        <f ca="1">IFERROR(__xludf.DUMMYFUNCTION("""COMPUTED_VALUE"""),"Connor Barlotta")</f>
        <v>Connor Barlotta</v>
      </c>
    </row>
    <row r="192" spans="1:20" ht="13.8">
      <c r="A192" s="118" t="str">
        <f ca="1">IFERROR(__xludf.DUMMYFUNCTION("""COMPUTED_VALUE"""),"CH")</f>
        <v>CH</v>
      </c>
      <c r="B192" s="119" t="str">
        <f ca="1">IFERROR(__xludf.DUMMYFUNCTION("""COMPUTED_VALUE"""),"Will Lee")</f>
        <v>Will Lee</v>
      </c>
      <c r="C192" s="118">
        <f ca="1">IFERROR(__xludf.DUMMYFUNCTION("""COMPUTED_VALUE"""),10)</f>
        <v>10</v>
      </c>
      <c r="D192" s="118" t="str">
        <f ca="1">IFERROR(__xludf.DUMMYFUNCTION("""COMPUTED_VALUE"""),"B")</f>
        <v>B</v>
      </c>
      <c r="E192" s="118" t="str">
        <f ca="1">IFERROR(__xludf.DUMMYFUNCTION("""COMPUTED_VALUE"""),"F")</f>
        <v>F</v>
      </c>
      <c r="F192" s="118" t="str">
        <f ca="1">IFERROR(__xludf.DUMMYFUNCTION("""COMPUTED_VALUE"""),"J")</f>
        <v>J</v>
      </c>
      <c r="G192" s="118">
        <f ca="1">IFERROR(__xludf.DUMMYFUNCTION("""COMPUTED_VALUE"""),5)</f>
        <v>5</v>
      </c>
      <c r="H192" s="118" t="str">
        <f ca="1">IFERROR(__xludf.DUMMYFUNCTION("""COMPUTED_VALUE"""),"CH")</f>
        <v>CH</v>
      </c>
      <c r="I192" s="118">
        <f ca="1">IFERROR(__xludf.DUMMYFUNCTION("""COMPUTED_VALUE"""),5)</f>
        <v>5</v>
      </c>
      <c r="J192" s="118">
        <f ca="1">IFERROR(__xludf.DUMMYFUNCTION("""COMPUTED_VALUE"""),0)</f>
        <v>0</v>
      </c>
      <c r="K192" s="120"/>
      <c r="L192" s="121"/>
      <c r="M192" s="120"/>
      <c r="N192" s="121"/>
      <c r="O192" s="120"/>
      <c r="P192" s="122"/>
      <c r="Q192" s="123" t="str">
        <f ca="1">IFERROR(__xludf.DUMMYFUNCTION("""COMPUTED_VALUE"""),"Charlie Cornet")</f>
        <v>Charlie Cornet</v>
      </c>
      <c r="R192" s="123" t="str">
        <f ca="1">IFERROR(__xludf.DUMMYFUNCTION("""COMPUTED_VALUE"""),"Edward Wang")</f>
        <v>Edward Wang</v>
      </c>
      <c r="S192" s="123" t="str">
        <f ca="1">IFERROR(__xludf.DUMMYFUNCTION("""COMPUTED_VALUE"""),"Brynn Strano")</f>
        <v>Brynn Strano</v>
      </c>
      <c r="T192" s="123" t="str">
        <f ca="1">IFERROR(__xludf.DUMMYFUNCTION("""COMPUTED_VALUE"""),"Connor Barron")</f>
        <v>Connor Barron</v>
      </c>
    </row>
    <row r="193" spans="1:20" ht="13.8">
      <c r="A193" s="118" t="str">
        <f ca="1">IFERROR(__xludf.DUMMYFUNCTION("""COMPUTED_VALUE"""),"CH")</f>
        <v>CH</v>
      </c>
      <c r="B193" s="119" t="str">
        <f ca="1">IFERROR(__xludf.DUMMYFUNCTION("""COMPUTED_VALUE"""),"Alice Uhl")</f>
        <v>Alice Uhl</v>
      </c>
      <c r="C193" s="118">
        <f ca="1">IFERROR(__xludf.DUMMYFUNCTION("""COMPUTED_VALUE"""),12)</f>
        <v>12</v>
      </c>
      <c r="D193" s="118" t="str">
        <f ca="1">IFERROR(__xludf.DUMMYFUNCTION("""COMPUTED_VALUE"""),"G")</f>
        <v>G</v>
      </c>
      <c r="E193" s="118" t="str">
        <f ca="1">IFERROR(__xludf.DUMMYFUNCTION("""COMPUTED_VALUE"""),"J")</f>
        <v>J</v>
      </c>
      <c r="F193" s="118" t="str">
        <f ca="1">IFERROR(__xludf.DUMMYFUNCTION("""COMPUTED_VALUE"""),"I")</f>
        <v>I</v>
      </c>
      <c r="G193" s="118">
        <f ca="1">IFERROR(__xludf.DUMMYFUNCTION("""COMPUTED_VALUE"""),5)</f>
        <v>5</v>
      </c>
      <c r="H193" s="118" t="str">
        <f ca="1">IFERROR(__xludf.DUMMYFUNCTION("""COMPUTED_VALUE"""),"CH")</f>
        <v>CH</v>
      </c>
      <c r="I193" s="118">
        <f ca="1">IFERROR(__xludf.DUMMYFUNCTION("""COMPUTED_VALUE"""),6)</f>
        <v>6</v>
      </c>
      <c r="J193" s="118">
        <f ca="1">IFERROR(__xludf.DUMMYFUNCTION("""COMPUTED_VALUE"""),1)</f>
        <v>1</v>
      </c>
      <c r="K193" s="120"/>
      <c r="L193" s="121"/>
      <c r="M193" s="120"/>
      <c r="N193" s="121"/>
      <c r="O193" s="120"/>
      <c r="P193" s="122"/>
      <c r="Q193" s="123" t="str">
        <f ca="1">IFERROR(__xludf.DUMMYFUNCTION("""COMPUTED_VALUE"""),"Charlotte Case")</f>
        <v>Charlotte Case</v>
      </c>
      <c r="R193" s="123" t="str">
        <f ca="1">IFERROR(__xludf.DUMMYFUNCTION("""COMPUTED_VALUE"""),"Eli Anwar")</f>
        <v>Eli Anwar</v>
      </c>
      <c r="S193" s="123" t="str">
        <f ca="1">IFERROR(__xludf.DUMMYFUNCTION("""COMPUTED_VALUE"""),"Brynn White")</f>
        <v>Brynn White</v>
      </c>
      <c r="T193" s="123" t="str">
        <f ca="1">IFERROR(__xludf.DUMMYFUNCTION("""COMPUTED_VALUE"""),"Connor Bergen")</f>
        <v>Connor Bergen</v>
      </c>
    </row>
    <row r="194" spans="1:20" ht="13.8">
      <c r="A194" s="118" t="str">
        <f ca="1">IFERROR(__xludf.DUMMYFUNCTION("""COMPUTED_VALUE"""),"CH")</f>
        <v>CH</v>
      </c>
      <c r="B194" s="119" t="str">
        <f ca="1">IFERROR(__xludf.DUMMYFUNCTION("""COMPUTED_VALUE"""),"Brooklyn Brabender")</f>
        <v>Brooklyn Brabender</v>
      </c>
      <c r="C194" s="118">
        <f ca="1">IFERROR(__xludf.DUMMYFUNCTION("""COMPUTED_VALUE"""),12)</f>
        <v>12</v>
      </c>
      <c r="D194" s="118" t="str">
        <f ca="1">IFERROR(__xludf.DUMMYFUNCTION("""COMPUTED_VALUE"""),"G")</f>
        <v>G</v>
      </c>
      <c r="E194" s="118" t="str">
        <f ca="1">IFERROR(__xludf.DUMMYFUNCTION("""COMPUTED_VALUE"""),"J")</f>
        <v>J</v>
      </c>
      <c r="F194" s="118" t="str">
        <f ca="1">IFERROR(__xludf.DUMMYFUNCTION("""COMPUTED_VALUE"""),"I")</f>
        <v>I</v>
      </c>
      <c r="G194" s="118">
        <f ca="1">IFERROR(__xludf.DUMMYFUNCTION("""COMPUTED_VALUE"""),5)</f>
        <v>5</v>
      </c>
      <c r="H194" s="118" t="str">
        <f ca="1">IFERROR(__xludf.DUMMYFUNCTION("""COMPUTED_VALUE"""),"CH")</f>
        <v>CH</v>
      </c>
      <c r="I194" s="118">
        <f ca="1">IFERROR(__xludf.DUMMYFUNCTION("""COMPUTED_VALUE"""),6)</f>
        <v>6</v>
      </c>
      <c r="J194" s="118">
        <f ca="1">IFERROR(__xludf.DUMMYFUNCTION("""COMPUTED_VALUE"""),5)</f>
        <v>5</v>
      </c>
      <c r="K194" s="120">
        <f ca="1">IFERROR(__xludf.DUMMYFUNCTION("""COMPUTED_VALUE"""),78)</f>
        <v>78</v>
      </c>
      <c r="L194" s="121"/>
      <c r="M194" s="120">
        <f ca="1">IFERROR(__xludf.DUMMYFUNCTION("""COMPUTED_VALUE"""),78)</f>
        <v>78</v>
      </c>
      <c r="N194" s="121"/>
      <c r="O194" s="120">
        <f ca="1">IFERROR(__xludf.DUMMYFUNCTION("""COMPUTED_VALUE"""),74.55)</f>
        <v>74.55</v>
      </c>
      <c r="P194" s="122"/>
      <c r="Q194" s="123" t="str">
        <f ca="1">IFERROR(__xludf.DUMMYFUNCTION("""COMPUTED_VALUE"""),"Charlotte Fayhee")</f>
        <v>Charlotte Fayhee</v>
      </c>
      <c r="R194" s="123" t="str">
        <f ca="1">IFERROR(__xludf.DUMMYFUNCTION("""COMPUTED_VALUE"""),"Eli Bockman")</f>
        <v>Eli Bockman</v>
      </c>
      <c r="S194" s="123" t="str">
        <f ca="1">IFERROR(__xludf.DUMMYFUNCTION("""COMPUTED_VALUE"""),"Caelyn Kramer")</f>
        <v>Caelyn Kramer</v>
      </c>
      <c r="T194" s="123" t="str">
        <f ca="1">IFERROR(__xludf.DUMMYFUNCTION("""COMPUTED_VALUE"""),"Connor Brannan")</f>
        <v>Connor Brannan</v>
      </c>
    </row>
    <row r="195" spans="1:20" ht="13.8">
      <c r="A195" s="118" t="str">
        <f ca="1">IFERROR(__xludf.DUMMYFUNCTION("""COMPUTED_VALUE"""),"CH")</f>
        <v>CH</v>
      </c>
      <c r="B195" s="119" t="str">
        <f ca="1">IFERROR(__xludf.DUMMYFUNCTION("""COMPUTED_VALUE"""),"Chloe Lee")</f>
        <v>Chloe Lee</v>
      </c>
      <c r="C195" s="118">
        <f ca="1">IFERROR(__xludf.DUMMYFUNCTION("""COMPUTED_VALUE"""),11)</f>
        <v>11</v>
      </c>
      <c r="D195" s="118" t="str">
        <f ca="1">IFERROR(__xludf.DUMMYFUNCTION("""COMPUTED_VALUE"""),"G")</f>
        <v>G</v>
      </c>
      <c r="E195" s="118" t="str">
        <f ca="1">IFERROR(__xludf.DUMMYFUNCTION("""COMPUTED_VALUE"""),"J")</f>
        <v>J</v>
      </c>
      <c r="F195" s="118" t="str">
        <f ca="1">IFERROR(__xludf.DUMMYFUNCTION("""COMPUTED_VALUE"""),"I")</f>
        <v>I</v>
      </c>
      <c r="G195" s="118">
        <f ca="1">IFERROR(__xludf.DUMMYFUNCTION("""COMPUTED_VALUE"""),5)</f>
        <v>5</v>
      </c>
      <c r="H195" s="118" t="str">
        <f ca="1">IFERROR(__xludf.DUMMYFUNCTION("""COMPUTED_VALUE"""),"CH")</f>
        <v>CH</v>
      </c>
      <c r="I195" s="118">
        <f ca="1">IFERROR(__xludf.DUMMYFUNCTION("""COMPUTED_VALUE"""),6)</f>
        <v>6</v>
      </c>
      <c r="J195" s="118">
        <f ca="1">IFERROR(__xludf.DUMMYFUNCTION("""COMPUTED_VALUE"""),2)</f>
        <v>2</v>
      </c>
      <c r="K195" s="120">
        <f ca="1">IFERROR(__xludf.DUMMYFUNCTION("""COMPUTED_VALUE"""),66.05)</f>
        <v>66.05</v>
      </c>
      <c r="L195" s="121"/>
      <c r="M195" s="120"/>
      <c r="N195" s="121"/>
      <c r="O195" s="120">
        <f ca="1">IFERROR(__xludf.DUMMYFUNCTION("""COMPUTED_VALUE"""),66.05)</f>
        <v>66.05</v>
      </c>
      <c r="P195" s="122"/>
      <c r="Q195" s="123" t="str">
        <f ca="1">IFERROR(__xludf.DUMMYFUNCTION("""COMPUTED_VALUE"""),"Charlotte Gilstrap")</f>
        <v>Charlotte Gilstrap</v>
      </c>
      <c r="R195" s="123" t="str">
        <f ca="1">IFERROR(__xludf.DUMMYFUNCTION("""COMPUTED_VALUE"""),"Eli DeLong")</f>
        <v>Eli DeLong</v>
      </c>
      <c r="S195" s="123" t="str">
        <f ca="1">IFERROR(__xludf.DUMMYFUNCTION("""COMPUTED_VALUE"""),"Cailee Kaiser")</f>
        <v>Cailee Kaiser</v>
      </c>
      <c r="T195" s="123" t="str">
        <f ca="1">IFERROR(__xludf.DUMMYFUNCTION("""COMPUTED_VALUE"""),"Connor Friedman")</f>
        <v>Connor Friedman</v>
      </c>
    </row>
    <row r="196" spans="1:20" ht="13.8">
      <c r="A196" s="118" t="str">
        <f ca="1">IFERROR(__xludf.DUMMYFUNCTION("""COMPUTED_VALUE"""),"CH")</f>
        <v>CH</v>
      </c>
      <c r="B196" s="119" t="str">
        <f ca="1">IFERROR(__xludf.DUMMYFUNCTION("""COMPUTED_VALUE"""),"Chloe Salmons")</f>
        <v>Chloe Salmons</v>
      </c>
      <c r="C196" s="118">
        <f ca="1">IFERROR(__xludf.DUMMYFUNCTION("""COMPUTED_VALUE"""),12)</f>
        <v>12</v>
      </c>
      <c r="D196" s="118" t="str">
        <f ca="1">IFERROR(__xludf.DUMMYFUNCTION("""COMPUTED_VALUE"""),"G")</f>
        <v>G</v>
      </c>
      <c r="E196" s="118" t="str">
        <f ca="1">IFERROR(__xludf.DUMMYFUNCTION("""COMPUTED_VALUE"""),"J")</f>
        <v>J</v>
      </c>
      <c r="F196" s="118" t="str">
        <f ca="1">IFERROR(__xludf.DUMMYFUNCTION("""COMPUTED_VALUE"""),"I")</f>
        <v>I</v>
      </c>
      <c r="G196" s="118">
        <f ca="1">IFERROR(__xludf.DUMMYFUNCTION("""COMPUTED_VALUE"""),5)</f>
        <v>5</v>
      </c>
      <c r="H196" s="118" t="str">
        <f ca="1">IFERROR(__xludf.DUMMYFUNCTION("""COMPUTED_VALUE"""),"CH")</f>
        <v>CH</v>
      </c>
      <c r="I196" s="118">
        <f ca="1">IFERROR(__xludf.DUMMYFUNCTION("""COMPUTED_VALUE"""),6)</f>
        <v>6</v>
      </c>
      <c r="J196" s="118">
        <f ca="1">IFERROR(__xludf.DUMMYFUNCTION("""COMPUTED_VALUE"""),0)</f>
        <v>0</v>
      </c>
      <c r="K196" s="120"/>
      <c r="L196" s="121"/>
      <c r="M196" s="120"/>
      <c r="N196" s="121"/>
      <c r="O196" s="120"/>
      <c r="P196" s="122"/>
      <c r="Q196" s="123" t="str">
        <f ca="1">IFERROR(__xludf.DUMMYFUNCTION("""COMPUTED_VALUE"""),"Charlotte Hill")</f>
        <v>Charlotte Hill</v>
      </c>
      <c r="R196" s="123" t="str">
        <f ca="1">IFERROR(__xludf.DUMMYFUNCTION("""COMPUTED_VALUE"""),"Eli Meek")</f>
        <v>Eli Meek</v>
      </c>
      <c r="S196" s="123" t="str">
        <f ca="1">IFERROR(__xludf.DUMMYFUNCTION("""COMPUTED_VALUE"""),"Caitlin Holtaway")</f>
        <v>Caitlin Holtaway</v>
      </c>
      <c r="T196" s="123" t="str">
        <f ca="1">IFERROR(__xludf.DUMMYFUNCTION("""COMPUTED_VALUE"""),"Connor Hogan")</f>
        <v>Connor Hogan</v>
      </c>
    </row>
    <row r="197" spans="1:20" ht="13.8">
      <c r="A197" s="118" t="str">
        <f ca="1">IFERROR(__xludf.DUMMYFUNCTION("""COMPUTED_VALUE"""),"CH")</f>
        <v>CH</v>
      </c>
      <c r="B197" s="119" t="str">
        <f ca="1">IFERROR(__xludf.DUMMYFUNCTION("""COMPUTED_VALUE"""),"Ellie Gilman")</f>
        <v>Ellie Gilman</v>
      </c>
      <c r="C197" s="118">
        <f ca="1">IFERROR(__xludf.DUMMYFUNCTION("""COMPUTED_VALUE"""),12)</f>
        <v>12</v>
      </c>
      <c r="D197" s="118" t="str">
        <f ca="1">IFERROR(__xludf.DUMMYFUNCTION("""COMPUTED_VALUE"""),"G")</f>
        <v>G</v>
      </c>
      <c r="E197" s="118" t="str">
        <f ca="1">IFERROR(__xludf.DUMMYFUNCTION("""COMPUTED_VALUE"""),"J")</f>
        <v>J</v>
      </c>
      <c r="F197" s="118" t="str">
        <f ca="1">IFERROR(__xludf.DUMMYFUNCTION("""COMPUTED_VALUE"""),"I")</f>
        <v>I</v>
      </c>
      <c r="G197" s="118">
        <f ca="1">IFERROR(__xludf.DUMMYFUNCTION("""COMPUTED_VALUE"""),5)</f>
        <v>5</v>
      </c>
      <c r="H197" s="118" t="str">
        <f ca="1">IFERROR(__xludf.DUMMYFUNCTION("""COMPUTED_VALUE"""),"CH")</f>
        <v>CH</v>
      </c>
      <c r="I197" s="118">
        <f ca="1">IFERROR(__xludf.DUMMYFUNCTION("""COMPUTED_VALUE"""),6)</f>
        <v>6</v>
      </c>
      <c r="J197" s="118">
        <f ca="1">IFERROR(__xludf.DUMMYFUNCTION("""COMPUTED_VALUE"""),4)</f>
        <v>4</v>
      </c>
      <c r="K197" s="120">
        <f ca="1">IFERROR(__xludf.DUMMYFUNCTION("""COMPUTED_VALUE"""),96)</f>
        <v>96</v>
      </c>
      <c r="L197" s="121"/>
      <c r="M197" s="120">
        <f ca="1">IFERROR(__xludf.DUMMYFUNCTION("""COMPUTED_VALUE"""),88.35)</f>
        <v>88.35</v>
      </c>
      <c r="N197" s="121"/>
      <c r="O197" s="120"/>
      <c r="P197" s="122"/>
      <c r="Q197" s="123" t="str">
        <f ca="1">IFERROR(__xludf.DUMMYFUNCTION("""COMPUTED_VALUE"""),"Charlotte Kluttz")</f>
        <v>Charlotte Kluttz</v>
      </c>
      <c r="R197" s="123" t="str">
        <f ca="1">IFERROR(__xludf.DUMMYFUNCTION("""COMPUTED_VALUE"""),"Eli White")</f>
        <v>Eli White</v>
      </c>
      <c r="S197" s="123" t="str">
        <f ca="1">IFERROR(__xludf.DUMMYFUNCTION("""COMPUTED_VALUE"""),"Caitlin Martin")</f>
        <v>Caitlin Martin</v>
      </c>
      <c r="T197" s="123" t="str">
        <f ca="1">IFERROR(__xludf.DUMMYFUNCTION("""COMPUTED_VALUE"""),"Connor Long")</f>
        <v>Connor Long</v>
      </c>
    </row>
    <row r="198" spans="1:20" ht="13.8">
      <c r="A198" s="118" t="str">
        <f ca="1">IFERROR(__xludf.DUMMYFUNCTION("""COMPUTED_VALUE"""),"CH")</f>
        <v>CH</v>
      </c>
      <c r="B198" s="119" t="str">
        <f ca="1">IFERROR(__xludf.DUMMYFUNCTION("""COMPUTED_VALUE"""),"Emily Lauffer")</f>
        <v>Emily Lauffer</v>
      </c>
      <c r="C198" s="118">
        <f ca="1">IFERROR(__xludf.DUMMYFUNCTION("""COMPUTED_VALUE"""),12)</f>
        <v>12</v>
      </c>
      <c r="D198" s="118" t="str">
        <f ca="1">IFERROR(__xludf.DUMMYFUNCTION("""COMPUTED_VALUE"""),"G")</f>
        <v>G</v>
      </c>
      <c r="E198" s="118" t="str">
        <f ca="1">IFERROR(__xludf.DUMMYFUNCTION("""COMPUTED_VALUE"""),"J")</f>
        <v>J</v>
      </c>
      <c r="F198" s="118" t="str">
        <f ca="1">IFERROR(__xludf.DUMMYFUNCTION("""COMPUTED_VALUE"""),"I")</f>
        <v>I</v>
      </c>
      <c r="G198" s="118">
        <f ca="1">IFERROR(__xludf.DUMMYFUNCTION("""COMPUTED_VALUE"""),5)</f>
        <v>5</v>
      </c>
      <c r="H198" s="118" t="str">
        <f ca="1">IFERROR(__xludf.DUMMYFUNCTION("""COMPUTED_VALUE"""),"CH")</f>
        <v>CH</v>
      </c>
      <c r="I198" s="118">
        <f ca="1">IFERROR(__xludf.DUMMYFUNCTION("""COMPUTED_VALUE"""),6)</f>
        <v>6</v>
      </c>
      <c r="J198" s="118">
        <f ca="1">IFERROR(__xludf.DUMMYFUNCTION("""COMPUTED_VALUE"""),0)</f>
        <v>0</v>
      </c>
      <c r="K198" s="120"/>
      <c r="L198" s="121"/>
      <c r="M198" s="120"/>
      <c r="N198" s="121"/>
      <c r="O198" s="120"/>
      <c r="P198" s="122"/>
      <c r="Q198" s="123" t="str">
        <f ca="1">IFERROR(__xludf.DUMMYFUNCTION("""COMPUTED_VALUE"""),"Charlotte Miller")</f>
        <v>Charlotte Miller</v>
      </c>
      <c r="R198" s="123" t="str">
        <f ca="1">IFERROR(__xludf.DUMMYFUNCTION("""COMPUTED_VALUE"""),"Elias Flores")</f>
        <v>Elias Flores</v>
      </c>
      <c r="S198" s="123" t="str">
        <f ca="1">IFERROR(__xludf.DUMMYFUNCTION("""COMPUTED_VALUE"""),"Caitlyn Delaney")</f>
        <v>Caitlyn Delaney</v>
      </c>
      <c r="T198" s="123" t="str">
        <f ca="1">IFERROR(__xludf.DUMMYFUNCTION("""COMPUTED_VALUE"""),"Connor Manegold")</f>
        <v>Connor Manegold</v>
      </c>
    </row>
    <row r="199" spans="1:20" ht="13.8">
      <c r="A199" s="118" t="str">
        <f ca="1">IFERROR(__xludf.DUMMYFUNCTION("""COMPUTED_VALUE"""),"CH")</f>
        <v>CH</v>
      </c>
      <c r="B199" s="119" t="str">
        <f ca="1">IFERROR(__xludf.DUMMYFUNCTION("""COMPUTED_VALUE"""),"Emily Zahalsky")</f>
        <v>Emily Zahalsky</v>
      </c>
      <c r="C199" s="118">
        <f ca="1">IFERROR(__xludf.DUMMYFUNCTION("""COMPUTED_VALUE"""),11)</f>
        <v>11</v>
      </c>
      <c r="D199" s="118" t="str">
        <f ca="1">IFERROR(__xludf.DUMMYFUNCTION("""COMPUTED_VALUE"""),"G")</f>
        <v>G</v>
      </c>
      <c r="E199" s="118" t="str">
        <f ca="1">IFERROR(__xludf.DUMMYFUNCTION("""COMPUTED_VALUE"""),"J")</f>
        <v>J</v>
      </c>
      <c r="F199" s="118" t="str">
        <f ca="1">IFERROR(__xludf.DUMMYFUNCTION("""COMPUTED_VALUE"""),"I")</f>
        <v>I</v>
      </c>
      <c r="G199" s="118">
        <f ca="1">IFERROR(__xludf.DUMMYFUNCTION("""COMPUTED_VALUE"""),5)</f>
        <v>5</v>
      </c>
      <c r="H199" s="118" t="str">
        <f ca="1">IFERROR(__xludf.DUMMYFUNCTION("""COMPUTED_VALUE"""),"CH")</f>
        <v>CH</v>
      </c>
      <c r="I199" s="118">
        <f ca="1">IFERROR(__xludf.DUMMYFUNCTION("""COMPUTED_VALUE"""),6)</f>
        <v>6</v>
      </c>
      <c r="J199" s="118">
        <f ca="1">IFERROR(__xludf.DUMMYFUNCTION("""COMPUTED_VALUE"""),1)</f>
        <v>1</v>
      </c>
      <c r="K199" s="120">
        <f ca="1">IFERROR(__xludf.DUMMYFUNCTION("""COMPUTED_VALUE"""),50.3)</f>
        <v>50.3</v>
      </c>
      <c r="L199" s="121"/>
      <c r="M199" s="120"/>
      <c r="N199" s="121"/>
      <c r="O199" s="120"/>
      <c r="P199" s="122"/>
      <c r="Q199" s="123" t="str">
        <f ca="1">IFERROR(__xludf.DUMMYFUNCTION("""COMPUTED_VALUE"""),"Charlotte Pechulis")</f>
        <v>Charlotte Pechulis</v>
      </c>
      <c r="R199" s="123" t="str">
        <f ca="1">IFERROR(__xludf.DUMMYFUNCTION("""COMPUTED_VALUE"""),"Elijah Hawley")</f>
        <v>Elijah Hawley</v>
      </c>
      <c r="S199" s="123" t="str">
        <f ca="1">IFERROR(__xludf.DUMMYFUNCTION("""COMPUTED_VALUE"""),"Caliah Dumas")</f>
        <v>Caliah Dumas</v>
      </c>
      <c r="T199" s="123" t="str">
        <f ca="1">IFERROR(__xludf.DUMMYFUNCTION("""COMPUTED_VALUE"""),"Connor Martinez")</f>
        <v>Connor Martinez</v>
      </c>
    </row>
    <row r="200" spans="1:20" ht="13.8">
      <c r="A200" s="118" t="str">
        <f ca="1">IFERROR(__xludf.DUMMYFUNCTION("""COMPUTED_VALUE"""),"CH")</f>
        <v>CH</v>
      </c>
      <c r="B200" s="119" t="str">
        <f ca="1">IFERROR(__xludf.DUMMYFUNCTION("""COMPUTED_VALUE"""),"Marianna McKinnon")</f>
        <v>Marianna McKinnon</v>
      </c>
      <c r="C200" s="118">
        <f ca="1">IFERROR(__xludf.DUMMYFUNCTION("""COMPUTED_VALUE"""),12)</f>
        <v>12</v>
      </c>
      <c r="D200" s="118" t="str">
        <f ca="1">IFERROR(__xludf.DUMMYFUNCTION("""COMPUTED_VALUE"""),"G")</f>
        <v>G</v>
      </c>
      <c r="E200" s="118" t="str">
        <f ca="1">IFERROR(__xludf.DUMMYFUNCTION("""COMPUTED_VALUE"""),"J")</f>
        <v>J</v>
      </c>
      <c r="F200" s="118" t="str">
        <f ca="1">IFERROR(__xludf.DUMMYFUNCTION("""COMPUTED_VALUE"""),"I")</f>
        <v>I</v>
      </c>
      <c r="G200" s="118">
        <f ca="1">IFERROR(__xludf.DUMMYFUNCTION("""COMPUTED_VALUE"""),5)</f>
        <v>5</v>
      </c>
      <c r="H200" s="118" t="str">
        <f ca="1">IFERROR(__xludf.DUMMYFUNCTION("""COMPUTED_VALUE"""),"CH")</f>
        <v>CH</v>
      </c>
      <c r="I200" s="118">
        <f ca="1">IFERROR(__xludf.DUMMYFUNCTION("""COMPUTED_VALUE"""),6)</f>
        <v>6</v>
      </c>
      <c r="J200" s="118">
        <f ca="1">IFERROR(__xludf.DUMMYFUNCTION("""COMPUTED_VALUE"""),4)</f>
        <v>4</v>
      </c>
      <c r="K200" s="120">
        <f ca="1">IFERROR(__xludf.DUMMYFUNCTION("""COMPUTED_VALUE"""),88.15)</f>
        <v>88.15</v>
      </c>
      <c r="L200" s="121"/>
      <c r="M200" s="120">
        <f ca="1">IFERROR(__xludf.DUMMYFUNCTION("""COMPUTED_VALUE"""),88.15)</f>
        <v>88.15</v>
      </c>
      <c r="N200" s="121"/>
      <c r="O200" s="120">
        <f ca="1">IFERROR(__xludf.DUMMYFUNCTION("""COMPUTED_VALUE"""),55.1)</f>
        <v>55.1</v>
      </c>
      <c r="P200" s="122"/>
      <c r="Q200" s="123" t="str">
        <f ca="1">IFERROR(__xludf.DUMMYFUNCTION("""COMPUTED_VALUE"""),"Charlotte Rice")</f>
        <v>Charlotte Rice</v>
      </c>
      <c r="R200" s="123" t="str">
        <f ca="1">IFERROR(__xludf.DUMMYFUNCTION("""COMPUTED_VALUE"""),"Elliot Brooks")</f>
        <v>Elliot Brooks</v>
      </c>
      <c r="S200" s="123" t="str">
        <f ca="1">IFERROR(__xludf.DUMMYFUNCTION("""COMPUTED_VALUE"""),"Calissia Dumas")</f>
        <v>Calissia Dumas</v>
      </c>
      <c r="T200" s="123" t="str">
        <f ca="1">IFERROR(__xludf.DUMMYFUNCTION("""COMPUTED_VALUE"""),"Connor Prunty")</f>
        <v>Connor Prunty</v>
      </c>
    </row>
    <row r="201" spans="1:20" ht="13.8">
      <c r="A201" s="118" t="str">
        <f ca="1">IFERROR(__xludf.DUMMYFUNCTION("""COMPUTED_VALUE"""),"CH")</f>
        <v>CH</v>
      </c>
      <c r="B201" s="119" t="str">
        <f ca="1">IFERROR(__xludf.DUMMYFUNCTION("""COMPUTED_VALUE"""),"Mattie Lechtman")</f>
        <v>Mattie Lechtman</v>
      </c>
      <c r="C201" s="118">
        <f ca="1">IFERROR(__xludf.DUMMYFUNCTION("""COMPUTED_VALUE"""),11)</f>
        <v>11</v>
      </c>
      <c r="D201" s="118" t="str">
        <f ca="1">IFERROR(__xludf.DUMMYFUNCTION("""COMPUTED_VALUE"""),"G")</f>
        <v>G</v>
      </c>
      <c r="E201" s="118" t="str">
        <f ca="1">IFERROR(__xludf.DUMMYFUNCTION("""COMPUTED_VALUE"""),"J")</f>
        <v>J</v>
      </c>
      <c r="F201" s="118" t="str">
        <f ca="1">IFERROR(__xludf.DUMMYFUNCTION("""COMPUTED_VALUE"""),"I")</f>
        <v>I</v>
      </c>
      <c r="G201" s="118">
        <f ca="1">IFERROR(__xludf.DUMMYFUNCTION("""COMPUTED_VALUE"""),5)</f>
        <v>5</v>
      </c>
      <c r="H201" s="118" t="str">
        <f ca="1">IFERROR(__xludf.DUMMYFUNCTION("""COMPUTED_VALUE"""),"CH")</f>
        <v>CH</v>
      </c>
      <c r="I201" s="118">
        <f ca="1">IFERROR(__xludf.DUMMYFUNCTION("""COMPUTED_VALUE"""),6)</f>
        <v>6</v>
      </c>
      <c r="J201" s="118">
        <f ca="1">IFERROR(__xludf.DUMMYFUNCTION("""COMPUTED_VALUE"""),0)</f>
        <v>0</v>
      </c>
      <c r="K201" s="120"/>
      <c r="L201" s="121"/>
      <c r="M201" s="120"/>
      <c r="N201" s="121"/>
      <c r="O201" s="120"/>
      <c r="P201" s="122"/>
      <c r="Q201" s="123" t="str">
        <f ca="1">IFERROR(__xludf.DUMMYFUNCTION("""COMPUTED_VALUE"""),"Charlotte Rotteveel")</f>
        <v>Charlotte Rotteveel</v>
      </c>
      <c r="R201" s="123" t="str">
        <f ca="1">IFERROR(__xludf.DUMMYFUNCTION("""COMPUTED_VALUE"""),"Elliot Kobus")</f>
        <v>Elliot Kobus</v>
      </c>
      <c r="S201" s="123" t="str">
        <f ca="1">IFERROR(__xludf.DUMMYFUNCTION("""COMPUTED_VALUE"""),"Callie Moriarty")</f>
        <v>Callie Moriarty</v>
      </c>
      <c r="T201" s="123" t="str">
        <f ca="1">IFERROR(__xludf.DUMMYFUNCTION("""COMPUTED_VALUE"""),"Connor Ryan")</f>
        <v>Connor Ryan</v>
      </c>
    </row>
    <row r="202" spans="1:20" ht="13.8">
      <c r="A202" s="118" t="str">
        <f ca="1">IFERROR(__xludf.DUMMYFUNCTION("""COMPUTED_VALUE"""),"CH")</f>
        <v>CH</v>
      </c>
      <c r="B202" s="119" t="str">
        <f ca="1">IFERROR(__xludf.DUMMYFUNCTION("""COMPUTED_VALUE"""),"Tabby Shimooka")</f>
        <v>Tabby Shimooka</v>
      </c>
      <c r="C202" s="118">
        <f ca="1">IFERROR(__xludf.DUMMYFUNCTION("""COMPUTED_VALUE"""),12)</f>
        <v>12</v>
      </c>
      <c r="D202" s="118" t="str">
        <f ca="1">IFERROR(__xludf.DUMMYFUNCTION("""COMPUTED_VALUE"""),"G")</f>
        <v>G</v>
      </c>
      <c r="E202" s="118" t="str">
        <f ca="1">IFERROR(__xludf.DUMMYFUNCTION("""COMPUTED_VALUE"""),"J")</f>
        <v>J</v>
      </c>
      <c r="F202" s="118" t="str">
        <f ca="1">IFERROR(__xludf.DUMMYFUNCTION("""COMPUTED_VALUE"""),"I")</f>
        <v>I</v>
      </c>
      <c r="G202" s="118">
        <f ca="1">IFERROR(__xludf.DUMMYFUNCTION("""COMPUTED_VALUE"""),5)</f>
        <v>5</v>
      </c>
      <c r="H202" s="118" t="str">
        <f ca="1">IFERROR(__xludf.DUMMYFUNCTION("""COMPUTED_VALUE"""),"CH")</f>
        <v>CH</v>
      </c>
      <c r="I202" s="118">
        <f ca="1">IFERROR(__xludf.DUMMYFUNCTION("""COMPUTED_VALUE"""),6)</f>
        <v>6</v>
      </c>
      <c r="J202" s="118">
        <f ca="1">IFERROR(__xludf.DUMMYFUNCTION("""COMPUTED_VALUE"""),4)</f>
        <v>4</v>
      </c>
      <c r="K202" s="120">
        <f ca="1">IFERROR(__xludf.DUMMYFUNCTION("""COMPUTED_VALUE"""),87.85)</f>
        <v>87.85</v>
      </c>
      <c r="L202" s="121"/>
      <c r="M202" s="120"/>
      <c r="N202" s="121"/>
      <c r="O202" s="120">
        <f ca="1">IFERROR(__xludf.DUMMYFUNCTION("""COMPUTED_VALUE"""),87.85)</f>
        <v>87.85</v>
      </c>
      <c r="P202" s="122"/>
      <c r="Q202" s="123" t="str">
        <f ca="1">IFERROR(__xludf.DUMMYFUNCTION("""COMPUTED_VALUE"""),"Charlotte Rusnak")</f>
        <v>Charlotte Rusnak</v>
      </c>
      <c r="R202" s="123" t="str">
        <f ca="1">IFERROR(__xludf.DUMMYFUNCTION("""COMPUTED_VALUE"""),"Elliot Lee")</f>
        <v>Elliot Lee</v>
      </c>
      <c r="S202" s="123" t="str">
        <f ca="1">IFERROR(__xludf.DUMMYFUNCTION("""COMPUTED_VALUE"""),"Callie Swanson")</f>
        <v>Callie Swanson</v>
      </c>
      <c r="T202" s="123" t="str">
        <f ca="1">IFERROR(__xludf.DUMMYFUNCTION("""COMPUTED_VALUE"""),"Connor Schilling")</f>
        <v>Connor Schilling</v>
      </c>
    </row>
    <row r="203" spans="1:20" ht="13.8">
      <c r="A203" s="118" t="str">
        <f ca="1">IFERROR(__xludf.DUMMYFUNCTION("""COMPUTED_VALUE"""),"CH")</f>
        <v>CH</v>
      </c>
      <c r="B203" s="119" t="str">
        <f ca="1">IFERROR(__xludf.DUMMYFUNCTION("""COMPUTED_VALUE"""),"Alexander Halphen")</f>
        <v>Alexander Halphen</v>
      </c>
      <c r="C203" s="118">
        <f ca="1">IFERROR(__xludf.DUMMYFUNCTION("""COMPUTED_VALUE"""),12)</f>
        <v>12</v>
      </c>
      <c r="D203" s="118" t="str">
        <f ca="1">IFERROR(__xludf.DUMMYFUNCTION("""COMPUTED_VALUE"""),"B")</f>
        <v>B</v>
      </c>
      <c r="E203" s="118" t="str">
        <f ca="1">IFERROR(__xludf.DUMMYFUNCTION("""COMPUTED_VALUE"""),"J")</f>
        <v>J</v>
      </c>
      <c r="F203" s="118" t="str">
        <f ca="1">IFERROR(__xludf.DUMMYFUNCTION("""COMPUTED_VALUE"""),"I")</f>
        <v>I</v>
      </c>
      <c r="G203" s="118">
        <f ca="1">IFERROR(__xludf.DUMMYFUNCTION("""COMPUTED_VALUE"""),5)</f>
        <v>5</v>
      </c>
      <c r="H203" s="118" t="str">
        <f ca="1">IFERROR(__xludf.DUMMYFUNCTION("""COMPUTED_VALUE"""),"CH")</f>
        <v>CH</v>
      </c>
      <c r="I203" s="118">
        <f ca="1">IFERROR(__xludf.DUMMYFUNCTION("""COMPUTED_VALUE"""),7)</f>
        <v>7</v>
      </c>
      <c r="J203" s="118">
        <f ca="1">IFERROR(__xludf.DUMMYFUNCTION("""COMPUTED_VALUE"""),4)</f>
        <v>4</v>
      </c>
      <c r="K203" s="120">
        <f ca="1">IFERROR(__xludf.DUMMYFUNCTION("""COMPUTED_VALUE"""),78.9)</f>
        <v>78.900000000000006</v>
      </c>
      <c r="L203" s="121"/>
      <c r="M203" s="120">
        <f ca="1">IFERROR(__xludf.DUMMYFUNCTION("""COMPUTED_VALUE"""),59.65)</f>
        <v>59.65</v>
      </c>
      <c r="N203" s="121"/>
      <c r="O203" s="120"/>
      <c r="P203" s="122"/>
      <c r="Q203" s="123" t="str">
        <f ca="1">IFERROR(__xludf.DUMMYFUNCTION("""COMPUTED_VALUE"""),"Charlotte Sandstrom")</f>
        <v>Charlotte Sandstrom</v>
      </c>
      <c r="R203" s="123" t="str">
        <f ca="1">IFERROR(__xludf.DUMMYFUNCTION("""COMPUTED_VALUE"""),"Elliot Raber")</f>
        <v>Elliot Raber</v>
      </c>
      <c r="S203" s="123" t="str">
        <f ca="1">IFERROR(__xludf.DUMMYFUNCTION("""COMPUTED_VALUE"""),"Cally Codding")</f>
        <v>Cally Codding</v>
      </c>
      <c r="T203" s="123" t="str">
        <f ca="1">IFERROR(__xludf.DUMMYFUNCTION("""COMPUTED_VALUE"""),"Connor Stith")</f>
        <v>Connor Stith</v>
      </c>
    </row>
    <row r="204" spans="1:20" ht="13.8">
      <c r="A204" s="118" t="str">
        <f ca="1">IFERROR(__xludf.DUMMYFUNCTION("""COMPUTED_VALUE"""),"CH")</f>
        <v>CH</v>
      </c>
      <c r="B204" s="119" t="str">
        <f ca="1">IFERROR(__xludf.DUMMYFUNCTION("""COMPUTED_VALUE"""),"Bode Pierce")</f>
        <v>Bode Pierce</v>
      </c>
      <c r="C204" s="118">
        <f ca="1">IFERROR(__xludf.DUMMYFUNCTION("""COMPUTED_VALUE"""),12)</f>
        <v>12</v>
      </c>
      <c r="D204" s="118" t="str">
        <f ca="1">IFERROR(__xludf.DUMMYFUNCTION("""COMPUTED_VALUE"""),"B")</f>
        <v>B</v>
      </c>
      <c r="E204" s="118" t="str">
        <f ca="1">IFERROR(__xludf.DUMMYFUNCTION("""COMPUTED_VALUE"""),"J")</f>
        <v>J</v>
      </c>
      <c r="F204" s="118" t="str">
        <f ca="1">IFERROR(__xludf.DUMMYFUNCTION("""COMPUTED_VALUE"""),"I")</f>
        <v>I</v>
      </c>
      <c r="G204" s="118">
        <f ca="1">IFERROR(__xludf.DUMMYFUNCTION("""COMPUTED_VALUE"""),5)</f>
        <v>5</v>
      </c>
      <c r="H204" s="118" t="str">
        <f ca="1">IFERROR(__xludf.DUMMYFUNCTION("""COMPUTED_VALUE"""),"CH")</f>
        <v>CH</v>
      </c>
      <c r="I204" s="118">
        <f ca="1">IFERROR(__xludf.DUMMYFUNCTION("""COMPUTED_VALUE"""),7)</f>
        <v>7</v>
      </c>
      <c r="J204" s="118">
        <f ca="1">IFERROR(__xludf.DUMMYFUNCTION("""COMPUTED_VALUE"""),0)</f>
        <v>0</v>
      </c>
      <c r="K204" s="120"/>
      <c r="L204" s="121"/>
      <c r="M204" s="120"/>
      <c r="N204" s="121"/>
      <c r="O204" s="120"/>
      <c r="P204" s="122"/>
      <c r="Q204" s="123" t="str">
        <f ca="1">IFERROR(__xludf.DUMMYFUNCTION("""COMPUTED_VALUE"""),"Charlotte Williams")</f>
        <v>Charlotte Williams</v>
      </c>
      <c r="R204" s="123" t="str">
        <f ca="1">IFERROR(__xludf.DUMMYFUNCTION("""COMPUTED_VALUE"""),"Ellis Constantine")</f>
        <v>Ellis Constantine</v>
      </c>
      <c r="S204" s="123" t="str">
        <f ca="1">IFERROR(__xludf.DUMMYFUNCTION("""COMPUTED_VALUE"""),"Cameron Roehrig")</f>
        <v>Cameron Roehrig</v>
      </c>
      <c r="T204" s="123" t="str">
        <f ca="1">IFERROR(__xludf.DUMMYFUNCTION("""COMPUTED_VALUE"""),"Connor Timm")</f>
        <v>Connor Timm</v>
      </c>
    </row>
    <row r="205" spans="1:20" ht="13.8">
      <c r="A205" s="118" t="str">
        <f ca="1">IFERROR(__xludf.DUMMYFUNCTION("""COMPUTED_VALUE"""),"CH")</f>
        <v>CH</v>
      </c>
      <c r="B205" s="119" t="str">
        <f ca="1">IFERROR(__xludf.DUMMYFUNCTION("""COMPUTED_VALUE"""),"Calvin Butler")</f>
        <v>Calvin Butler</v>
      </c>
      <c r="C205" s="118">
        <f ca="1">IFERROR(__xludf.DUMMYFUNCTION("""COMPUTED_VALUE"""),11)</f>
        <v>11</v>
      </c>
      <c r="D205" s="118" t="str">
        <f ca="1">IFERROR(__xludf.DUMMYFUNCTION("""COMPUTED_VALUE"""),"B")</f>
        <v>B</v>
      </c>
      <c r="E205" s="118" t="str">
        <f ca="1">IFERROR(__xludf.DUMMYFUNCTION("""COMPUTED_VALUE"""),"J")</f>
        <v>J</v>
      </c>
      <c r="F205" s="118" t="str">
        <f ca="1">IFERROR(__xludf.DUMMYFUNCTION("""COMPUTED_VALUE"""),"I")</f>
        <v>I</v>
      </c>
      <c r="G205" s="118">
        <f ca="1">IFERROR(__xludf.DUMMYFUNCTION("""COMPUTED_VALUE"""),5)</f>
        <v>5</v>
      </c>
      <c r="H205" s="118" t="str">
        <f ca="1">IFERROR(__xludf.DUMMYFUNCTION("""COMPUTED_VALUE"""),"CH")</f>
        <v>CH</v>
      </c>
      <c r="I205" s="118">
        <f ca="1">IFERROR(__xludf.DUMMYFUNCTION("""COMPUTED_VALUE"""),7)</f>
        <v>7</v>
      </c>
      <c r="J205" s="118">
        <f ca="1">IFERROR(__xludf.DUMMYFUNCTION("""COMPUTED_VALUE"""),5)</f>
        <v>5</v>
      </c>
      <c r="K205" s="120">
        <f ca="1">IFERROR(__xludf.DUMMYFUNCTION("""COMPUTED_VALUE"""),86.2)</f>
        <v>86.2</v>
      </c>
      <c r="L205" s="121"/>
      <c r="M205" s="120">
        <f ca="1">IFERROR(__xludf.DUMMYFUNCTION("""COMPUTED_VALUE"""),82.1)</f>
        <v>82.1</v>
      </c>
      <c r="N205" s="121"/>
      <c r="O205" s="120">
        <f ca="1">IFERROR(__xludf.DUMMYFUNCTION("""COMPUTED_VALUE"""),85.5)</f>
        <v>85.5</v>
      </c>
      <c r="P205" s="122"/>
      <c r="Q205" s="123" t="str">
        <f ca="1">IFERROR(__xludf.DUMMYFUNCTION("""COMPUTED_VALUE"""),"Chloe Field")</f>
        <v>Chloe Field</v>
      </c>
      <c r="R205" s="123" t="str">
        <f ca="1">IFERROR(__xludf.DUMMYFUNCTION("""COMPUTED_VALUE"""),"Ellis Hodum")</f>
        <v>Ellis Hodum</v>
      </c>
      <c r="S205" s="123" t="str">
        <f ca="1">IFERROR(__xludf.DUMMYFUNCTION("""COMPUTED_VALUE"""),"Camilla Kettig")</f>
        <v>Camilla Kettig</v>
      </c>
      <c r="T205" s="123" t="str">
        <f ca="1">IFERROR(__xludf.DUMMYFUNCTION("""COMPUTED_VALUE"""),"Connor Tweddle")</f>
        <v>Connor Tweddle</v>
      </c>
    </row>
    <row r="206" spans="1:20" ht="13.8">
      <c r="A206" s="118" t="str">
        <f ca="1">IFERROR(__xludf.DUMMYFUNCTION("""COMPUTED_VALUE"""),"CH")</f>
        <v>CH</v>
      </c>
      <c r="B206" s="119" t="str">
        <f ca="1">IFERROR(__xludf.DUMMYFUNCTION("""COMPUTED_VALUE"""),"Jayan Penn")</f>
        <v>Jayan Penn</v>
      </c>
      <c r="C206" s="118">
        <f ca="1">IFERROR(__xludf.DUMMYFUNCTION("""COMPUTED_VALUE"""),12)</f>
        <v>12</v>
      </c>
      <c r="D206" s="118" t="str">
        <f ca="1">IFERROR(__xludf.DUMMYFUNCTION("""COMPUTED_VALUE"""),"B")</f>
        <v>B</v>
      </c>
      <c r="E206" s="118" t="str">
        <f ca="1">IFERROR(__xludf.DUMMYFUNCTION("""COMPUTED_VALUE"""),"J")</f>
        <v>J</v>
      </c>
      <c r="F206" s="118" t="str">
        <f ca="1">IFERROR(__xludf.DUMMYFUNCTION("""COMPUTED_VALUE"""),"I")</f>
        <v>I</v>
      </c>
      <c r="G206" s="118">
        <f ca="1">IFERROR(__xludf.DUMMYFUNCTION("""COMPUTED_VALUE"""),5)</f>
        <v>5</v>
      </c>
      <c r="H206" s="118" t="str">
        <f ca="1">IFERROR(__xludf.DUMMYFUNCTION("""COMPUTED_VALUE"""),"CH")</f>
        <v>CH</v>
      </c>
      <c r="I206" s="118">
        <f ca="1">IFERROR(__xludf.DUMMYFUNCTION("""COMPUTED_VALUE"""),7)</f>
        <v>7</v>
      </c>
      <c r="J206" s="118">
        <f ca="1">IFERROR(__xludf.DUMMYFUNCTION("""COMPUTED_VALUE"""),4)</f>
        <v>4</v>
      </c>
      <c r="K206" s="120">
        <f ca="1">IFERROR(__xludf.DUMMYFUNCTION("""COMPUTED_VALUE"""),79.9)</f>
        <v>79.900000000000006</v>
      </c>
      <c r="L206" s="121"/>
      <c r="M206" s="120">
        <f ca="1">IFERROR(__xludf.DUMMYFUNCTION("""COMPUTED_VALUE"""),57.05)</f>
        <v>57.05</v>
      </c>
      <c r="N206" s="121"/>
      <c r="O206" s="120"/>
      <c r="P206" s="122"/>
      <c r="Q206" s="123" t="str">
        <f ca="1">IFERROR(__xludf.DUMMYFUNCTION("""COMPUTED_VALUE"""),"Chloe Kennedy")</f>
        <v>Chloe Kennedy</v>
      </c>
      <c r="R206" s="123" t="str">
        <f ca="1">IFERROR(__xludf.DUMMYFUNCTION("""COMPUTED_VALUE"""),"Emeric Alvarez")</f>
        <v>Emeric Alvarez</v>
      </c>
      <c r="S206" s="123" t="str">
        <f ca="1">IFERROR(__xludf.DUMMYFUNCTION("""COMPUTED_VALUE"""),"Camilla Warren")</f>
        <v>Camilla Warren</v>
      </c>
      <c r="T206" s="123" t="str">
        <f ca="1">IFERROR(__xludf.DUMMYFUNCTION("""COMPUTED_VALUE"""),"Conor Stodel")</f>
        <v>Conor Stodel</v>
      </c>
    </row>
    <row r="207" spans="1:20" ht="13.8">
      <c r="A207" s="118" t="str">
        <f ca="1">IFERROR(__xludf.DUMMYFUNCTION("""COMPUTED_VALUE"""),"CH")</f>
        <v>CH</v>
      </c>
      <c r="B207" s="119" t="str">
        <f ca="1">IFERROR(__xludf.DUMMYFUNCTION("""COMPUTED_VALUE"""),"Mario Ma")</f>
        <v>Mario Ma</v>
      </c>
      <c r="C207" s="118">
        <f ca="1">IFERROR(__xludf.DUMMYFUNCTION("""COMPUTED_VALUE"""),11)</f>
        <v>11</v>
      </c>
      <c r="D207" s="118" t="str">
        <f ca="1">IFERROR(__xludf.DUMMYFUNCTION("""COMPUTED_VALUE"""),"B")</f>
        <v>B</v>
      </c>
      <c r="E207" s="118" t="str">
        <f ca="1">IFERROR(__xludf.DUMMYFUNCTION("""COMPUTED_VALUE"""),"J")</f>
        <v>J</v>
      </c>
      <c r="F207" s="118" t="str">
        <f ca="1">IFERROR(__xludf.DUMMYFUNCTION("""COMPUTED_VALUE"""),"I")</f>
        <v>I</v>
      </c>
      <c r="G207" s="118">
        <f ca="1">IFERROR(__xludf.DUMMYFUNCTION("""COMPUTED_VALUE"""),5)</f>
        <v>5</v>
      </c>
      <c r="H207" s="118" t="str">
        <f ca="1">IFERROR(__xludf.DUMMYFUNCTION("""COMPUTED_VALUE"""),"CH")</f>
        <v>CH</v>
      </c>
      <c r="I207" s="118">
        <f ca="1">IFERROR(__xludf.DUMMYFUNCTION("""COMPUTED_VALUE"""),7)</f>
        <v>7</v>
      </c>
      <c r="J207" s="118">
        <f ca="1">IFERROR(__xludf.DUMMYFUNCTION("""COMPUTED_VALUE"""),3)</f>
        <v>3</v>
      </c>
      <c r="K207" s="120">
        <f ca="1">IFERROR(__xludf.DUMMYFUNCTION("""COMPUTED_VALUE"""),51.6)</f>
        <v>51.6</v>
      </c>
      <c r="L207" s="121"/>
      <c r="M207" s="120"/>
      <c r="N207" s="121"/>
      <c r="O207" s="120"/>
      <c r="P207" s="122"/>
      <c r="Q207" s="123" t="str">
        <f ca="1">IFERROR(__xludf.DUMMYFUNCTION("""COMPUTED_VALUE"""),"Chloe Lee")</f>
        <v>Chloe Lee</v>
      </c>
      <c r="R207" s="123" t="str">
        <f ca="1">IFERROR(__xludf.DUMMYFUNCTION("""COMPUTED_VALUE"""),"Emmett Kropf")</f>
        <v>Emmett Kropf</v>
      </c>
      <c r="S207" s="123" t="str">
        <f ca="1">IFERROR(__xludf.DUMMYFUNCTION("""COMPUTED_VALUE"""),"Camille Sonn")</f>
        <v>Camille Sonn</v>
      </c>
      <c r="T207" s="123" t="str">
        <f ca="1">IFERROR(__xludf.DUMMYFUNCTION("""COMPUTED_VALUE"""),"Cooper Belt")</f>
        <v>Cooper Belt</v>
      </c>
    </row>
    <row r="208" spans="1:20" ht="13.8">
      <c r="A208" s="118" t="str">
        <f ca="1">IFERROR(__xludf.DUMMYFUNCTION("""COMPUTED_VALUE"""),"CH")</f>
        <v>CH</v>
      </c>
      <c r="B208" s="119" t="str">
        <f ca="1">IFERROR(__xludf.DUMMYFUNCTION("""COMPUTED_VALUE"""),"Maximus Tabrizi")</f>
        <v>Maximus Tabrizi</v>
      </c>
      <c r="C208" s="118">
        <f ca="1">IFERROR(__xludf.DUMMYFUNCTION("""COMPUTED_VALUE"""),11)</f>
        <v>11</v>
      </c>
      <c r="D208" s="118" t="str">
        <f ca="1">IFERROR(__xludf.DUMMYFUNCTION("""COMPUTED_VALUE"""),"B")</f>
        <v>B</v>
      </c>
      <c r="E208" s="118" t="str">
        <f ca="1">IFERROR(__xludf.DUMMYFUNCTION("""COMPUTED_VALUE"""),"J")</f>
        <v>J</v>
      </c>
      <c r="F208" s="118" t="str">
        <f ca="1">IFERROR(__xludf.DUMMYFUNCTION("""COMPUTED_VALUE"""),"I")</f>
        <v>I</v>
      </c>
      <c r="G208" s="118">
        <f ca="1">IFERROR(__xludf.DUMMYFUNCTION("""COMPUTED_VALUE"""),5)</f>
        <v>5</v>
      </c>
      <c r="H208" s="118" t="str">
        <f ca="1">IFERROR(__xludf.DUMMYFUNCTION("""COMPUTED_VALUE"""),"CH")</f>
        <v>CH</v>
      </c>
      <c r="I208" s="118">
        <f ca="1">IFERROR(__xludf.DUMMYFUNCTION("""COMPUTED_VALUE"""),7)</f>
        <v>7</v>
      </c>
      <c r="J208" s="118">
        <f ca="1">IFERROR(__xludf.DUMMYFUNCTION("""COMPUTED_VALUE"""),0)</f>
        <v>0</v>
      </c>
      <c r="K208" s="120"/>
      <c r="L208" s="121"/>
      <c r="M208" s="120"/>
      <c r="N208" s="121"/>
      <c r="O208" s="120"/>
      <c r="P208" s="122"/>
      <c r="Q208" s="123" t="str">
        <f ca="1">IFERROR(__xludf.DUMMYFUNCTION("""COMPUTED_VALUE"""),"Chloe Marshall")</f>
        <v>Chloe Marshall</v>
      </c>
      <c r="R208" s="123" t="str">
        <f ca="1">IFERROR(__xludf.DUMMYFUNCTION("""COMPUTED_VALUE"""),"Emmett Shreckhise")</f>
        <v>Emmett Shreckhise</v>
      </c>
      <c r="S208" s="123" t="str">
        <f ca="1">IFERROR(__xludf.DUMMYFUNCTION("""COMPUTED_VALUE"""),"Camille Upton")</f>
        <v>Camille Upton</v>
      </c>
      <c r="T208" s="123" t="str">
        <f ca="1">IFERROR(__xludf.DUMMYFUNCTION("""COMPUTED_VALUE"""),"Cooper Jaskot")</f>
        <v>Cooper Jaskot</v>
      </c>
    </row>
    <row r="209" spans="1:20" ht="13.8">
      <c r="A209" s="118" t="str">
        <f ca="1">IFERROR(__xludf.DUMMYFUNCTION("""COMPUTED_VALUE"""),"CH")</f>
        <v>CH</v>
      </c>
      <c r="B209" s="119" t="str">
        <f ca="1">IFERROR(__xludf.DUMMYFUNCTION("""COMPUTED_VALUE"""),"Oliver Jarvis")</f>
        <v>Oliver Jarvis</v>
      </c>
      <c r="C209" s="118">
        <f ca="1">IFERROR(__xludf.DUMMYFUNCTION("""COMPUTED_VALUE"""),11)</f>
        <v>11</v>
      </c>
      <c r="D209" s="118" t="str">
        <f ca="1">IFERROR(__xludf.DUMMYFUNCTION("""COMPUTED_VALUE"""),"B")</f>
        <v>B</v>
      </c>
      <c r="E209" s="118" t="str">
        <f ca="1">IFERROR(__xludf.DUMMYFUNCTION("""COMPUTED_VALUE"""),"J")</f>
        <v>J</v>
      </c>
      <c r="F209" s="118" t="str">
        <f ca="1">IFERROR(__xludf.DUMMYFUNCTION("""COMPUTED_VALUE"""),"I")</f>
        <v>I</v>
      </c>
      <c r="G209" s="118">
        <f ca="1">IFERROR(__xludf.DUMMYFUNCTION("""COMPUTED_VALUE"""),5)</f>
        <v>5</v>
      </c>
      <c r="H209" s="118" t="str">
        <f ca="1">IFERROR(__xludf.DUMMYFUNCTION("""COMPUTED_VALUE"""),"CH")</f>
        <v>CH</v>
      </c>
      <c r="I209" s="118">
        <f ca="1">IFERROR(__xludf.DUMMYFUNCTION("""COMPUTED_VALUE"""),7)</f>
        <v>7</v>
      </c>
      <c r="J209" s="118">
        <f ca="1">IFERROR(__xludf.DUMMYFUNCTION("""COMPUTED_VALUE"""),0)</f>
        <v>0</v>
      </c>
      <c r="K209" s="120"/>
      <c r="L209" s="121"/>
      <c r="M209" s="120"/>
      <c r="N209" s="121"/>
      <c r="O209" s="120"/>
      <c r="P209" s="122"/>
      <c r="Q209" s="123" t="str">
        <f ca="1">IFERROR(__xludf.DUMMYFUNCTION("""COMPUTED_VALUE"""),"Chloe McNabney")</f>
        <v>Chloe McNabney</v>
      </c>
      <c r="R209" s="123" t="str">
        <f ca="1">IFERROR(__xludf.DUMMYFUNCTION("""COMPUTED_VALUE"""),"Emmett Wiedemann")</f>
        <v>Emmett Wiedemann</v>
      </c>
      <c r="S209" s="123" t="str">
        <f ca="1">IFERROR(__xludf.DUMMYFUNCTION("""COMPUTED_VALUE"""),"Campbell Badini")</f>
        <v>Campbell Badini</v>
      </c>
      <c r="T209" s="123" t="str">
        <f ca="1">IFERROR(__xludf.DUMMYFUNCTION("""COMPUTED_VALUE"""),"Cooper Matthews")</f>
        <v>Cooper Matthews</v>
      </c>
    </row>
    <row r="210" spans="1:20" ht="13.8">
      <c r="A210" s="118" t="str">
        <f ca="1">IFERROR(__xludf.DUMMYFUNCTION("""COMPUTED_VALUE"""),"CH")</f>
        <v>CH</v>
      </c>
      <c r="B210" s="119" t="str">
        <f ca="1">IFERROR(__xludf.DUMMYFUNCTION("""COMPUTED_VALUE"""),"William Beck")</f>
        <v>William Beck</v>
      </c>
      <c r="C210" s="118">
        <f ca="1">IFERROR(__xludf.DUMMYFUNCTION("""COMPUTED_VALUE"""),12)</f>
        <v>12</v>
      </c>
      <c r="D210" s="118" t="str">
        <f ca="1">IFERROR(__xludf.DUMMYFUNCTION("""COMPUTED_VALUE"""),"B")</f>
        <v>B</v>
      </c>
      <c r="E210" s="118" t="str">
        <f ca="1">IFERROR(__xludf.DUMMYFUNCTION("""COMPUTED_VALUE"""),"J")</f>
        <v>J</v>
      </c>
      <c r="F210" s="118" t="str">
        <f ca="1">IFERROR(__xludf.DUMMYFUNCTION("""COMPUTED_VALUE"""),"I")</f>
        <v>I</v>
      </c>
      <c r="G210" s="118">
        <f ca="1">IFERROR(__xludf.DUMMYFUNCTION("""COMPUTED_VALUE"""),5)</f>
        <v>5</v>
      </c>
      <c r="H210" s="118" t="str">
        <f ca="1">IFERROR(__xludf.DUMMYFUNCTION("""COMPUTED_VALUE"""),"CH")</f>
        <v>CH</v>
      </c>
      <c r="I210" s="118">
        <f ca="1">IFERROR(__xludf.DUMMYFUNCTION("""COMPUTED_VALUE"""),7)</f>
        <v>7</v>
      </c>
      <c r="J210" s="118">
        <f ca="1">IFERROR(__xludf.DUMMYFUNCTION("""COMPUTED_VALUE"""),0)</f>
        <v>0</v>
      </c>
      <c r="K210" s="120"/>
      <c r="L210" s="121"/>
      <c r="M210" s="120"/>
      <c r="N210" s="121"/>
      <c r="O210" s="120"/>
      <c r="P210" s="122"/>
      <c r="Q210" s="123" t="str">
        <f ca="1">IFERROR(__xludf.DUMMYFUNCTION("""COMPUTED_VALUE"""),"Chloe Salmons")</f>
        <v>Chloe Salmons</v>
      </c>
      <c r="R210" s="123" t="str">
        <f ca="1">IFERROR(__xludf.DUMMYFUNCTION("""COMPUTED_VALUE"""),"Emmett Wright")</f>
        <v>Emmett Wright</v>
      </c>
      <c r="S210" s="123" t="str">
        <f ca="1">IFERROR(__xludf.DUMMYFUNCTION("""COMPUTED_VALUE"""),"Campbell Black")</f>
        <v>Campbell Black</v>
      </c>
      <c r="T210" s="123" t="str">
        <f ca="1">IFERROR(__xludf.DUMMYFUNCTION("""COMPUTED_VALUE"""),"Cooper Morschauser")</f>
        <v>Cooper Morschauser</v>
      </c>
    </row>
    <row r="211" spans="1:20" ht="13.8">
      <c r="A211" s="118" t="str">
        <f ca="1">IFERROR(__xludf.DUMMYFUNCTION("""COMPUTED_VALUE"""),"CH")</f>
        <v>CH</v>
      </c>
      <c r="B211" s="119" t="str">
        <f ca="1">IFERROR(__xludf.DUMMYFUNCTION("""COMPUTED_VALUE"""),"Cara Lauffer")</f>
        <v>Cara Lauffer</v>
      </c>
      <c r="C211" s="118">
        <f ca="1">IFERROR(__xludf.DUMMYFUNCTION("""COMPUTED_VALUE"""),14)</f>
        <v>14</v>
      </c>
      <c r="D211" s="118" t="str">
        <f ca="1">IFERROR(__xludf.DUMMYFUNCTION("""COMPUTED_VALUE"""),"G")</f>
        <v>G</v>
      </c>
      <c r="E211" s="118" t="str">
        <f ca="1">IFERROR(__xludf.DUMMYFUNCTION("""COMPUTED_VALUE"""),"I")</f>
        <v>I</v>
      </c>
      <c r="F211" s="118" t="str">
        <f ca="1">IFERROR(__xludf.DUMMYFUNCTION("""COMPUTED_VALUE"""),"S")</f>
        <v>S</v>
      </c>
      <c r="G211" s="118">
        <f ca="1">IFERROR(__xludf.DUMMYFUNCTION("""COMPUTED_VALUE"""),5)</f>
        <v>5</v>
      </c>
      <c r="H211" s="118" t="str">
        <f ca="1">IFERROR(__xludf.DUMMYFUNCTION("""COMPUTED_VALUE"""),"CH")</f>
        <v>CH</v>
      </c>
      <c r="I211" s="118">
        <f ca="1">IFERROR(__xludf.DUMMYFUNCTION("""COMPUTED_VALUE"""),8)</f>
        <v>8</v>
      </c>
      <c r="J211" s="118">
        <f ca="1">IFERROR(__xludf.DUMMYFUNCTION("""COMPUTED_VALUE"""),0)</f>
        <v>0</v>
      </c>
      <c r="K211" s="120"/>
      <c r="L211" s="121"/>
      <c r="M211" s="120"/>
      <c r="N211" s="121"/>
      <c r="O211" s="120"/>
      <c r="P211" s="122"/>
      <c r="Q211" s="123" t="str">
        <f ca="1">IFERROR(__xludf.DUMMYFUNCTION("""COMPUTED_VALUE"""),"Chloe Sanglier")</f>
        <v>Chloe Sanglier</v>
      </c>
      <c r="R211" s="123" t="str">
        <f ca="1">IFERROR(__xludf.DUMMYFUNCTION("""COMPUTED_VALUE"""),"Ender Skelton")</f>
        <v>Ender Skelton</v>
      </c>
      <c r="S211" s="123" t="str">
        <f ca="1">IFERROR(__xludf.DUMMYFUNCTION("""COMPUTED_VALUE"""),"Campbell Kurpiel")</f>
        <v>Campbell Kurpiel</v>
      </c>
      <c r="T211" s="123" t="str">
        <f ca="1">IFERROR(__xludf.DUMMYFUNCTION("""COMPUTED_VALUE"""),"Cooper Short")</f>
        <v>Cooper Short</v>
      </c>
    </row>
    <row r="212" spans="1:20" ht="13.8">
      <c r="A212" s="118" t="str">
        <f ca="1">IFERROR(__xludf.DUMMYFUNCTION("""COMPUTED_VALUE"""),"CH")</f>
        <v>CH</v>
      </c>
      <c r="B212" s="119" t="str">
        <f ca="1">IFERROR(__xludf.DUMMYFUNCTION("""COMPUTED_VALUE"""),"Gwyneth Clifton")</f>
        <v>Gwyneth Clifton</v>
      </c>
      <c r="C212" s="118">
        <f ca="1">IFERROR(__xludf.DUMMYFUNCTION("""COMPUTED_VALUE"""),13)</f>
        <v>13</v>
      </c>
      <c r="D212" s="118" t="str">
        <f ca="1">IFERROR(__xludf.DUMMYFUNCTION("""COMPUTED_VALUE"""),"G")</f>
        <v>G</v>
      </c>
      <c r="E212" s="118" t="str">
        <f ca="1">IFERROR(__xludf.DUMMYFUNCTION("""COMPUTED_VALUE"""),"I")</f>
        <v>I</v>
      </c>
      <c r="F212" s="118" t="str">
        <f ca="1">IFERROR(__xludf.DUMMYFUNCTION("""COMPUTED_VALUE"""),"S")</f>
        <v>S</v>
      </c>
      <c r="G212" s="118">
        <f ca="1">IFERROR(__xludf.DUMMYFUNCTION("""COMPUTED_VALUE"""),5)</f>
        <v>5</v>
      </c>
      <c r="H212" s="118" t="str">
        <f ca="1">IFERROR(__xludf.DUMMYFUNCTION("""COMPUTED_VALUE"""),"CH")</f>
        <v>CH</v>
      </c>
      <c r="I212" s="118">
        <f ca="1">IFERROR(__xludf.DUMMYFUNCTION("""COMPUTED_VALUE"""),8)</f>
        <v>8</v>
      </c>
      <c r="J212" s="118">
        <f ca="1">IFERROR(__xludf.DUMMYFUNCTION("""COMPUTED_VALUE"""),1)</f>
        <v>1</v>
      </c>
      <c r="K212" s="120">
        <f ca="1">IFERROR(__xludf.DUMMYFUNCTION("""COMPUTED_VALUE"""),85.85)</f>
        <v>85.85</v>
      </c>
      <c r="L212" s="121"/>
      <c r="M212" s="120"/>
      <c r="N212" s="121"/>
      <c r="O212" s="120"/>
      <c r="P212" s="122"/>
      <c r="Q212" s="123" t="str">
        <f ca="1">IFERROR(__xludf.DUMMYFUNCTION("""COMPUTED_VALUE"""),"Christina Hopke")</f>
        <v>Christina Hopke</v>
      </c>
      <c r="R212" s="123" t="str">
        <f ca="1">IFERROR(__xludf.DUMMYFUNCTION("""COMPUTED_VALUE"""),"Espen Bassett")</f>
        <v>Espen Bassett</v>
      </c>
      <c r="S212" s="123" t="str">
        <f ca="1">IFERROR(__xludf.DUMMYFUNCTION("""COMPUTED_VALUE"""),"Cana Nguyen")</f>
        <v>Cana Nguyen</v>
      </c>
      <c r="T212" s="123" t="str">
        <f ca="1">IFERROR(__xludf.DUMMYFUNCTION("""COMPUTED_VALUE"""),"Cormac DiVincenzo")</f>
        <v>Cormac DiVincenzo</v>
      </c>
    </row>
    <row r="213" spans="1:20" ht="13.8">
      <c r="A213" s="118" t="str">
        <f ca="1">IFERROR(__xludf.DUMMYFUNCTION("""COMPUTED_VALUE"""),"CH")</f>
        <v>CH</v>
      </c>
      <c r="B213" s="119" t="str">
        <f ca="1">IFERROR(__xludf.DUMMYFUNCTION("""COMPUTED_VALUE"""),"Katie Clague")</f>
        <v>Katie Clague</v>
      </c>
      <c r="C213" s="118">
        <f ca="1">IFERROR(__xludf.DUMMYFUNCTION("""COMPUTED_VALUE"""),13)</f>
        <v>13</v>
      </c>
      <c r="D213" s="118" t="str">
        <f ca="1">IFERROR(__xludf.DUMMYFUNCTION("""COMPUTED_VALUE"""),"G")</f>
        <v>G</v>
      </c>
      <c r="E213" s="118" t="str">
        <f ca="1">IFERROR(__xludf.DUMMYFUNCTION("""COMPUTED_VALUE"""),"I")</f>
        <v>I</v>
      </c>
      <c r="F213" s="118" t="str">
        <f ca="1">IFERROR(__xludf.DUMMYFUNCTION("""COMPUTED_VALUE"""),"S")</f>
        <v>S</v>
      </c>
      <c r="G213" s="118">
        <f ca="1">IFERROR(__xludf.DUMMYFUNCTION("""COMPUTED_VALUE"""),5)</f>
        <v>5</v>
      </c>
      <c r="H213" s="118" t="str">
        <f ca="1">IFERROR(__xludf.DUMMYFUNCTION("""COMPUTED_VALUE"""),"CH")</f>
        <v>CH</v>
      </c>
      <c r="I213" s="118">
        <f ca="1">IFERROR(__xludf.DUMMYFUNCTION("""COMPUTED_VALUE"""),8)</f>
        <v>8</v>
      </c>
      <c r="J213" s="118">
        <f ca="1">IFERROR(__xludf.DUMMYFUNCTION("""COMPUTED_VALUE"""),5)</f>
        <v>5</v>
      </c>
      <c r="K213" s="120">
        <f ca="1">IFERROR(__xludf.DUMMYFUNCTION("""COMPUTED_VALUE"""),116.75)</f>
        <v>116.75</v>
      </c>
      <c r="L213" s="121"/>
      <c r="M213" s="120">
        <f ca="1">IFERROR(__xludf.DUMMYFUNCTION("""COMPUTED_VALUE"""),112)</f>
        <v>112</v>
      </c>
      <c r="N213" s="121"/>
      <c r="O213" s="120">
        <f ca="1">IFERROR(__xludf.DUMMYFUNCTION("""COMPUTED_VALUE"""),85.6)</f>
        <v>85.6</v>
      </c>
      <c r="P213" s="122"/>
      <c r="Q213" s="123" t="str">
        <f ca="1">IFERROR(__xludf.DUMMYFUNCTION("""COMPUTED_VALUE"""),"Cierra Zimmermann")</f>
        <v>Cierra Zimmermann</v>
      </c>
      <c r="R213" s="123" t="str">
        <f ca="1">IFERROR(__xludf.DUMMYFUNCTION("""COMPUTED_VALUE"""),"Ethan Cahn")</f>
        <v>Ethan Cahn</v>
      </c>
      <c r="S213" s="123" t="str">
        <f ca="1">IFERROR(__xludf.DUMMYFUNCTION("""COMPUTED_VALUE"""),"Cara Lauffer")</f>
        <v>Cara Lauffer</v>
      </c>
      <c r="T213" s="123" t="str">
        <f ca="1">IFERROR(__xludf.DUMMYFUNCTION("""COMPUTED_VALUE"""),"Cormac Henderson")</f>
        <v>Cormac Henderson</v>
      </c>
    </row>
    <row r="214" spans="1:20" ht="13.8">
      <c r="A214" s="118" t="str">
        <f ca="1">IFERROR(__xludf.DUMMYFUNCTION("""COMPUTED_VALUE"""),"CH")</f>
        <v>CH</v>
      </c>
      <c r="B214" s="119" t="str">
        <f ca="1">IFERROR(__xludf.DUMMYFUNCTION("""COMPUTED_VALUE"""),"Samantha Apgar")</f>
        <v>Samantha Apgar</v>
      </c>
      <c r="C214" s="118">
        <f ca="1">IFERROR(__xludf.DUMMYFUNCTION("""COMPUTED_VALUE"""),14)</f>
        <v>14</v>
      </c>
      <c r="D214" s="118" t="str">
        <f ca="1">IFERROR(__xludf.DUMMYFUNCTION("""COMPUTED_VALUE"""),"G")</f>
        <v>G</v>
      </c>
      <c r="E214" s="118" t="str">
        <f ca="1">IFERROR(__xludf.DUMMYFUNCTION("""COMPUTED_VALUE"""),"I")</f>
        <v>I</v>
      </c>
      <c r="F214" s="118" t="str">
        <f ca="1">IFERROR(__xludf.DUMMYFUNCTION("""COMPUTED_VALUE"""),"S")</f>
        <v>S</v>
      </c>
      <c r="G214" s="118">
        <f ca="1">IFERROR(__xludf.DUMMYFUNCTION("""COMPUTED_VALUE"""),5)</f>
        <v>5</v>
      </c>
      <c r="H214" s="118" t="str">
        <f ca="1">IFERROR(__xludf.DUMMYFUNCTION("""COMPUTED_VALUE"""),"CH")</f>
        <v>CH</v>
      </c>
      <c r="I214" s="118">
        <f ca="1">IFERROR(__xludf.DUMMYFUNCTION("""COMPUTED_VALUE"""),8)</f>
        <v>8</v>
      </c>
      <c r="J214" s="118">
        <f ca="1">IFERROR(__xludf.DUMMYFUNCTION("""COMPUTED_VALUE"""),3)</f>
        <v>3</v>
      </c>
      <c r="K214" s="120">
        <f ca="1">IFERROR(__xludf.DUMMYFUNCTION("""COMPUTED_VALUE"""),139.75)</f>
        <v>139.75</v>
      </c>
      <c r="L214" s="121"/>
      <c r="M214" s="120"/>
      <c r="N214" s="121"/>
      <c r="O214" s="120"/>
      <c r="P214" s="122"/>
      <c r="Q214" s="123" t="str">
        <f ca="1">IFERROR(__xludf.DUMMYFUNCTION("""COMPUTED_VALUE"""),"Claire Beaudoin")</f>
        <v>Claire Beaudoin</v>
      </c>
      <c r="R214" s="123" t="str">
        <f ca="1">IFERROR(__xludf.DUMMYFUNCTION("""COMPUTED_VALUE"""),"Ethan Louie")</f>
        <v>Ethan Louie</v>
      </c>
      <c r="S214" s="123" t="str">
        <f ca="1">IFERROR(__xludf.DUMMYFUNCTION("""COMPUTED_VALUE"""),"Carina Bosco")</f>
        <v>Carina Bosco</v>
      </c>
      <c r="T214" s="123" t="str">
        <f ca="1">IFERROR(__xludf.DUMMYFUNCTION("""COMPUTED_VALUE"""),"Cormac Jackson")</f>
        <v>Cormac Jackson</v>
      </c>
    </row>
    <row r="215" spans="1:20" ht="13.8">
      <c r="A215" s="118" t="str">
        <f ca="1">IFERROR(__xludf.DUMMYFUNCTION("""COMPUTED_VALUE"""),"CH")</f>
        <v>CH</v>
      </c>
      <c r="B215" s="119" t="str">
        <f ca="1">IFERROR(__xludf.DUMMYFUNCTION("""COMPUTED_VALUE"""),"Sophie Ulen")</f>
        <v>Sophie Ulen</v>
      </c>
      <c r="C215" s="118">
        <f ca="1">IFERROR(__xludf.DUMMYFUNCTION("""COMPUTED_VALUE"""),13)</f>
        <v>13</v>
      </c>
      <c r="D215" s="118" t="str">
        <f ca="1">IFERROR(__xludf.DUMMYFUNCTION("""COMPUTED_VALUE"""),"G")</f>
        <v>G</v>
      </c>
      <c r="E215" s="118" t="str">
        <f ca="1">IFERROR(__xludf.DUMMYFUNCTION("""COMPUTED_VALUE"""),"I")</f>
        <v>I</v>
      </c>
      <c r="F215" s="118" t="str">
        <f ca="1">IFERROR(__xludf.DUMMYFUNCTION("""COMPUTED_VALUE"""),"S")</f>
        <v>S</v>
      </c>
      <c r="G215" s="118">
        <f ca="1">IFERROR(__xludf.DUMMYFUNCTION("""COMPUTED_VALUE"""),5)</f>
        <v>5</v>
      </c>
      <c r="H215" s="118" t="str">
        <f ca="1">IFERROR(__xludf.DUMMYFUNCTION("""COMPUTED_VALUE"""),"CH")</f>
        <v>CH</v>
      </c>
      <c r="I215" s="118">
        <f ca="1">IFERROR(__xludf.DUMMYFUNCTION("""COMPUTED_VALUE"""),8)</f>
        <v>8</v>
      </c>
      <c r="J215" s="118">
        <f ca="1">IFERROR(__xludf.DUMMYFUNCTION("""COMPUTED_VALUE"""),2)</f>
        <v>2</v>
      </c>
      <c r="K215" s="120">
        <f ca="1">IFERROR(__xludf.DUMMYFUNCTION("""COMPUTED_VALUE"""),76.75)</f>
        <v>76.75</v>
      </c>
      <c r="L215" s="121"/>
      <c r="M215" s="120"/>
      <c r="N215" s="121"/>
      <c r="O215" s="120">
        <f ca="1">IFERROR(__xludf.DUMMYFUNCTION("""COMPUTED_VALUE"""),76.75)</f>
        <v>76.75</v>
      </c>
      <c r="P215" s="122"/>
      <c r="Q215" s="123" t="str">
        <f ca="1">IFERROR(__xludf.DUMMYFUNCTION("""COMPUTED_VALUE"""),"Claire Bishop")</f>
        <v>Claire Bishop</v>
      </c>
      <c r="R215" s="123" t="str">
        <f ca="1">IFERROR(__xludf.DUMMYFUNCTION("""COMPUTED_VALUE"""),"Ethan Peebles")</f>
        <v>Ethan Peebles</v>
      </c>
      <c r="S215" s="123" t="str">
        <f ca="1">IFERROR(__xludf.DUMMYFUNCTION("""COMPUTED_VALUE"""),"Caris Allen")</f>
        <v>Caris Allen</v>
      </c>
      <c r="T215" s="123" t="str">
        <f ca="1">IFERROR(__xludf.DUMMYFUNCTION("""COMPUTED_VALUE"""),"Cormac Moore")</f>
        <v>Cormac Moore</v>
      </c>
    </row>
    <row r="216" spans="1:20" ht="13.8">
      <c r="A216" s="118" t="str">
        <f ca="1">IFERROR(__xludf.DUMMYFUNCTION("""COMPUTED_VALUE"""),"CH")</f>
        <v>CH</v>
      </c>
      <c r="B216" s="119" t="str">
        <f ca="1">IFERROR(__xludf.DUMMYFUNCTION("""COMPUTED_VALUE"""),"Cooper Jaskot")</f>
        <v>Cooper Jaskot</v>
      </c>
      <c r="C216" s="118">
        <f ca="1">IFERROR(__xludf.DUMMYFUNCTION("""COMPUTED_VALUE"""),13)</f>
        <v>13</v>
      </c>
      <c r="D216" s="118" t="str">
        <f ca="1">IFERROR(__xludf.DUMMYFUNCTION("""COMPUTED_VALUE"""),"B")</f>
        <v>B</v>
      </c>
      <c r="E216" s="118" t="str">
        <f ca="1">IFERROR(__xludf.DUMMYFUNCTION("""COMPUTED_VALUE"""),"I")</f>
        <v>I</v>
      </c>
      <c r="F216" s="118" t="str">
        <f ca="1">IFERROR(__xludf.DUMMYFUNCTION("""COMPUTED_VALUE"""),"S")</f>
        <v>S</v>
      </c>
      <c r="G216" s="118">
        <f ca="1">IFERROR(__xludf.DUMMYFUNCTION("""COMPUTED_VALUE"""),5)</f>
        <v>5</v>
      </c>
      <c r="H216" s="118" t="str">
        <f ca="1">IFERROR(__xludf.DUMMYFUNCTION("""COMPUTED_VALUE"""),"CH")</f>
        <v>CH</v>
      </c>
      <c r="I216" s="118">
        <f ca="1">IFERROR(__xludf.DUMMYFUNCTION("""COMPUTED_VALUE"""),9)</f>
        <v>9</v>
      </c>
      <c r="J216" s="118">
        <f ca="1">IFERROR(__xludf.DUMMYFUNCTION("""COMPUTED_VALUE"""),0)</f>
        <v>0</v>
      </c>
      <c r="K216" s="120"/>
      <c r="L216" s="121"/>
      <c r="M216" s="120"/>
      <c r="N216" s="121"/>
      <c r="O216" s="120"/>
      <c r="P216" s="122"/>
      <c r="Q216" s="123" t="str">
        <f ca="1">IFERROR(__xludf.DUMMYFUNCTION("""COMPUTED_VALUE"""),"Claire Cannon")</f>
        <v>Claire Cannon</v>
      </c>
      <c r="R216" s="123" t="str">
        <f ca="1">IFERROR(__xludf.DUMMYFUNCTION("""COMPUTED_VALUE"""),"Ethan Perkins")</f>
        <v>Ethan Perkins</v>
      </c>
      <c r="S216" s="123" t="str">
        <f ca="1">IFERROR(__xludf.DUMMYFUNCTION("""COMPUTED_VALUE"""),"Carleigh Devlin")</f>
        <v>Carleigh Devlin</v>
      </c>
      <c r="T216" s="123" t="str">
        <f ca="1">IFERROR(__xludf.DUMMYFUNCTION("""COMPUTED_VALUE"""),"Cristiano Garcia")</f>
        <v>Cristiano Garcia</v>
      </c>
    </row>
    <row r="217" spans="1:20" ht="13.8">
      <c r="A217" s="118" t="str">
        <f ca="1">IFERROR(__xludf.DUMMYFUNCTION("""COMPUTED_VALUE"""),"CH")</f>
        <v>CH</v>
      </c>
      <c r="B217" s="119" t="str">
        <f ca="1">IFERROR(__xludf.DUMMYFUNCTION("""COMPUTED_VALUE"""),"Jackson Brabender")</f>
        <v>Jackson Brabender</v>
      </c>
      <c r="C217" s="118">
        <f ca="1">IFERROR(__xludf.DUMMYFUNCTION("""COMPUTED_VALUE"""),14)</f>
        <v>14</v>
      </c>
      <c r="D217" s="118" t="str">
        <f ca="1">IFERROR(__xludf.DUMMYFUNCTION("""COMPUTED_VALUE"""),"B")</f>
        <v>B</v>
      </c>
      <c r="E217" s="118" t="str">
        <f ca="1">IFERROR(__xludf.DUMMYFUNCTION("""COMPUTED_VALUE"""),"I")</f>
        <v>I</v>
      </c>
      <c r="F217" s="118" t="str">
        <f ca="1">IFERROR(__xludf.DUMMYFUNCTION("""COMPUTED_VALUE"""),"S")</f>
        <v>S</v>
      </c>
      <c r="G217" s="118">
        <f ca="1">IFERROR(__xludf.DUMMYFUNCTION("""COMPUTED_VALUE"""),5)</f>
        <v>5</v>
      </c>
      <c r="H217" s="118" t="str">
        <f ca="1">IFERROR(__xludf.DUMMYFUNCTION("""COMPUTED_VALUE"""),"CH")</f>
        <v>CH</v>
      </c>
      <c r="I217" s="118">
        <f ca="1">IFERROR(__xludf.DUMMYFUNCTION("""COMPUTED_VALUE"""),9)</f>
        <v>9</v>
      </c>
      <c r="J217" s="118">
        <f ca="1">IFERROR(__xludf.DUMMYFUNCTION("""COMPUTED_VALUE"""),2)</f>
        <v>2</v>
      </c>
      <c r="K217" s="120">
        <f ca="1">IFERROR(__xludf.DUMMYFUNCTION("""COMPUTED_VALUE"""),100.65)</f>
        <v>100.65</v>
      </c>
      <c r="L217" s="121"/>
      <c r="M217" s="120">
        <f ca="1">IFERROR(__xludf.DUMMYFUNCTION("""COMPUTED_VALUE"""),100.65)</f>
        <v>100.65</v>
      </c>
      <c r="N217" s="121"/>
      <c r="O217" s="120">
        <f ca="1">IFERROR(__xludf.DUMMYFUNCTION("""COMPUTED_VALUE"""),97.6)</f>
        <v>97.6</v>
      </c>
      <c r="P217" s="122"/>
      <c r="Q217" s="123" t="str">
        <f ca="1">IFERROR(__xludf.DUMMYFUNCTION("""COMPUTED_VALUE"""),"Claire Flanagan")</f>
        <v>Claire Flanagan</v>
      </c>
      <c r="R217" s="123" t="str">
        <f ca="1">IFERROR(__xludf.DUMMYFUNCTION("""COMPUTED_VALUE"""),"Ethan Yang")</f>
        <v>Ethan Yang</v>
      </c>
      <c r="S217" s="123" t="str">
        <f ca="1">IFERROR(__xludf.DUMMYFUNCTION("""COMPUTED_VALUE"""),"Carolina Hall")</f>
        <v>Carolina Hall</v>
      </c>
      <c r="T217" s="123" t="str">
        <f ca="1">IFERROR(__xludf.DUMMYFUNCTION("""COMPUTED_VALUE"""),"Currin Wilson")</f>
        <v>Currin Wilson</v>
      </c>
    </row>
    <row r="218" spans="1:20" ht="13.8">
      <c r="A218" s="118" t="str">
        <f ca="1">IFERROR(__xludf.DUMMYFUNCTION("""COMPUTED_VALUE"""),"CH")</f>
        <v>CH</v>
      </c>
      <c r="B218" s="119" t="str">
        <f ca="1">IFERROR(__xludf.DUMMYFUNCTION("""COMPUTED_VALUE"""),"Luke Lauretti")</f>
        <v>Luke Lauretti</v>
      </c>
      <c r="C218" s="118">
        <f ca="1">IFERROR(__xludf.DUMMYFUNCTION("""COMPUTED_VALUE"""),14)</f>
        <v>14</v>
      </c>
      <c r="D218" s="118" t="str">
        <f ca="1">IFERROR(__xludf.DUMMYFUNCTION("""COMPUTED_VALUE"""),"B")</f>
        <v>B</v>
      </c>
      <c r="E218" s="118" t="str">
        <f ca="1">IFERROR(__xludf.DUMMYFUNCTION("""COMPUTED_VALUE"""),"I")</f>
        <v>I</v>
      </c>
      <c r="F218" s="118" t="str">
        <f ca="1">IFERROR(__xludf.DUMMYFUNCTION("""COMPUTED_VALUE"""),"S")</f>
        <v>S</v>
      </c>
      <c r="G218" s="118">
        <f ca="1">IFERROR(__xludf.DUMMYFUNCTION("""COMPUTED_VALUE"""),5)</f>
        <v>5</v>
      </c>
      <c r="H218" s="118" t="str">
        <f ca="1">IFERROR(__xludf.DUMMYFUNCTION("""COMPUTED_VALUE"""),"CH")</f>
        <v>CH</v>
      </c>
      <c r="I218" s="118">
        <f ca="1">IFERROR(__xludf.DUMMYFUNCTION("""COMPUTED_VALUE"""),9)</f>
        <v>9</v>
      </c>
      <c r="J218" s="118">
        <f ca="1">IFERROR(__xludf.DUMMYFUNCTION("""COMPUTED_VALUE"""),5)</f>
        <v>5</v>
      </c>
      <c r="K218" s="120">
        <f ca="1">IFERROR(__xludf.DUMMYFUNCTION("""COMPUTED_VALUE"""),128.4)</f>
        <v>128.4</v>
      </c>
      <c r="L218" s="121"/>
      <c r="M218" s="120">
        <f ca="1">IFERROR(__xludf.DUMMYFUNCTION("""COMPUTED_VALUE"""),113.65)</f>
        <v>113.65</v>
      </c>
      <c r="N218" s="121"/>
      <c r="O218" s="120">
        <f ca="1">IFERROR(__xludf.DUMMYFUNCTION("""COMPUTED_VALUE"""),111.2)</f>
        <v>111.2</v>
      </c>
      <c r="P218" s="122"/>
      <c r="Q218" s="123" t="str">
        <f ca="1">IFERROR(__xludf.DUMMYFUNCTION("""COMPUTED_VALUE"""),"Claire Gallagher")</f>
        <v>Claire Gallagher</v>
      </c>
      <c r="R218" s="123" t="str">
        <f ca="1">IFERROR(__xludf.DUMMYFUNCTION("""COMPUTED_VALUE"""),"Euston Birkelbach")</f>
        <v>Euston Birkelbach</v>
      </c>
      <c r="S218" s="123" t="str">
        <f ca="1">IFERROR(__xludf.DUMMYFUNCTION("""COMPUTED_VALUE"""),"Carolina Neill")</f>
        <v>Carolina Neill</v>
      </c>
      <c r="T218" s="123" t="str">
        <f ca="1">IFERROR(__xludf.DUMMYFUNCTION("""COMPUTED_VALUE"""),"Curt Berry")</f>
        <v>Curt Berry</v>
      </c>
    </row>
    <row r="219" spans="1:20" ht="13.8">
      <c r="A219" s="118" t="str">
        <f ca="1">IFERROR(__xludf.DUMMYFUNCTION("""COMPUTED_VALUE"""),"CH")</f>
        <v>CH</v>
      </c>
      <c r="B219" s="119" t="str">
        <f ca="1">IFERROR(__xludf.DUMMYFUNCTION("""COMPUTED_VALUE"""),"Nate Butler")</f>
        <v>Nate Butler</v>
      </c>
      <c r="C219" s="118">
        <f ca="1">IFERROR(__xludf.DUMMYFUNCTION("""COMPUTED_VALUE"""),14)</f>
        <v>14</v>
      </c>
      <c r="D219" s="118" t="str">
        <f ca="1">IFERROR(__xludf.DUMMYFUNCTION("""COMPUTED_VALUE"""),"B")</f>
        <v>B</v>
      </c>
      <c r="E219" s="118" t="str">
        <f ca="1">IFERROR(__xludf.DUMMYFUNCTION("""COMPUTED_VALUE"""),"I")</f>
        <v>I</v>
      </c>
      <c r="F219" s="118" t="str">
        <f ca="1">IFERROR(__xludf.DUMMYFUNCTION("""COMPUTED_VALUE"""),"S")</f>
        <v>S</v>
      </c>
      <c r="G219" s="118">
        <f ca="1">IFERROR(__xludf.DUMMYFUNCTION("""COMPUTED_VALUE"""),5)</f>
        <v>5</v>
      </c>
      <c r="H219" s="118" t="str">
        <f ca="1">IFERROR(__xludf.DUMMYFUNCTION("""COMPUTED_VALUE"""),"CH")</f>
        <v>CH</v>
      </c>
      <c r="I219" s="118">
        <f ca="1">IFERROR(__xludf.DUMMYFUNCTION("""COMPUTED_VALUE"""),9)</f>
        <v>9</v>
      </c>
      <c r="J219" s="118">
        <f ca="1">IFERROR(__xludf.DUMMYFUNCTION("""COMPUTED_VALUE"""),5)</f>
        <v>5</v>
      </c>
      <c r="K219" s="120">
        <f ca="1">IFERROR(__xludf.DUMMYFUNCTION("""COMPUTED_VALUE"""),117.4)</f>
        <v>117.4</v>
      </c>
      <c r="L219" s="121"/>
      <c r="M219" s="120">
        <f ca="1">IFERROR(__xludf.DUMMYFUNCTION("""COMPUTED_VALUE"""),92.75)</f>
        <v>92.75</v>
      </c>
      <c r="N219" s="121"/>
      <c r="O219" s="120">
        <f ca="1">IFERROR(__xludf.DUMMYFUNCTION("""COMPUTED_VALUE"""),95.85)</f>
        <v>95.85</v>
      </c>
      <c r="P219" s="122"/>
      <c r="Q219" s="123" t="str">
        <f ca="1">IFERROR(__xludf.DUMMYFUNCTION("""COMPUTED_VALUE"""),"Claire Keating")</f>
        <v>Claire Keating</v>
      </c>
      <c r="R219" s="123" t="str">
        <f ca="1">IFERROR(__xludf.DUMMYFUNCTION("""COMPUTED_VALUE"""),"Evan Chen")</f>
        <v>Evan Chen</v>
      </c>
      <c r="S219" s="123" t="str">
        <f ca="1">IFERROR(__xludf.DUMMYFUNCTION("""COMPUTED_VALUE"""),"Caroline Berry")</f>
        <v>Caroline Berry</v>
      </c>
      <c r="T219" s="123" t="str">
        <f ca="1">IFERROR(__xludf.DUMMYFUNCTION("""COMPUTED_VALUE"""),"Curtis Richardson")</f>
        <v>Curtis Richardson</v>
      </c>
    </row>
    <row r="220" spans="1:20" ht="13.8">
      <c r="A220" s="118" t="str">
        <f ca="1">IFERROR(__xludf.DUMMYFUNCTION("""COMPUTED_VALUE"""),"CH")</f>
        <v>CH</v>
      </c>
      <c r="B220" s="119" t="str">
        <f ca="1">IFERROR(__xludf.DUMMYFUNCTION("""COMPUTED_VALUE"""),"Noah Gatewood")</f>
        <v>Noah Gatewood</v>
      </c>
      <c r="C220" s="118">
        <f ca="1">IFERROR(__xludf.DUMMYFUNCTION("""COMPUTED_VALUE"""),13)</f>
        <v>13</v>
      </c>
      <c r="D220" s="118" t="str">
        <f ca="1">IFERROR(__xludf.DUMMYFUNCTION("""COMPUTED_VALUE"""),"B")</f>
        <v>B</v>
      </c>
      <c r="E220" s="118" t="str">
        <f ca="1">IFERROR(__xludf.DUMMYFUNCTION("""COMPUTED_VALUE"""),"I")</f>
        <v>I</v>
      </c>
      <c r="F220" s="118" t="str">
        <f ca="1">IFERROR(__xludf.DUMMYFUNCTION("""COMPUTED_VALUE"""),"S")</f>
        <v>S</v>
      </c>
      <c r="G220" s="118">
        <f ca="1">IFERROR(__xludf.DUMMYFUNCTION("""COMPUTED_VALUE"""),5)</f>
        <v>5</v>
      </c>
      <c r="H220" s="118" t="str">
        <f ca="1">IFERROR(__xludf.DUMMYFUNCTION("""COMPUTED_VALUE"""),"CH")</f>
        <v>CH</v>
      </c>
      <c r="I220" s="118">
        <f ca="1">IFERROR(__xludf.DUMMYFUNCTION("""COMPUTED_VALUE"""),9)</f>
        <v>9</v>
      </c>
      <c r="J220" s="118">
        <f ca="1">IFERROR(__xludf.DUMMYFUNCTION("""COMPUTED_VALUE"""),0)</f>
        <v>0</v>
      </c>
      <c r="K220" s="120"/>
      <c r="L220" s="121"/>
      <c r="M220" s="120"/>
      <c r="N220" s="121"/>
      <c r="O220" s="120"/>
      <c r="P220" s="122"/>
      <c r="Q220" s="123" t="str">
        <f ca="1">IFERROR(__xludf.DUMMYFUNCTION("""COMPUTED_VALUE"""),"Claire McAsey")</f>
        <v>Claire McAsey</v>
      </c>
      <c r="R220" s="123" t="str">
        <f ca="1">IFERROR(__xludf.DUMMYFUNCTION("""COMPUTED_VALUE"""),"Evan Tan")</f>
        <v>Evan Tan</v>
      </c>
      <c r="S220" s="123" t="str">
        <f ca="1">IFERROR(__xludf.DUMMYFUNCTION("""COMPUTED_VALUE"""),"Caroline Copes")</f>
        <v>Caroline Copes</v>
      </c>
      <c r="T220" s="123" t="str">
        <f ca="1">IFERROR(__xludf.DUMMYFUNCTION("""COMPUTED_VALUE"""),"Daniel Ahern")</f>
        <v>Daniel Ahern</v>
      </c>
    </row>
    <row r="221" spans="1:20" ht="13.8">
      <c r="A221" s="118" t="str">
        <f ca="1">IFERROR(__xludf.DUMMYFUNCTION("""COMPUTED_VALUE"""),"CH")</f>
        <v>CH</v>
      </c>
      <c r="B221" s="119" t="str">
        <f ca="1">IFERROR(__xludf.DUMMYFUNCTION("""COMPUTED_VALUE"""),"Ali Gurganus")</f>
        <v>Ali Gurganus</v>
      </c>
      <c r="C221" s="118">
        <f ca="1">IFERROR(__xludf.DUMMYFUNCTION("""COMPUTED_VALUE"""),15)</f>
        <v>15</v>
      </c>
      <c r="D221" s="118" t="str">
        <f ca="1">IFERROR(__xludf.DUMMYFUNCTION("""COMPUTED_VALUE"""),"G")</f>
        <v>G</v>
      </c>
      <c r="E221" s="118" t="str">
        <f ca="1">IFERROR(__xludf.DUMMYFUNCTION("""COMPUTED_VALUE"""),"S")</f>
        <v>S</v>
      </c>
      <c r="F221" s="118" t="str">
        <f ca="1">IFERROR(__xludf.DUMMYFUNCTION("""COMPUTED_VALUE"""),"S")</f>
        <v>S</v>
      </c>
      <c r="G221" s="118">
        <f ca="1">IFERROR(__xludf.DUMMYFUNCTION("""COMPUTED_VALUE"""),5)</f>
        <v>5</v>
      </c>
      <c r="H221" s="118" t="str">
        <f ca="1">IFERROR(__xludf.DUMMYFUNCTION("""COMPUTED_VALUE"""),"CH")</f>
        <v>CH</v>
      </c>
      <c r="I221" s="118">
        <f ca="1">IFERROR(__xludf.DUMMYFUNCTION("""COMPUTED_VALUE"""),10)</f>
        <v>10</v>
      </c>
      <c r="J221" s="118">
        <f ca="1">IFERROR(__xludf.DUMMYFUNCTION("""COMPUTED_VALUE"""),4)</f>
        <v>4</v>
      </c>
      <c r="K221" s="120">
        <f ca="1">IFERROR(__xludf.DUMMYFUNCTION("""COMPUTED_VALUE"""),144.65)</f>
        <v>144.65</v>
      </c>
      <c r="L221" s="121"/>
      <c r="M221" s="120"/>
      <c r="N221" s="121"/>
      <c r="O221" s="120">
        <f ca="1">IFERROR(__xludf.DUMMYFUNCTION("""COMPUTED_VALUE"""),132.6)</f>
        <v>132.6</v>
      </c>
      <c r="P221" s="122"/>
      <c r="Q221" s="123" t="str">
        <f ca="1">IFERROR(__xludf.DUMMYFUNCTION("""COMPUTED_VALUE"""),"Claire Scarlett")</f>
        <v>Claire Scarlett</v>
      </c>
      <c r="R221" s="123" t="str">
        <f ca="1">IFERROR(__xludf.DUMMYFUNCTION("""COMPUTED_VALUE"""),"Everett Hessell")</f>
        <v>Everett Hessell</v>
      </c>
      <c r="S221" s="123" t="str">
        <f ca="1">IFERROR(__xludf.DUMMYFUNCTION("""COMPUTED_VALUE"""),"Caroline Markey")</f>
        <v>Caroline Markey</v>
      </c>
      <c r="T221" s="123" t="str">
        <f ca="1">IFERROR(__xludf.DUMMYFUNCTION("""COMPUTED_VALUE"""),"Daniel Cate")</f>
        <v>Daniel Cate</v>
      </c>
    </row>
    <row r="222" spans="1:20" ht="13.8">
      <c r="A222" s="118" t="str">
        <f ca="1">IFERROR(__xludf.DUMMYFUNCTION("""COMPUTED_VALUE"""),"CH")</f>
        <v>CH</v>
      </c>
      <c r="B222" s="119" t="str">
        <f ca="1">IFERROR(__xludf.DUMMYFUNCTION("""COMPUTED_VALUE"""),"Allie Reback")</f>
        <v>Allie Reback</v>
      </c>
      <c r="C222" s="118">
        <f ca="1">IFERROR(__xludf.DUMMYFUNCTION("""COMPUTED_VALUE"""),17)</f>
        <v>17</v>
      </c>
      <c r="D222" s="118" t="str">
        <f ca="1">IFERROR(__xludf.DUMMYFUNCTION("""COMPUTED_VALUE"""),"G")</f>
        <v>G</v>
      </c>
      <c r="E222" s="118" t="str">
        <f ca="1">IFERROR(__xludf.DUMMYFUNCTION("""COMPUTED_VALUE"""),"S")</f>
        <v>S</v>
      </c>
      <c r="F222" s="118" t="str">
        <f ca="1">IFERROR(__xludf.DUMMYFUNCTION("""COMPUTED_VALUE"""),"S")</f>
        <v>S</v>
      </c>
      <c r="G222" s="118">
        <f ca="1">IFERROR(__xludf.DUMMYFUNCTION("""COMPUTED_VALUE"""),5)</f>
        <v>5</v>
      </c>
      <c r="H222" s="118" t="str">
        <f ca="1">IFERROR(__xludf.DUMMYFUNCTION("""COMPUTED_VALUE"""),"CH")</f>
        <v>CH</v>
      </c>
      <c r="I222" s="118">
        <f ca="1">IFERROR(__xludf.DUMMYFUNCTION("""COMPUTED_VALUE"""),10)</f>
        <v>10</v>
      </c>
      <c r="J222" s="118">
        <f ca="1">IFERROR(__xludf.DUMMYFUNCTION("""COMPUTED_VALUE"""),4)</f>
        <v>4</v>
      </c>
      <c r="K222" s="120">
        <f ca="1">IFERROR(__xludf.DUMMYFUNCTION("""COMPUTED_VALUE"""),185.3)</f>
        <v>185.3</v>
      </c>
      <c r="L222" s="121"/>
      <c r="M222" s="120">
        <f ca="1">IFERROR(__xludf.DUMMYFUNCTION("""COMPUTED_VALUE"""),169.5)</f>
        <v>169.5</v>
      </c>
      <c r="N222" s="121"/>
      <c r="O222" s="120">
        <f ca="1">IFERROR(__xludf.DUMMYFUNCTION("""COMPUTED_VALUE"""),164.25)</f>
        <v>164.25</v>
      </c>
      <c r="P222" s="122"/>
      <c r="Q222" s="123" t="str">
        <f ca="1">IFERROR(__xludf.DUMMYFUNCTION("""COMPUTED_VALUE"""),"Claire Spinnler")</f>
        <v>Claire Spinnler</v>
      </c>
      <c r="R222" s="123" t="str">
        <f ca="1">IFERROR(__xludf.DUMMYFUNCTION("""COMPUTED_VALUE"""),"Ewan Girard")</f>
        <v>Ewan Girard</v>
      </c>
      <c r="S222" s="123" t="str">
        <f ca="1">IFERROR(__xludf.DUMMYFUNCTION("""COMPUTED_VALUE"""),"Caroline McAsey")</f>
        <v>Caroline McAsey</v>
      </c>
      <c r="T222" s="123" t="str">
        <f ca="1">IFERROR(__xludf.DUMMYFUNCTION("""COMPUTED_VALUE"""),"Daniel McKinnon")</f>
        <v>Daniel McKinnon</v>
      </c>
    </row>
    <row r="223" spans="1:20" ht="13.8">
      <c r="A223" s="118" t="str">
        <f ca="1">IFERROR(__xludf.DUMMYFUNCTION("""COMPUTED_VALUE"""),"CH")</f>
        <v>CH</v>
      </c>
      <c r="B223" s="119" t="str">
        <f ca="1">IFERROR(__xludf.DUMMYFUNCTION("""COMPUTED_VALUE"""),"Caitlin Holtaway")</f>
        <v>Caitlin Holtaway</v>
      </c>
      <c r="C223" s="118">
        <f ca="1">IFERROR(__xludf.DUMMYFUNCTION("""COMPUTED_VALUE"""),15)</f>
        <v>15</v>
      </c>
      <c r="D223" s="118" t="str">
        <f ca="1">IFERROR(__xludf.DUMMYFUNCTION("""COMPUTED_VALUE"""),"G")</f>
        <v>G</v>
      </c>
      <c r="E223" s="118" t="str">
        <f ca="1">IFERROR(__xludf.DUMMYFUNCTION("""COMPUTED_VALUE"""),"S")</f>
        <v>S</v>
      </c>
      <c r="F223" s="118" t="str">
        <f ca="1">IFERROR(__xludf.DUMMYFUNCTION("""COMPUTED_VALUE"""),"S")</f>
        <v>S</v>
      </c>
      <c r="G223" s="118">
        <f ca="1">IFERROR(__xludf.DUMMYFUNCTION("""COMPUTED_VALUE"""),5)</f>
        <v>5</v>
      </c>
      <c r="H223" s="118" t="str">
        <f ca="1">IFERROR(__xludf.DUMMYFUNCTION("""COMPUTED_VALUE"""),"CH")</f>
        <v>CH</v>
      </c>
      <c r="I223" s="118">
        <f ca="1">IFERROR(__xludf.DUMMYFUNCTION("""COMPUTED_VALUE"""),10)</f>
        <v>10</v>
      </c>
      <c r="J223" s="118">
        <f ca="1">IFERROR(__xludf.DUMMYFUNCTION("""COMPUTED_VALUE"""),4)</f>
        <v>4</v>
      </c>
      <c r="K223" s="120">
        <f ca="1">IFERROR(__xludf.DUMMYFUNCTION("""COMPUTED_VALUE"""),160)</f>
        <v>160</v>
      </c>
      <c r="L223" s="121"/>
      <c r="M223" s="120">
        <f ca="1">IFERROR(__xludf.DUMMYFUNCTION("""COMPUTED_VALUE"""),146)</f>
        <v>146</v>
      </c>
      <c r="N223" s="121"/>
      <c r="O223" s="120">
        <f ca="1">IFERROR(__xludf.DUMMYFUNCTION("""COMPUTED_VALUE"""),149.6)</f>
        <v>149.6</v>
      </c>
      <c r="P223" s="122"/>
      <c r="Q223" s="123" t="str">
        <f ca="1">IFERROR(__xludf.DUMMYFUNCTION("""COMPUTED_VALUE"""),"Claire Villella")</f>
        <v>Claire Villella</v>
      </c>
      <c r="R223" s="123" t="str">
        <f ca="1">IFERROR(__xludf.DUMMYFUNCTION("""COMPUTED_VALUE"""),"Ezra Landman")</f>
        <v>Ezra Landman</v>
      </c>
      <c r="S223" s="123" t="str">
        <f ca="1">IFERROR(__xludf.DUMMYFUNCTION("""COMPUTED_VALUE"""),"Caroline Null")</f>
        <v>Caroline Null</v>
      </c>
      <c r="T223" s="123" t="str">
        <f ca="1">IFERROR(__xludf.DUMMYFUNCTION("""COMPUTED_VALUE"""),"Daniel Nelson")</f>
        <v>Daniel Nelson</v>
      </c>
    </row>
    <row r="224" spans="1:20" ht="13.8">
      <c r="A224" s="118" t="str">
        <f ca="1">IFERROR(__xludf.DUMMYFUNCTION("""COMPUTED_VALUE"""),"CH")</f>
        <v>CH</v>
      </c>
      <c r="B224" s="119" t="str">
        <f ca="1">IFERROR(__xludf.DUMMYFUNCTION("""COMPUTED_VALUE"""),"Dani Rothman")</f>
        <v>Dani Rothman</v>
      </c>
      <c r="C224" s="118">
        <f ca="1">IFERROR(__xludf.DUMMYFUNCTION("""COMPUTED_VALUE"""),15)</f>
        <v>15</v>
      </c>
      <c r="D224" s="118" t="str">
        <f ca="1">IFERROR(__xludf.DUMMYFUNCTION("""COMPUTED_VALUE"""),"G")</f>
        <v>G</v>
      </c>
      <c r="E224" s="118" t="str">
        <f ca="1">IFERROR(__xludf.DUMMYFUNCTION("""COMPUTED_VALUE"""),"S")</f>
        <v>S</v>
      </c>
      <c r="F224" s="118" t="str">
        <f ca="1">IFERROR(__xludf.DUMMYFUNCTION("""COMPUTED_VALUE"""),"S")</f>
        <v>S</v>
      </c>
      <c r="G224" s="118">
        <f ca="1">IFERROR(__xludf.DUMMYFUNCTION("""COMPUTED_VALUE"""),5)</f>
        <v>5</v>
      </c>
      <c r="H224" s="118" t="str">
        <f ca="1">IFERROR(__xludf.DUMMYFUNCTION("""COMPUTED_VALUE"""),"CH")</f>
        <v>CH</v>
      </c>
      <c r="I224" s="118">
        <f ca="1">IFERROR(__xludf.DUMMYFUNCTION("""COMPUTED_VALUE"""),10)</f>
        <v>10</v>
      </c>
      <c r="J224" s="118">
        <f ca="1">IFERROR(__xludf.DUMMYFUNCTION("""COMPUTED_VALUE"""),1)</f>
        <v>1</v>
      </c>
      <c r="K224" s="120"/>
      <c r="L224" s="121"/>
      <c r="M224" s="120"/>
      <c r="N224" s="121"/>
      <c r="O224" s="120"/>
      <c r="P224" s="122"/>
      <c r="Q224" s="123" t="str">
        <f ca="1">IFERROR(__xludf.DUMMYFUNCTION("""COMPUTED_VALUE"""),"Claire Webster")</f>
        <v>Claire Webster</v>
      </c>
      <c r="R224" s="123" t="str">
        <f ca="1">IFERROR(__xludf.DUMMYFUNCTION("""COMPUTED_VALUE"""),"Ezra Sherer")</f>
        <v>Ezra Sherer</v>
      </c>
      <c r="S224" s="123" t="str">
        <f ca="1">IFERROR(__xludf.DUMMYFUNCTION("""COMPUTED_VALUE"""),"Caroline Reilly")</f>
        <v>Caroline Reilly</v>
      </c>
      <c r="T224" s="123" t="str">
        <f ca="1">IFERROR(__xludf.DUMMYFUNCTION("""COMPUTED_VALUE"""),"Daniel Pinto")</f>
        <v>Daniel Pinto</v>
      </c>
    </row>
    <row r="225" spans="1:20" ht="13.8">
      <c r="A225" s="118" t="str">
        <f ca="1">IFERROR(__xludf.DUMMYFUNCTION("""COMPUTED_VALUE"""),"CH")</f>
        <v>CH</v>
      </c>
      <c r="B225" s="119" t="str">
        <f ca="1">IFERROR(__xludf.DUMMYFUNCTION("""COMPUTED_VALUE"""),"Rebecca Rothman")</f>
        <v>Rebecca Rothman</v>
      </c>
      <c r="C225" s="118">
        <f ca="1">IFERROR(__xludf.DUMMYFUNCTION("""COMPUTED_VALUE"""),15)</f>
        <v>15</v>
      </c>
      <c r="D225" s="118" t="str">
        <f ca="1">IFERROR(__xludf.DUMMYFUNCTION("""COMPUTED_VALUE"""),"G")</f>
        <v>G</v>
      </c>
      <c r="E225" s="118" t="str">
        <f ca="1">IFERROR(__xludf.DUMMYFUNCTION("""COMPUTED_VALUE"""),"S")</f>
        <v>S</v>
      </c>
      <c r="F225" s="118" t="str">
        <f ca="1">IFERROR(__xludf.DUMMYFUNCTION("""COMPUTED_VALUE"""),"S")</f>
        <v>S</v>
      </c>
      <c r="G225" s="118">
        <f ca="1">IFERROR(__xludf.DUMMYFUNCTION("""COMPUTED_VALUE"""),5)</f>
        <v>5</v>
      </c>
      <c r="H225" s="118" t="str">
        <f ca="1">IFERROR(__xludf.DUMMYFUNCTION("""COMPUTED_VALUE"""),"CH")</f>
        <v>CH</v>
      </c>
      <c r="I225" s="118">
        <f ca="1">IFERROR(__xludf.DUMMYFUNCTION("""COMPUTED_VALUE"""),10)</f>
        <v>10</v>
      </c>
      <c r="J225" s="118">
        <f ca="1">IFERROR(__xludf.DUMMYFUNCTION("""COMPUTED_VALUE"""),4)</f>
        <v>4</v>
      </c>
      <c r="K225" s="120">
        <f ca="1">IFERROR(__xludf.DUMMYFUNCTION("""COMPUTED_VALUE"""),144.6)</f>
        <v>144.6</v>
      </c>
      <c r="L225" s="121"/>
      <c r="M225" s="120"/>
      <c r="N225" s="121"/>
      <c r="O225" s="120">
        <f ca="1">IFERROR(__xludf.DUMMYFUNCTION("""COMPUTED_VALUE"""),115)</f>
        <v>115</v>
      </c>
      <c r="P225" s="122"/>
      <c r="Q225" s="123" t="str">
        <f ca="1">IFERROR(__xludf.DUMMYFUNCTION("""COMPUTED_VALUE"""),"Claire Yurgil")</f>
        <v>Claire Yurgil</v>
      </c>
      <c r="R225" s="123" t="str">
        <f ca="1">IFERROR(__xludf.DUMMYFUNCTION("""COMPUTED_VALUE"""),"Faustino Fredes")</f>
        <v>Faustino Fredes</v>
      </c>
      <c r="S225" s="123" t="str">
        <f ca="1">IFERROR(__xludf.DUMMYFUNCTION("""COMPUTED_VALUE"""),"Caroline Sterling")</f>
        <v>Caroline Sterling</v>
      </c>
      <c r="T225" s="123" t="str">
        <f ca="1">IFERROR(__xludf.DUMMYFUNCTION("""COMPUTED_VALUE"""),"Daniel Roques")</f>
        <v>Daniel Roques</v>
      </c>
    </row>
    <row r="226" spans="1:20" ht="13.8">
      <c r="A226" s="118" t="str">
        <f ca="1">IFERROR(__xludf.DUMMYFUNCTION("""COMPUTED_VALUE"""),"CH")</f>
        <v>CH</v>
      </c>
      <c r="B226" s="119" t="str">
        <f ca="1">IFERROR(__xludf.DUMMYFUNCTION("""COMPUTED_VALUE"""),"Sarah Manson")</f>
        <v>Sarah Manson</v>
      </c>
      <c r="C226" s="118">
        <f ca="1">IFERROR(__xludf.DUMMYFUNCTION("""COMPUTED_VALUE"""),18)</f>
        <v>18</v>
      </c>
      <c r="D226" s="118" t="str">
        <f ca="1">IFERROR(__xludf.DUMMYFUNCTION("""COMPUTED_VALUE"""),"G")</f>
        <v>G</v>
      </c>
      <c r="E226" s="118" t="str">
        <f ca="1">IFERROR(__xludf.DUMMYFUNCTION("""COMPUTED_VALUE"""),"S")</f>
        <v>S</v>
      </c>
      <c r="F226" s="118" t="str">
        <f ca="1">IFERROR(__xludf.DUMMYFUNCTION("""COMPUTED_VALUE"""),"S")</f>
        <v>S</v>
      </c>
      <c r="G226" s="118">
        <f ca="1">IFERROR(__xludf.DUMMYFUNCTION("""COMPUTED_VALUE"""),5)</f>
        <v>5</v>
      </c>
      <c r="H226" s="118" t="str">
        <f ca="1">IFERROR(__xludf.DUMMYFUNCTION("""COMPUTED_VALUE"""),"CH")</f>
        <v>CH</v>
      </c>
      <c r="I226" s="118">
        <f ca="1">IFERROR(__xludf.DUMMYFUNCTION("""COMPUTED_VALUE"""),10)</f>
        <v>10</v>
      </c>
      <c r="J226" s="118">
        <f ca="1">IFERROR(__xludf.DUMMYFUNCTION("""COMPUTED_VALUE"""),1)</f>
        <v>1</v>
      </c>
      <c r="K226" s="120">
        <f ca="1">IFERROR(__xludf.DUMMYFUNCTION("""COMPUTED_VALUE"""),153.2)</f>
        <v>153.19999999999999</v>
      </c>
      <c r="L226" s="121"/>
      <c r="M226" s="120">
        <f ca="1">IFERROR(__xludf.DUMMYFUNCTION("""COMPUTED_VALUE"""),153.2)</f>
        <v>153.19999999999999</v>
      </c>
      <c r="N226" s="121"/>
      <c r="O226" s="120"/>
      <c r="P226" s="122"/>
      <c r="Q226" s="123" t="str">
        <f ca="1">IFERROR(__xludf.DUMMYFUNCTION("""COMPUTED_VALUE"""),"Clara Beatty")</f>
        <v>Clara Beatty</v>
      </c>
      <c r="R226" s="123" t="str">
        <f ca="1">IFERROR(__xludf.DUMMYFUNCTION("""COMPUTED_VALUE"""),"Felix Harte")</f>
        <v>Felix Harte</v>
      </c>
      <c r="S226" s="123" t="str">
        <f ca="1">IFERROR(__xludf.DUMMYFUNCTION("""COMPUTED_VALUE"""),"Caroline Van Order")</f>
        <v>Caroline Van Order</v>
      </c>
      <c r="T226" s="123" t="str">
        <f ca="1">IFERROR(__xludf.DUMMYFUNCTION("""COMPUTED_VALUE"""),"Dara Mazahery")</f>
        <v>Dara Mazahery</v>
      </c>
    </row>
    <row r="227" spans="1:20" ht="13.8">
      <c r="A227" s="118" t="str">
        <f ca="1">IFERROR(__xludf.DUMMYFUNCTION("""COMPUTED_VALUE"""),"CH")</f>
        <v>CH</v>
      </c>
      <c r="B227" s="119" t="str">
        <f ca="1">IFERROR(__xludf.DUMMYFUNCTION("""COMPUTED_VALUE"""),"Shirin Abadian")</f>
        <v>Shirin Abadian</v>
      </c>
      <c r="C227" s="118">
        <f ca="1">IFERROR(__xludf.DUMMYFUNCTION("""COMPUTED_VALUE"""),17)</f>
        <v>17</v>
      </c>
      <c r="D227" s="118" t="str">
        <f ca="1">IFERROR(__xludf.DUMMYFUNCTION("""COMPUTED_VALUE"""),"G")</f>
        <v>G</v>
      </c>
      <c r="E227" s="118" t="str">
        <f ca="1">IFERROR(__xludf.DUMMYFUNCTION("""COMPUTED_VALUE"""),"S")</f>
        <v>S</v>
      </c>
      <c r="F227" s="118" t="str">
        <f ca="1">IFERROR(__xludf.DUMMYFUNCTION("""COMPUTED_VALUE"""),"S")</f>
        <v>S</v>
      </c>
      <c r="G227" s="118">
        <f ca="1">IFERROR(__xludf.DUMMYFUNCTION("""COMPUTED_VALUE"""),5)</f>
        <v>5</v>
      </c>
      <c r="H227" s="118" t="str">
        <f ca="1">IFERROR(__xludf.DUMMYFUNCTION("""COMPUTED_VALUE"""),"CH")</f>
        <v>CH</v>
      </c>
      <c r="I227" s="118">
        <f ca="1">IFERROR(__xludf.DUMMYFUNCTION("""COMPUTED_VALUE"""),10)</f>
        <v>10</v>
      </c>
      <c r="J227" s="118">
        <f ca="1">IFERROR(__xludf.DUMMYFUNCTION("""COMPUTED_VALUE"""),0)</f>
        <v>0</v>
      </c>
      <c r="K227" s="120"/>
      <c r="L227" s="121"/>
      <c r="M227" s="120"/>
      <c r="N227" s="121"/>
      <c r="O227" s="120"/>
      <c r="P227" s="122"/>
      <c r="Q227" s="123" t="str">
        <f ca="1">IFERROR(__xludf.DUMMYFUNCTION("""COMPUTED_VALUE"""),"Clara Berkey")</f>
        <v>Clara Berkey</v>
      </c>
      <c r="R227" s="123" t="str">
        <f ca="1">IFERROR(__xludf.DUMMYFUNCTION("""COMPUTED_VALUE"""),"Finley O'Driscoll")</f>
        <v>Finley O'Driscoll</v>
      </c>
      <c r="S227" s="123" t="str">
        <f ca="1">IFERROR(__xludf.DUMMYFUNCTION("""COMPUTED_VALUE"""),"Caroline Wilson")</f>
        <v>Caroline Wilson</v>
      </c>
      <c r="T227" s="123" t="str">
        <f ca="1">IFERROR(__xludf.DUMMYFUNCTION("""COMPUTED_VALUE"""),"Davey Scharre")</f>
        <v>Davey Scharre</v>
      </c>
    </row>
    <row r="228" spans="1:20" ht="13.8">
      <c r="A228" s="118" t="str">
        <f ca="1">IFERROR(__xludf.DUMMYFUNCTION("""COMPUTED_VALUE"""),"CH")</f>
        <v>CH</v>
      </c>
      <c r="B228" s="119" t="str">
        <f ca="1">IFERROR(__xludf.DUMMYFUNCTION("""COMPUTED_VALUE"""),"Suki Golley")</f>
        <v>Suki Golley</v>
      </c>
      <c r="C228" s="118">
        <f ca="1">IFERROR(__xludf.DUMMYFUNCTION("""COMPUTED_VALUE"""),16)</f>
        <v>16</v>
      </c>
      <c r="D228" s="118" t="str">
        <f ca="1">IFERROR(__xludf.DUMMYFUNCTION("""COMPUTED_VALUE"""),"G")</f>
        <v>G</v>
      </c>
      <c r="E228" s="118" t="str">
        <f ca="1">IFERROR(__xludf.DUMMYFUNCTION("""COMPUTED_VALUE"""),"S")</f>
        <v>S</v>
      </c>
      <c r="F228" s="118" t="str">
        <f ca="1">IFERROR(__xludf.DUMMYFUNCTION("""COMPUTED_VALUE"""),"S")</f>
        <v>S</v>
      </c>
      <c r="G228" s="118">
        <f ca="1">IFERROR(__xludf.DUMMYFUNCTION("""COMPUTED_VALUE"""),5)</f>
        <v>5</v>
      </c>
      <c r="H228" s="118" t="str">
        <f ca="1">IFERROR(__xludf.DUMMYFUNCTION("""COMPUTED_VALUE"""),"CH")</f>
        <v>CH</v>
      </c>
      <c r="I228" s="118">
        <f ca="1">IFERROR(__xludf.DUMMYFUNCTION("""COMPUTED_VALUE"""),10)</f>
        <v>10</v>
      </c>
      <c r="J228" s="118">
        <f ca="1">IFERROR(__xludf.DUMMYFUNCTION("""COMPUTED_VALUE"""),0)</f>
        <v>0</v>
      </c>
      <c r="K228" s="120"/>
      <c r="L228" s="121"/>
      <c r="M228" s="120"/>
      <c r="N228" s="121"/>
      <c r="O228" s="120"/>
      <c r="P228" s="122"/>
      <c r="Q228" s="123" t="str">
        <f ca="1">IFERROR(__xludf.DUMMYFUNCTION("""COMPUTED_VALUE"""),"Clara Bryant")</f>
        <v>Clara Bryant</v>
      </c>
      <c r="R228" s="123" t="str">
        <f ca="1">IFERROR(__xludf.DUMMYFUNCTION("""COMPUTED_VALUE"""),"Finn Bradley")</f>
        <v>Finn Bradley</v>
      </c>
      <c r="S228" s="123" t="str">
        <f ca="1">IFERROR(__xludf.DUMMYFUNCTION("""COMPUTED_VALUE"""),"Carrie Byrd")</f>
        <v>Carrie Byrd</v>
      </c>
      <c r="T228" s="123" t="str">
        <f ca="1">IFERROR(__xludf.DUMMYFUNCTION("""COMPUTED_VALUE"""),"David Alves")</f>
        <v>David Alves</v>
      </c>
    </row>
    <row r="229" spans="1:20" ht="13.8">
      <c r="A229" s="118" t="str">
        <f ca="1">IFERROR(__xludf.DUMMYFUNCTION("""COMPUTED_VALUE"""),"CH")</f>
        <v>CH</v>
      </c>
      <c r="B229" s="119" t="str">
        <f ca="1">IFERROR(__xludf.DUMMYFUNCTION("""COMPUTED_VALUE"""),"Nate Beck")</f>
        <v>Nate Beck</v>
      </c>
      <c r="C229" s="118">
        <f ca="1">IFERROR(__xludf.DUMMYFUNCTION("""COMPUTED_VALUE"""),15)</f>
        <v>15</v>
      </c>
      <c r="D229" s="118" t="str">
        <f ca="1">IFERROR(__xludf.DUMMYFUNCTION("""COMPUTED_VALUE"""),"B")</f>
        <v>B</v>
      </c>
      <c r="E229" s="118" t="str">
        <f ca="1">IFERROR(__xludf.DUMMYFUNCTION("""COMPUTED_VALUE"""),"S")</f>
        <v>S</v>
      </c>
      <c r="F229" s="118" t="str">
        <f ca="1">IFERROR(__xludf.DUMMYFUNCTION("""COMPUTED_VALUE"""),"S")</f>
        <v>S</v>
      </c>
      <c r="G229" s="118">
        <f ca="1">IFERROR(__xludf.DUMMYFUNCTION("""COMPUTED_VALUE"""),5)</f>
        <v>5</v>
      </c>
      <c r="H229" s="118" t="str">
        <f ca="1">IFERROR(__xludf.DUMMYFUNCTION("""COMPUTED_VALUE"""),"CH")</f>
        <v>CH</v>
      </c>
      <c r="I229" s="118">
        <f ca="1">IFERROR(__xludf.DUMMYFUNCTION("""COMPUTED_VALUE"""),11)</f>
        <v>11</v>
      </c>
      <c r="J229" s="118">
        <f ca="1">IFERROR(__xludf.DUMMYFUNCTION("""COMPUTED_VALUE"""),3)</f>
        <v>3</v>
      </c>
      <c r="K229" s="120">
        <f ca="1">IFERROR(__xludf.DUMMYFUNCTION("""COMPUTED_VALUE"""),182.3)</f>
        <v>182.3</v>
      </c>
      <c r="L229" s="121"/>
      <c r="M229" s="120"/>
      <c r="N229" s="121"/>
      <c r="O229" s="120"/>
      <c r="P229" s="122"/>
      <c r="Q229" s="123" t="str">
        <f ca="1">IFERROR(__xludf.DUMMYFUNCTION("""COMPUTED_VALUE"""),"Clara Cash")</f>
        <v>Clara Cash</v>
      </c>
      <c r="R229" s="123" t="str">
        <f ca="1">IFERROR(__xludf.DUMMYFUNCTION("""COMPUTED_VALUE"""),"Finn Jackson")</f>
        <v>Finn Jackson</v>
      </c>
      <c r="S229" s="123" t="str">
        <f ca="1">IFERROR(__xludf.DUMMYFUNCTION("""COMPUTED_VALUE"""),"Casimira Betz")</f>
        <v>Casimira Betz</v>
      </c>
      <c r="T229" s="123" t="str">
        <f ca="1">IFERROR(__xludf.DUMMYFUNCTION("""COMPUTED_VALUE"""),"David Garcia-McIntire")</f>
        <v>David Garcia-McIntire</v>
      </c>
    </row>
    <row r="230" spans="1:20" ht="13.8">
      <c r="A230" s="118" t="str">
        <f ca="1">IFERROR(__xludf.DUMMYFUNCTION("""COMPUTED_VALUE"""),"CH")</f>
        <v>CH</v>
      </c>
      <c r="B230" s="119" t="str">
        <f ca="1">IFERROR(__xludf.DUMMYFUNCTION("""COMPUTED_VALUE"""),"Reed Clifton")</f>
        <v>Reed Clifton</v>
      </c>
      <c r="C230" s="118">
        <f ca="1">IFERROR(__xludf.DUMMYFUNCTION("""COMPUTED_VALUE"""),16)</f>
        <v>16</v>
      </c>
      <c r="D230" s="118" t="str">
        <f ca="1">IFERROR(__xludf.DUMMYFUNCTION("""COMPUTED_VALUE"""),"B")</f>
        <v>B</v>
      </c>
      <c r="E230" s="118" t="str">
        <f ca="1">IFERROR(__xludf.DUMMYFUNCTION("""COMPUTED_VALUE"""),"S")</f>
        <v>S</v>
      </c>
      <c r="F230" s="118" t="str">
        <f ca="1">IFERROR(__xludf.DUMMYFUNCTION("""COMPUTED_VALUE"""),"S")</f>
        <v>S</v>
      </c>
      <c r="G230" s="118">
        <f ca="1">IFERROR(__xludf.DUMMYFUNCTION("""COMPUTED_VALUE"""),5)</f>
        <v>5</v>
      </c>
      <c r="H230" s="118" t="str">
        <f ca="1">IFERROR(__xludf.DUMMYFUNCTION("""COMPUTED_VALUE"""),"CH")</f>
        <v>CH</v>
      </c>
      <c r="I230" s="118">
        <f ca="1">IFERROR(__xludf.DUMMYFUNCTION("""COMPUTED_VALUE"""),11)</f>
        <v>11</v>
      </c>
      <c r="J230" s="118">
        <f ca="1">IFERROR(__xludf.DUMMYFUNCTION("""COMPUTED_VALUE"""),2)</f>
        <v>2</v>
      </c>
      <c r="K230" s="120">
        <f ca="1">IFERROR(__xludf.DUMMYFUNCTION("""COMPUTED_VALUE"""),98.45)</f>
        <v>98.45</v>
      </c>
      <c r="L230" s="121"/>
      <c r="M230" s="120">
        <f ca="1">IFERROR(__xludf.DUMMYFUNCTION("""COMPUTED_VALUE"""),98.45)</f>
        <v>98.45</v>
      </c>
      <c r="N230" s="121"/>
      <c r="O230" s="120"/>
      <c r="P230" s="122"/>
      <c r="Q230" s="123" t="str">
        <f ca="1">IFERROR(__xludf.DUMMYFUNCTION("""COMPUTED_VALUE"""),"Clara Cummings")</f>
        <v>Clara Cummings</v>
      </c>
      <c r="R230" s="123" t="str">
        <f ca="1">IFERROR(__xludf.DUMMYFUNCTION("""COMPUTED_VALUE"""),"Finn Klink")</f>
        <v>Finn Klink</v>
      </c>
      <c r="S230" s="123" t="str">
        <f ca="1">IFERROR(__xludf.DUMMYFUNCTION("""COMPUTED_VALUE"""),"Cassandra Duffy")</f>
        <v>Cassandra Duffy</v>
      </c>
      <c r="T230" s="123" t="str">
        <f ca="1">IFERROR(__xludf.DUMMYFUNCTION("""COMPUTED_VALUE"""),"David McArdle")</f>
        <v>David McArdle</v>
      </c>
    </row>
    <row r="231" spans="1:20" ht="13.8">
      <c r="A231" s="118" t="str">
        <f ca="1">IFERROR(__xludf.DUMMYFUNCTION("""COMPUTED_VALUE"""),"CP")</f>
        <v>CP</v>
      </c>
      <c r="B231" s="119" t="str">
        <f ca="1">IFERROR(__xludf.DUMMYFUNCTION("""COMPUTED_VALUE"""),"Adelyn Whaley")</f>
        <v>Adelyn Whaley</v>
      </c>
      <c r="C231" s="118">
        <f ca="1">IFERROR(__xludf.DUMMYFUNCTION("""COMPUTED_VALUE"""),10)</f>
        <v>10</v>
      </c>
      <c r="D231" s="118" t="str">
        <f ca="1">IFERROR(__xludf.DUMMYFUNCTION("""COMPUTED_VALUE"""),"G")</f>
        <v>G</v>
      </c>
      <c r="E231" s="118" t="str">
        <f ca="1">IFERROR(__xludf.DUMMYFUNCTION("""COMPUTED_VALUE"""),"F")</f>
        <v>F</v>
      </c>
      <c r="F231" s="118" t="str">
        <f ca="1">IFERROR(__xludf.DUMMYFUNCTION("""COMPUTED_VALUE"""),"J")</f>
        <v>J</v>
      </c>
      <c r="G231" s="118">
        <f ca="1">IFERROR(__xludf.DUMMYFUNCTION("""COMPUTED_VALUE"""),5)</f>
        <v>5</v>
      </c>
      <c r="H231" s="118" t="str">
        <f ca="1">IFERROR(__xludf.DUMMYFUNCTION("""COMPUTED_VALUE"""),"CP")</f>
        <v>CP</v>
      </c>
      <c r="I231" s="118">
        <f ca="1">IFERROR(__xludf.DUMMYFUNCTION("""COMPUTED_VALUE"""),4)</f>
        <v>4</v>
      </c>
      <c r="J231" s="118">
        <f ca="1">IFERROR(__xludf.DUMMYFUNCTION("""COMPUTED_VALUE"""),4)</f>
        <v>4</v>
      </c>
      <c r="K231" s="120">
        <f ca="1">IFERROR(__xludf.DUMMYFUNCTION("""COMPUTED_VALUE"""),65)</f>
        <v>65</v>
      </c>
      <c r="L231" s="121"/>
      <c r="M231" s="120">
        <f ca="1">IFERROR(__xludf.DUMMYFUNCTION("""COMPUTED_VALUE"""),51.1)</f>
        <v>51.1</v>
      </c>
      <c r="N231" s="121"/>
      <c r="O231" s="120">
        <f ca="1">IFERROR(__xludf.DUMMYFUNCTION("""COMPUTED_VALUE"""),65)</f>
        <v>65</v>
      </c>
      <c r="P231" s="122"/>
      <c r="Q231" s="123" t="str">
        <f ca="1">IFERROR(__xludf.DUMMYFUNCTION("""COMPUTED_VALUE"""),"Clara Lauver")</f>
        <v>Clara Lauver</v>
      </c>
      <c r="R231" s="123" t="str">
        <f ca="1">IFERROR(__xludf.DUMMYFUNCTION("""COMPUTED_VALUE"""),"Finn Rogers")</f>
        <v>Finn Rogers</v>
      </c>
      <c r="S231" s="123" t="str">
        <f ca="1">IFERROR(__xludf.DUMMYFUNCTION("""COMPUTED_VALUE"""),"Cate Lawler")</f>
        <v>Cate Lawler</v>
      </c>
      <c r="T231" s="123" t="str">
        <f ca="1">IFERROR(__xludf.DUMMYFUNCTION("""COMPUTED_VALUE"""),"David Myers")</f>
        <v>David Myers</v>
      </c>
    </row>
    <row r="232" spans="1:20" ht="13.8">
      <c r="A232" s="118" t="str">
        <f ca="1">IFERROR(__xludf.DUMMYFUNCTION("""COMPUTED_VALUE"""),"CP")</f>
        <v>CP</v>
      </c>
      <c r="B232" s="119" t="str">
        <f ca="1">IFERROR(__xludf.DUMMYFUNCTION("""COMPUTED_VALUE"""),"Arianna Patrick")</f>
        <v>Arianna Patrick</v>
      </c>
      <c r="C232" s="118">
        <f ca="1">IFERROR(__xludf.DUMMYFUNCTION("""COMPUTED_VALUE"""),9)</f>
        <v>9</v>
      </c>
      <c r="D232" s="118" t="str">
        <f ca="1">IFERROR(__xludf.DUMMYFUNCTION("""COMPUTED_VALUE"""),"G")</f>
        <v>G</v>
      </c>
      <c r="E232" s="118" t="str">
        <f ca="1">IFERROR(__xludf.DUMMYFUNCTION("""COMPUTED_VALUE"""),"F")</f>
        <v>F</v>
      </c>
      <c r="F232" s="118" t="str">
        <f ca="1">IFERROR(__xludf.DUMMYFUNCTION("""COMPUTED_VALUE"""),"J")</f>
        <v>J</v>
      </c>
      <c r="G232" s="118">
        <f ca="1">IFERROR(__xludf.DUMMYFUNCTION("""COMPUTED_VALUE"""),5)</f>
        <v>5</v>
      </c>
      <c r="H232" s="118" t="str">
        <f ca="1">IFERROR(__xludf.DUMMYFUNCTION("""COMPUTED_VALUE"""),"CP")</f>
        <v>CP</v>
      </c>
      <c r="I232" s="118">
        <f ca="1">IFERROR(__xludf.DUMMYFUNCTION("""COMPUTED_VALUE"""),4)</f>
        <v>4</v>
      </c>
      <c r="J232" s="118">
        <f ca="1">IFERROR(__xludf.DUMMYFUNCTION("""COMPUTED_VALUE"""),2)</f>
        <v>2</v>
      </c>
      <c r="K232" s="120">
        <f ca="1">IFERROR(__xludf.DUMMYFUNCTION("""COMPUTED_VALUE"""),42.25)</f>
        <v>42.25</v>
      </c>
      <c r="L232" s="121"/>
      <c r="M232" s="120"/>
      <c r="N232" s="121"/>
      <c r="O232" s="120"/>
      <c r="P232" s="122"/>
      <c r="Q232" s="123" t="str">
        <f ca="1">IFERROR(__xludf.DUMMYFUNCTION("""COMPUTED_VALUE"""),"Clara Martin")</f>
        <v>Clara Martin</v>
      </c>
      <c r="R232" s="123" t="str">
        <f ca="1">IFERROR(__xludf.DUMMYFUNCTION("""COMPUTED_VALUE"""),"Fionn Cahill")</f>
        <v>Fionn Cahill</v>
      </c>
      <c r="S232" s="123" t="str">
        <f ca="1">IFERROR(__xludf.DUMMYFUNCTION("""COMPUTED_VALUE"""),"Cateleia Chu")</f>
        <v>Cateleia Chu</v>
      </c>
      <c r="T232" s="123" t="str">
        <f ca="1">IFERROR(__xludf.DUMMYFUNCTION("""COMPUTED_VALUE"""),"David Rhea")</f>
        <v>David Rhea</v>
      </c>
    </row>
    <row r="233" spans="1:20" ht="13.8">
      <c r="A233" s="118" t="str">
        <f ca="1">IFERROR(__xludf.DUMMYFUNCTION("""COMPUTED_VALUE"""),"CP")</f>
        <v>CP</v>
      </c>
      <c r="B233" s="119" t="str">
        <f ca="1">IFERROR(__xludf.DUMMYFUNCTION("""COMPUTED_VALUE"""),"Ella Thomas")</f>
        <v>Ella Thomas</v>
      </c>
      <c r="C233" s="118">
        <f ca="1">IFERROR(__xludf.DUMMYFUNCTION("""COMPUTED_VALUE"""),9)</f>
        <v>9</v>
      </c>
      <c r="D233" s="118" t="str">
        <f ca="1">IFERROR(__xludf.DUMMYFUNCTION("""COMPUTED_VALUE"""),"G")</f>
        <v>G</v>
      </c>
      <c r="E233" s="118" t="str">
        <f ca="1">IFERROR(__xludf.DUMMYFUNCTION("""COMPUTED_VALUE"""),"F")</f>
        <v>F</v>
      </c>
      <c r="F233" s="118" t="str">
        <f ca="1">IFERROR(__xludf.DUMMYFUNCTION("""COMPUTED_VALUE"""),"J")</f>
        <v>J</v>
      </c>
      <c r="G233" s="118">
        <f ca="1">IFERROR(__xludf.DUMMYFUNCTION("""COMPUTED_VALUE"""),5)</f>
        <v>5</v>
      </c>
      <c r="H233" s="118" t="str">
        <f ca="1">IFERROR(__xludf.DUMMYFUNCTION("""COMPUTED_VALUE"""),"CP")</f>
        <v>CP</v>
      </c>
      <c r="I233" s="118">
        <f ca="1">IFERROR(__xludf.DUMMYFUNCTION("""COMPUTED_VALUE"""),4)</f>
        <v>4</v>
      </c>
      <c r="J233" s="118">
        <f ca="1">IFERROR(__xludf.DUMMYFUNCTION("""COMPUTED_VALUE"""),4)</f>
        <v>4</v>
      </c>
      <c r="K233" s="120">
        <f ca="1">IFERROR(__xludf.DUMMYFUNCTION("""COMPUTED_VALUE"""),31.8)</f>
        <v>31.8</v>
      </c>
      <c r="L233" s="121"/>
      <c r="M233" s="120"/>
      <c r="N233" s="121"/>
      <c r="O233" s="120">
        <f ca="1">IFERROR(__xludf.DUMMYFUNCTION("""COMPUTED_VALUE"""),19.95)</f>
        <v>19.95</v>
      </c>
      <c r="P233" s="122"/>
      <c r="Q233" s="123" t="str">
        <f ca="1">IFERROR(__xludf.DUMMYFUNCTION("""COMPUTED_VALUE"""),"Clara Meyers")</f>
        <v>Clara Meyers</v>
      </c>
      <c r="R233" s="123" t="str">
        <f ca="1">IFERROR(__xludf.DUMMYFUNCTION("""COMPUTED_VALUE"""),"Fletcher Telleen")</f>
        <v>Fletcher Telleen</v>
      </c>
      <c r="S233" s="123" t="str">
        <f ca="1">IFERROR(__xludf.DUMMYFUNCTION("""COMPUTED_VALUE"""),"Catherine Ayers")</f>
        <v>Catherine Ayers</v>
      </c>
      <c r="T233" s="123" t="str">
        <f ca="1">IFERROR(__xludf.DUMMYFUNCTION("""COMPUTED_VALUE"""),"David Shriber")</f>
        <v>David Shriber</v>
      </c>
    </row>
    <row r="234" spans="1:20" ht="13.8">
      <c r="A234" s="118" t="str">
        <f ca="1">IFERROR(__xludf.DUMMYFUNCTION("""COMPUTED_VALUE"""),"CP")</f>
        <v>CP</v>
      </c>
      <c r="B234" s="119" t="str">
        <f ca="1">IFERROR(__xludf.DUMMYFUNCTION("""COMPUTED_VALUE"""),"Evy Payne")</f>
        <v>Evy Payne</v>
      </c>
      <c r="C234" s="118">
        <f ca="1">IFERROR(__xludf.DUMMYFUNCTION("""COMPUTED_VALUE"""),9)</f>
        <v>9</v>
      </c>
      <c r="D234" s="118" t="str">
        <f ca="1">IFERROR(__xludf.DUMMYFUNCTION("""COMPUTED_VALUE"""),"G")</f>
        <v>G</v>
      </c>
      <c r="E234" s="118" t="str">
        <f ca="1">IFERROR(__xludf.DUMMYFUNCTION("""COMPUTED_VALUE"""),"F")</f>
        <v>F</v>
      </c>
      <c r="F234" s="118" t="str">
        <f ca="1">IFERROR(__xludf.DUMMYFUNCTION("""COMPUTED_VALUE"""),"J")</f>
        <v>J</v>
      </c>
      <c r="G234" s="118">
        <f ca="1">IFERROR(__xludf.DUMMYFUNCTION("""COMPUTED_VALUE"""),5)</f>
        <v>5</v>
      </c>
      <c r="H234" s="118" t="str">
        <f ca="1">IFERROR(__xludf.DUMMYFUNCTION("""COMPUTED_VALUE"""),"CP")</f>
        <v>CP</v>
      </c>
      <c r="I234" s="118">
        <f ca="1">IFERROR(__xludf.DUMMYFUNCTION("""COMPUTED_VALUE"""),4)</f>
        <v>4</v>
      </c>
      <c r="J234" s="118">
        <f ca="1">IFERROR(__xludf.DUMMYFUNCTION("""COMPUTED_VALUE"""),3)</f>
        <v>3</v>
      </c>
      <c r="K234" s="120">
        <f ca="1">IFERROR(__xludf.DUMMYFUNCTION("""COMPUTED_VALUE"""),32.7)</f>
        <v>32.700000000000003</v>
      </c>
      <c r="L234" s="121"/>
      <c r="M234" s="120"/>
      <c r="N234" s="121"/>
      <c r="O234" s="120">
        <f ca="1">IFERROR(__xludf.DUMMYFUNCTION("""COMPUTED_VALUE"""),30.5)</f>
        <v>30.5</v>
      </c>
      <c r="P234" s="122"/>
      <c r="Q234" s="123" t="str">
        <f ca="1">IFERROR(__xludf.DUMMYFUNCTION("""COMPUTED_VALUE"""),"Coco Harbeck")</f>
        <v>Coco Harbeck</v>
      </c>
      <c r="R234" s="123" t="str">
        <f ca="1">IFERROR(__xludf.DUMMYFUNCTION("""COMPUTED_VALUE"""),"Flynn Miller")</f>
        <v>Flynn Miller</v>
      </c>
      <c r="S234" s="123" t="str">
        <f ca="1">IFERROR(__xludf.DUMMYFUNCTION("""COMPUTED_VALUE"""),"Catherine Redington")</f>
        <v>Catherine Redington</v>
      </c>
      <c r="T234" s="123" t="str">
        <f ca="1">IFERROR(__xludf.DUMMYFUNCTION("""COMPUTED_VALUE"""),"Davis Miller")</f>
        <v>Davis Miller</v>
      </c>
    </row>
    <row r="235" spans="1:20" ht="13.8">
      <c r="A235" s="118" t="str">
        <f ca="1">IFERROR(__xludf.DUMMYFUNCTION("""COMPUTED_VALUE"""),"CP")</f>
        <v>CP</v>
      </c>
      <c r="B235" s="119" t="str">
        <f ca="1">IFERROR(__xludf.DUMMYFUNCTION("""COMPUTED_VALUE"""),"Hattie Flores")</f>
        <v>Hattie Flores</v>
      </c>
      <c r="C235" s="118">
        <f ca="1">IFERROR(__xludf.DUMMYFUNCTION("""COMPUTED_VALUE"""),8)</f>
        <v>8</v>
      </c>
      <c r="D235" s="118" t="str">
        <f ca="1">IFERROR(__xludf.DUMMYFUNCTION("""COMPUTED_VALUE"""),"G")</f>
        <v>G</v>
      </c>
      <c r="E235" s="118" t="str">
        <f ca="1">IFERROR(__xludf.DUMMYFUNCTION("""COMPUTED_VALUE"""),"F")</f>
        <v>F</v>
      </c>
      <c r="F235" s="118" t="str">
        <f ca="1">IFERROR(__xludf.DUMMYFUNCTION("""COMPUTED_VALUE"""),"J")</f>
        <v>J</v>
      </c>
      <c r="G235" s="118">
        <f ca="1">IFERROR(__xludf.DUMMYFUNCTION("""COMPUTED_VALUE"""),5)</f>
        <v>5</v>
      </c>
      <c r="H235" s="118" t="str">
        <f ca="1">IFERROR(__xludf.DUMMYFUNCTION("""COMPUTED_VALUE"""),"CP")</f>
        <v>CP</v>
      </c>
      <c r="I235" s="118">
        <f ca="1">IFERROR(__xludf.DUMMYFUNCTION("""COMPUTED_VALUE"""),4)</f>
        <v>4</v>
      </c>
      <c r="J235" s="118">
        <f ca="1">IFERROR(__xludf.DUMMYFUNCTION("""COMPUTED_VALUE"""),4)</f>
        <v>4</v>
      </c>
      <c r="K235" s="120">
        <f ca="1">IFERROR(__xludf.DUMMYFUNCTION("""COMPUTED_VALUE"""),41.25)</f>
        <v>41.25</v>
      </c>
      <c r="L235" s="121"/>
      <c r="M235" s="120"/>
      <c r="N235" s="121"/>
      <c r="O235" s="120">
        <f ca="1">IFERROR(__xludf.DUMMYFUNCTION("""COMPUTED_VALUE"""),38.65)</f>
        <v>38.65</v>
      </c>
      <c r="P235" s="122"/>
      <c r="Q235" s="123" t="str">
        <f ca="1">IFERROR(__xludf.DUMMYFUNCTION("""COMPUTED_VALUE"""),"Coco Marra")</f>
        <v>Coco Marra</v>
      </c>
      <c r="R235" s="123" t="str">
        <f ca="1">IFERROR(__xludf.DUMMYFUNCTION("""COMPUTED_VALUE"""),"Foster Middendorf")</f>
        <v>Foster Middendorf</v>
      </c>
      <c r="S235" s="123" t="str">
        <f ca="1">IFERROR(__xludf.DUMMYFUNCTION("""COMPUTED_VALUE"""),"Catheryn Good")</f>
        <v>Catheryn Good</v>
      </c>
      <c r="T235" s="123" t="str">
        <f ca="1">IFERROR(__xludf.DUMMYFUNCTION("""COMPUTED_VALUE"""),"Deacon Tuss")</f>
        <v>Deacon Tuss</v>
      </c>
    </row>
    <row r="236" spans="1:20" ht="13.8">
      <c r="A236" s="118" t="str">
        <f ca="1">IFERROR(__xludf.DUMMYFUNCTION("""COMPUTED_VALUE"""),"CP")</f>
        <v>CP</v>
      </c>
      <c r="B236" s="119" t="str">
        <f ca="1">IFERROR(__xludf.DUMMYFUNCTION("""COMPUTED_VALUE"""),"Jennah Soto")</f>
        <v>Jennah Soto</v>
      </c>
      <c r="C236" s="118">
        <f ca="1">IFERROR(__xludf.DUMMYFUNCTION("""COMPUTED_VALUE"""),8)</f>
        <v>8</v>
      </c>
      <c r="D236" s="118" t="str">
        <f ca="1">IFERROR(__xludf.DUMMYFUNCTION("""COMPUTED_VALUE"""),"G")</f>
        <v>G</v>
      </c>
      <c r="E236" s="118" t="str">
        <f ca="1">IFERROR(__xludf.DUMMYFUNCTION("""COMPUTED_VALUE"""),"F")</f>
        <v>F</v>
      </c>
      <c r="F236" s="118" t="str">
        <f ca="1">IFERROR(__xludf.DUMMYFUNCTION("""COMPUTED_VALUE"""),"J")</f>
        <v>J</v>
      </c>
      <c r="G236" s="118">
        <f ca="1">IFERROR(__xludf.DUMMYFUNCTION("""COMPUTED_VALUE"""),5)</f>
        <v>5</v>
      </c>
      <c r="H236" s="118" t="str">
        <f ca="1">IFERROR(__xludf.DUMMYFUNCTION("""COMPUTED_VALUE"""),"CP")</f>
        <v>CP</v>
      </c>
      <c r="I236" s="118">
        <f ca="1">IFERROR(__xludf.DUMMYFUNCTION("""COMPUTED_VALUE"""),4)</f>
        <v>4</v>
      </c>
      <c r="J236" s="118">
        <f ca="1">IFERROR(__xludf.DUMMYFUNCTION("""COMPUTED_VALUE"""),2)</f>
        <v>2</v>
      </c>
      <c r="K236" s="120">
        <f ca="1">IFERROR(__xludf.DUMMYFUNCTION("""COMPUTED_VALUE"""),14.25)</f>
        <v>14.25</v>
      </c>
      <c r="L236" s="121"/>
      <c r="M236" s="120"/>
      <c r="N236" s="121"/>
      <c r="O236" s="120"/>
      <c r="P236" s="122"/>
      <c r="Q236" s="123" t="str">
        <f ca="1">IFERROR(__xludf.DUMMYFUNCTION("""COMPUTED_VALUE"""),"Colette Hecker")</f>
        <v>Colette Hecker</v>
      </c>
      <c r="R236" s="123" t="str">
        <f ca="1">IFERROR(__xludf.DUMMYFUNCTION("""COMPUTED_VALUE"""),"Francis Smith")</f>
        <v>Francis Smith</v>
      </c>
      <c r="S236" s="123" t="str">
        <f ca="1">IFERROR(__xludf.DUMMYFUNCTION("""COMPUTED_VALUE"""),"Cayla Lee")</f>
        <v>Cayla Lee</v>
      </c>
      <c r="T236" s="123" t="str">
        <f ca="1">IFERROR(__xludf.DUMMYFUNCTION("""COMPUTED_VALUE"""),"Declan Fitzsimmons")</f>
        <v>Declan Fitzsimmons</v>
      </c>
    </row>
    <row r="237" spans="1:20" ht="13.8">
      <c r="A237" s="118" t="str">
        <f ca="1">IFERROR(__xludf.DUMMYFUNCTION("""COMPUTED_VALUE"""),"CP")</f>
        <v>CP</v>
      </c>
      <c r="B237" s="119" t="str">
        <f ca="1">IFERROR(__xludf.DUMMYFUNCTION("""COMPUTED_VALUE"""),"Julia Kosowski")</f>
        <v>Julia Kosowski</v>
      </c>
      <c r="C237" s="118">
        <f ca="1">IFERROR(__xludf.DUMMYFUNCTION("""COMPUTED_VALUE"""),9)</f>
        <v>9</v>
      </c>
      <c r="D237" s="118" t="str">
        <f ca="1">IFERROR(__xludf.DUMMYFUNCTION("""COMPUTED_VALUE"""),"G")</f>
        <v>G</v>
      </c>
      <c r="E237" s="118" t="str">
        <f ca="1">IFERROR(__xludf.DUMMYFUNCTION("""COMPUTED_VALUE"""),"F")</f>
        <v>F</v>
      </c>
      <c r="F237" s="118" t="str">
        <f ca="1">IFERROR(__xludf.DUMMYFUNCTION("""COMPUTED_VALUE"""),"J")</f>
        <v>J</v>
      </c>
      <c r="G237" s="118">
        <f ca="1">IFERROR(__xludf.DUMMYFUNCTION("""COMPUTED_VALUE"""),5)</f>
        <v>5</v>
      </c>
      <c r="H237" s="118" t="str">
        <f ca="1">IFERROR(__xludf.DUMMYFUNCTION("""COMPUTED_VALUE"""),"CP")</f>
        <v>CP</v>
      </c>
      <c r="I237" s="118">
        <f ca="1">IFERROR(__xludf.DUMMYFUNCTION("""COMPUTED_VALUE"""),4)</f>
        <v>4</v>
      </c>
      <c r="J237" s="118">
        <f ca="1">IFERROR(__xludf.DUMMYFUNCTION("""COMPUTED_VALUE"""),1)</f>
        <v>1</v>
      </c>
      <c r="K237" s="120">
        <f ca="1">IFERROR(__xludf.DUMMYFUNCTION("""COMPUTED_VALUE"""),44.3)</f>
        <v>44.3</v>
      </c>
      <c r="L237" s="121"/>
      <c r="M237" s="120"/>
      <c r="N237" s="121"/>
      <c r="O237" s="120"/>
      <c r="P237" s="122"/>
      <c r="Q237" s="123" t="str">
        <f ca="1">IFERROR(__xludf.DUMMYFUNCTION("""COMPUTED_VALUE"""),"Colette Ungaretti")</f>
        <v>Colette Ungaretti</v>
      </c>
      <c r="R237" s="123" t="str">
        <f ca="1">IFERROR(__xludf.DUMMYFUNCTION("""COMPUTED_VALUE"""),"Franklin McShane")</f>
        <v>Franklin McShane</v>
      </c>
      <c r="S237" s="123" t="str">
        <f ca="1">IFERROR(__xludf.DUMMYFUNCTION("""COMPUTED_VALUE"""),"CC Lorah")</f>
        <v>CC Lorah</v>
      </c>
      <c r="T237" s="123" t="str">
        <f ca="1">IFERROR(__xludf.DUMMYFUNCTION("""COMPUTED_VALUE"""),"Declan Jackson")</f>
        <v>Declan Jackson</v>
      </c>
    </row>
    <row r="238" spans="1:20" ht="13.8">
      <c r="A238" s="118" t="str">
        <f ca="1">IFERROR(__xludf.DUMMYFUNCTION("""COMPUTED_VALUE"""),"CP")</f>
        <v>CP</v>
      </c>
      <c r="B238" s="119" t="str">
        <f ca="1">IFERROR(__xludf.DUMMYFUNCTION("""COMPUTED_VALUE"""),"Lily Sabo")</f>
        <v>Lily Sabo</v>
      </c>
      <c r="C238" s="118">
        <f ca="1">IFERROR(__xludf.DUMMYFUNCTION("""COMPUTED_VALUE"""),9)</f>
        <v>9</v>
      </c>
      <c r="D238" s="118" t="str">
        <f ca="1">IFERROR(__xludf.DUMMYFUNCTION("""COMPUTED_VALUE"""),"G")</f>
        <v>G</v>
      </c>
      <c r="E238" s="118" t="str">
        <f ca="1">IFERROR(__xludf.DUMMYFUNCTION("""COMPUTED_VALUE"""),"F")</f>
        <v>F</v>
      </c>
      <c r="F238" s="118" t="str">
        <f ca="1">IFERROR(__xludf.DUMMYFUNCTION("""COMPUTED_VALUE"""),"J")</f>
        <v>J</v>
      </c>
      <c r="G238" s="118">
        <f ca="1">IFERROR(__xludf.DUMMYFUNCTION("""COMPUTED_VALUE"""),5)</f>
        <v>5</v>
      </c>
      <c r="H238" s="118" t="str">
        <f ca="1">IFERROR(__xludf.DUMMYFUNCTION("""COMPUTED_VALUE"""),"CP")</f>
        <v>CP</v>
      </c>
      <c r="I238" s="118">
        <f ca="1">IFERROR(__xludf.DUMMYFUNCTION("""COMPUTED_VALUE"""),4)</f>
        <v>4</v>
      </c>
      <c r="J238" s="118">
        <f ca="1">IFERROR(__xludf.DUMMYFUNCTION("""COMPUTED_VALUE"""),3)</f>
        <v>3</v>
      </c>
      <c r="K238" s="120">
        <f ca="1">IFERROR(__xludf.DUMMYFUNCTION("""COMPUTED_VALUE"""),40)</f>
        <v>40</v>
      </c>
      <c r="L238" s="121"/>
      <c r="M238" s="120"/>
      <c r="N238" s="121"/>
      <c r="O238" s="120"/>
      <c r="P238" s="122"/>
      <c r="Q238" s="123" t="str">
        <f ca="1">IFERROR(__xludf.DUMMYFUNCTION("""COMPUTED_VALUE"""),"Cora Bellomo")</f>
        <v>Cora Bellomo</v>
      </c>
      <c r="R238" s="123" t="str">
        <f ca="1">IFERROR(__xludf.DUMMYFUNCTION("""COMPUTED_VALUE"""),"Freddy Xin")</f>
        <v>Freddy Xin</v>
      </c>
      <c r="S238" s="123" t="str">
        <f ca="1">IFERROR(__xludf.DUMMYFUNCTION("""COMPUTED_VALUE"""),"CC Wilson")</f>
        <v>CC Wilson</v>
      </c>
      <c r="T238" s="123" t="str">
        <f ca="1">IFERROR(__xludf.DUMMYFUNCTION("""COMPUTED_VALUE"""),"Declan Pacheco-Manetti")</f>
        <v>Declan Pacheco-Manetti</v>
      </c>
    </row>
    <row r="239" spans="1:20" ht="13.8">
      <c r="A239" s="118" t="str">
        <f ca="1">IFERROR(__xludf.DUMMYFUNCTION("""COMPUTED_VALUE"""),"CP")</f>
        <v>CP</v>
      </c>
      <c r="B239" s="119" t="str">
        <f ca="1">IFERROR(__xludf.DUMMYFUNCTION("""COMPUTED_VALUE"""),"Maya Truitt")</f>
        <v>Maya Truitt</v>
      </c>
      <c r="C239" s="118">
        <f ca="1">IFERROR(__xludf.DUMMYFUNCTION("""COMPUTED_VALUE"""),10)</f>
        <v>10</v>
      </c>
      <c r="D239" s="118" t="str">
        <f ca="1">IFERROR(__xludf.DUMMYFUNCTION("""COMPUTED_VALUE"""),"G")</f>
        <v>G</v>
      </c>
      <c r="E239" s="118" t="str">
        <f ca="1">IFERROR(__xludf.DUMMYFUNCTION("""COMPUTED_VALUE"""),"F")</f>
        <v>F</v>
      </c>
      <c r="F239" s="118" t="str">
        <f ca="1">IFERROR(__xludf.DUMMYFUNCTION("""COMPUTED_VALUE"""),"J")</f>
        <v>J</v>
      </c>
      <c r="G239" s="118">
        <f ca="1">IFERROR(__xludf.DUMMYFUNCTION("""COMPUTED_VALUE"""),5)</f>
        <v>5</v>
      </c>
      <c r="H239" s="118" t="str">
        <f ca="1">IFERROR(__xludf.DUMMYFUNCTION("""COMPUTED_VALUE"""),"CP")</f>
        <v>CP</v>
      </c>
      <c r="I239" s="118">
        <f ca="1">IFERROR(__xludf.DUMMYFUNCTION("""COMPUTED_VALUE"""),4)</f>
        <v>4</v>
      </c>
      <c r="J239" s="118">
        <f ca="1">IFERROR(__xludf.DUMMYFUNCTION("""COMPUTED_VALUE"""),4)</f>
        <v>4</v>
      </c>
      <c r="K239" s="120">
        <f ca="1">IFERROR(__xludf.DUMMYFUNCTION("""COMPUTED_VALUE"""),81.45)</f>
        <v>81.45</v>
      </c>
      <c r="L239" s="121"/>
      <c r="M239" s="120">
        <f ca="1">IFERROR(__xludf.DUMMYFUNCTION("""COMPUTED_VALUE"""),81.45)</f>
        <v>81.45</v>
      </c>
      <c r="N239" s="121"/>
      <c r="O239" s="120"/>
      <c r="P239" s="122"/>
      <c r="Q239" s="123" t="str">
        <f ca="1">IFERROR(__xludf.DUMMYFUNCTION("""COMPUTED_VALUE"""),"Cora Dugan")</f>
        <v>Cora Dugan</v>
      </c>
      <c r="R239" s="123" t="str">
        <f ca="1">IFERROR(__xludf.DUMMYFUNCTION("""COMPUTED_VALUE"""),"Gabe Wilson")</f>
        <v>Gabe Wilson</v>
      </c>
      <c r="S239" s="123" t="str">
        <f ca="1">IFERROR(__xludf.DUMMYFUNCTION("""COMPUTED_VALUE"""),"CeCe St. Jacques")</f>
        <v>CeCe St. Jacques</v>
      </c>
      <c r="T239" s="123" t="str">
        <f ca="1">IFERROR(__xludf.DUMMYFUNCTION("""COMPUTED_VALUE"""),"Declan Prunty")</f>
        <v>Declan Prunty</v>
      </c>
    </row>
    <row r="240" spans="1:20" ht="13.8">
      <c r="A240" s="118" t="str">
        <f ca="1">IFERROR(__xludf.DUMMYFUNCTION("""COMPUTED_VALUE"""),"CP")</f>
        <v>CP</v>
      </c>
      <c r="B240" s="119" t="str">
        <f ca="1">IFERROR(__xludf.DUMMYFUNCTION("""COMPUTED_VALUE"""),"Nhi Nguyen")</f>
        <v>Nhi Nguyen</v>
      </c>
      <c r="C240" s="118">
        <f ca="1">IFERROR(__xludf.DUMMYFUNCTION("""COMPUTED_VALUE"""),9)</f>
        <v>9</v>
      </c>
      <c r="D240" s="118" t="str">
        <f ca="1">IFERROR(__xludf.DUMMYFUNCTION("""COMPUTED_VALUE"""),"G")</f>
        <v>G</v>
      </c>
      <c r="E240" s="118" t="str">
        <f ca="1">IFERROR(__xludf.DUMMYFUNCTION("""COMPUTED_VALUE"""),"F")</f>
        <v>F</v>
      </c>
      <c r="F240" s="118" t="str">
        <f ca="1">IFERROR(__xludf.DUMMYFUNCTION("""COMPUTED_VALUE"""),"J")</f>
        <v>J</v>
      </c>
      <c r="G240" s="118">
        <f ca="1">IFERROR(__xludf.DUMMYFUNCTION("""COMPUTED_VALUE"""),5)</f>
        <v>5</v>
      </c>
      <c r="H240" s="118" t="str">
        <f ca="1">IFERROR(__xludf.DUMMYFUNCTION("""COMPUTED_VALUE"""),"CP")</f>
        <v>CP</v>
      </c>
      <c r="I240" s="118">
        <f ca="1">IFERROR(__xludf.DUMMYFUNCTION("""COMPUTED_VALUE"""),4)</f>
        <v>4</v>
      </c>
      <c r="J240" s="118">
        <f ca="1">IFERROR(__xludf.DUMMYFUNCTION("""COMPUTED_VALUE"""),5)</f>
        <v>5</v>
      </c>
      <c r="K240" s="120">
        <f ca="1">IFERROR(__xludf.DUMMYFUNCTION("""COMPUTED_VALUE"""),53.15)</f>
        <v>53.15</v>
      </c>
      <c r="L240" s="121"/>
      <c r="M240" s="120">
        <f ca="1">IFERROR(__xludf.DUMMYFUNCTION("""COMPUTED_VALUE"""),41.45)</f>
        <v>41.45</v>
      </c>
      <c r="N240" s="121"/>
      <c r="O240" s="120">
        <f ca="1">IFERROR(__xludf.DUMMYFUNCTION("""COMPUTED_VALUE"""),52.75)</f>
        <v>52.75</v>
      </c>
      <c r="P240" s="122"/>
      <c r="Q240" s="123" t="str">
        <f ca="1">IFERROR(__xludf.DUMMYFUNCTION("""COMPUTED_VALUE"""),"Cora Plowman")</f>
        <v>Cora Plowman</v>
      </c>
      <c r="R240" s="123" t="str">
        <f ca="1">IFERROR(__xludf.DUMMYFUNCTION("""COMPUTED_VALUE"""),"Gabriel Fernandez")</f>
        <v>Gabriel Fernandez</v>
      </c>
      <c r="S240" s="123" t="str">
        <f ca="1">IFERROR(__xludf.DUMMYFUNCTION("""COMPUTED_VALUE"""),"Cecilia Sanders")</f>
        <v>Cecilia Sanders</v>
      </c>
      <c r="T240" s="123" t="str">
        <f ca="1">IFERROR(__xludf.DUMMYFUNCTION("""COMPUTED_VALUE"""),"Derek Baltas")</f>
        <v>Derek Baltas</v>
      </c>
    </row>
    <row r="241" spans="1:20" ht="13.8">
      <c r="A241" s="118" t="str">
        <f ca="1">IFERROR(__xludf.DUMMYFUNCTION("""COMPUTED_VALUE"""),"CP")</f>
        <v>CP</v>
      </c>
      <c r="B241" s="119" t="str">
        <f ca="1">IFERROR(__xludf.DUMMYFUNCTION("""COMPUTED_VALUE"""),"Tessa Iaci")</f>
        <v>Tessa Iaci</v>
      </c>
      <c r="C241" s="118">
        <f ca="1">IFERROR(__xludf.DUMMYFUNCTION("""COMPUTED_VALUE"""),8)</f>
        <v>8</v>
      </c>
      <c r="D241" s="118" t="str">
        <f ca="1">IFERROR(__xludf.DUMMYFUNCTION("""COMPUTED_VALUE"""),"G")</f>
        <v>G</v>
      </c>
      <c r="E241" s="118" t="str">
        <f ca="1">IFERROR(__xludf.DUMMYFUNCTION("""COMPUTED_VALUE"""),"F")</f>
        <v>F</v>
      </c>
      <c r="F241" s="118" t="str">
        <f ca="1">IFERROR(__xludf.DUMMYFUNCTION("""COMPUTED_VALUE"""),"J")</f>
        <v>J</v>
      </c>
      <c r="G241" s="118">
        <f ca="1">IFERROR(__xludf.DUMMYFUNCTION("""COMPUTED_VALUE"""),5)</f>
        <v>5</v>
      </c>
      <c r="H241" s="118" t="str">
        <f ca="1">IFERROR(__xludf.DUMMYFUNCTION("""COMPUTED_VALUE"""),"CP")</f>
        <v>CP</v>
      </c>
      <c r="I241" s="118">
        <f ca="1">IFERROR(__xludf.DUMMYFUNCTION("""COMPUTED_VALUE"""),4)</f>
        <v>4</v>
      </c>
      <c r="J241" s="118">
        <f ca="1">IFERROR(__xludf.DUMMYFUNCTION("""COMPUTED_VALUE"""),3)</f>
        <v>3</v>
      </c>
      <c r="K241" s="120">
        <f ca="1">IFERROR(__xludf.DUMMYFUNCTION("""COMPUTED_VALUE"""),35.1)</f>
        <v>35.1</v>
      </c>
      <c r="L241" s="121"/>
      <c r="M241" s="120"/>
      <c r="N241" s="121"/>
      <c r="O241" s="120">
        <f ca="1">IFERROR(__xludf.DUMMYFUNCTION("""COMPUTED_VALUE"""),30.95)</f>
        <v>30.95</v>
      </c>
      <c r="P241" s="122"/>
      <c r="Q241" s="123" t="str">
        <f ca="1">IFERROR(__xludf.DUMMYFUNCTION("""COMPUTED_VALUE"""),"Cori Gaylor")</f>
        <v>Cori Gaylor</v>
      </c>
      <c r="R241" s="123" t="str">
        <f ca="1">IFERROR(__xludf.DUMMYFUNCTION("""COMPUTED_VALUE"""),"Gabriel Mesmer")</f>
        <v>Gabriel Mesmer</v>
      </c>
      <c r="S241" s="123" t="str">
        <f ca="1">IFERROR(__xludf.DUMMYFUNCTION("""COMPUTED_VALUE"""),"Ceclia White")</f>
        <v>Ceclia White</v>
      </c>
      <c r="T241" s="123" t="str">
        <f ca="1">IFERROR(__xludf.DUMMYFUNCTION("""COMPUTED_VALUE"""),"Desi Gellie")</f>
        <v>Desi Gellie</v>
      </c>
    </row>
    <row r="242" spans="1:20" ht="13.8">
      <c r="A242" s="118" t="str">
        <f ca="1">IFERROR(__xludf.DUMMYFUNCTION("""COMPUTED_VALUE"""),"CP")</f>
        <v>CP</v>
      </c>
      <c r="B242" s="119" t="str">
        <f ca="1">IFERROR(__xludf.DUMMYFUNCTION("""COMPUTED_VALUE"""),"Brooks Roehrig")</f>
        <v>Brooks Roehrig</v>
      </c>
      <c r="C242" s="118">
        <f ca="1">IFERROR(__xludf.DUMMYFUNCTION("""COMPUTED_VALUE"""),8)</f>
        <v>8</v>
      </c>
      <c r="D242" s="118" t="str">
        <f ca="1">IFERROR(__xludf.DUMMYFUNCTION("""COMPUTED_VALUE"""),"B")</f>
        <v>B</v>
      </c>
      <c r="E242" s="118" t="str">
        <f ca="1">IFERROR(__xludf.DUMMYFUNCTION("""COMPUTED_VALUE"""),"F")</f>
        <v>F</v>
      </c>
      <c r="F242" s="118" t="str">
        <f ca="1">IFERROR(__xludf.DUMMYFUNCTION("""COMPUTED_VALUE"""),"J")</f>
        <v>J</v>
      </c>
      <c r="G242" s="118">
        <f ca="1">IFERROR(__xludf.DUMMYFUNCTION("""COMPUTED_VALUE"""),5)</f>
        <v>5</v>
      </c>
      <c r="H242" s="118" t="str">
        <f ca="1">IFERROR(__xludf.DUMMYFUNCTION("""COMPUTED_VALUE"""),"CP")</f>
        <v>CP</v>
      </c>
      <c r="I242" s="118">
        <f ca="1">IFERROR(__xludf.DUMMYFUNCTION("""COMPUTED_VALUE"""),5)</f>
        <v>5</v>
      </c>
      <c r="J242" s="118">
        <f ca="1">IFERROR(__xludf.DUMMYFUNCTION("""COMPUTED_VALUE"""),2)</f>
        <v>2</v>
      </c>
      <c r="K242" s="120">
        <f ca="1">IFERROR(__xludf.DUMMYFUNCTION("""COMPUTED_VALUE"""),23.7)</f>
        <v>23.7</v>
      </c>
      <c r="L242" s="121"/>
      <c r="M242" s="120"/>
      <c r="N242" s="121"/>
      <c r="O242" s="120"/>
      <c r="P242" s="122"/>
      <c r="Q242" s="123" t="str">
        <f ca="1">IFERROR(__xludf.DUMMYFUNCTION("""COMPUTED_VALUE"""),"Cozzy Erwin")</f>
        <v>Cozzy Erwin</v>
      </c>
      <c r="R242" s="123" t="str">
        <f ca="1">IFERROR(__xludf.DUMMYFUNCTION("""COMPUTED_VALUE"""),"Gaius Roberts")</f>
        <v>Gaius Roberts</v>
      </c>
      <c r="S242" s="123" t="str">
        <f ca="1">IFERROR(__xludf.DUMMYFUNCTION("""COMPUTED_VALUE"""),"Celeste Lucado")</f>
        <v>Celeste Lucado</v>
      </c>
      <c r="T242" s="123" t="str">
        <f ca="1">IFERROR(__xludf.DUMMYFUNCTION("""COMPUTED_VALUE"""),"Desmond Damico-Lassman")</f>
        <v>Desmond Damico-Lassman</v>
      </c>
    </row>
    <row r="243" spans="1:20" ht="13.8">
      <c r="A243" s="118" t="str">
        <f ca="1">IFERROR(__xludf.DUMMYFUNCTION("""COMPUTED_VALUE"""),"CP")</f>
        <v>CP</v>
      </c>
      <c r="B243" s="119" t="str">
        <f ca="1">IFERROR(__xludf.DUMMYFUNCTION("""COMPUTED_VALUE"""),"Donovan Dempsey")</f>
        <v>Donovan Dempsey</v>
      </c>
      <c r="C243" s="118">
        <f ca="1">IFERROR(__xludf.DUMMYFUNCTION("""COMPUTED_VALUE"""),10)</f>
        <v>10</v>
      </c>
      <c r="D243" s="118" t="str">
        <f ca="1">IFERROR(__xludf.DUMMYFUNCTION("""COMPUTED_VALUE"""),"B")</f>
        <v>B</v>
      </c>
      <c r="E243" s="118" t="str">
        <f ca="1">IFERROR(__xludf.DUMMYFUNCTION("""COMPUTED_VALUE"""),"F")</f>
        <v>F</v>
      </c>
      <c r="F243" s="118" t="str">
        <f ca="1">IFERROR(__xludf.DUMMYFUNCTION("""COMPUTED_VALUE"""),"J")</f>
        <v>J</v>
      </c>
      <c r="G243" s="118">
        <f ca="1">IFERROR(__xludf.DUMMYFUNCTION("""COMPUTED_VALUE"""),5)</f>
        <v>5</v>
      </c>
      <c r="H243" s="118" t="str">
        <f ca="1">IFERROR(__xludf.DUMMYFUNCTION("""COMPUTED_VALUE"""),"CP")</f>
        <v>CP</v>
      </c>
      <c r="I243" s="118">
        <f ca="1">IFERROR(__xludf.DUMMYFUNCTION("""COMPUTED_VALUE"""),5)</f>
        <v>5</v>
      </c>
      <c r="J243" s="118">
        <f ca="1">IFERROR(__xludf.DUMMYFUNCTION("""COMPUTED_VALUE"""),1)</f>
        <v>1</v>
      </c>
      <c r="K243" s="120"/>
      <c r="L243" s="121"/>
      <c r="M243" s="120"/>
      <c r="N243" s="121"/>
      <c r="O243" s="120"/>
      <c r="P243" s="122"/>
      <c r="Q243" s="123" t="str">
        <f ca="1">IFERROR(__xludf.DUMMYFUNCTION("""COMPUTED_VALUE"""),"Danelea Shea")</f>
        <v>Danelea Shea</v>
      </c>
      <c r="R243" s="123" t="str">
        <f ca="1">IFERROR(__xludf.DUMMYFUNCTION("""COMPUTED_VALUE"""),"Gara Kashakhi")</f>
        <v>Gara Kashakhi</v>
      </c>
      <c r="S243" s="123" t="str">
        <f ca="1">IFERROR(__xludf.DUMMYFUNCTION("""COMPUTED_VALUE"""),"Charleigh Cravens")</f>
        <v>Charleigh Cravens</v>
      </c>
      <c r="T243" s="123" t="str">
        <f ca="1">IFERROR(__xludf.DUMMYFUNCTION("""COMPUTED_VALUE"""),"Deven Todman")</f>
        <v>Deven Todman</v>
      </c>
    </row>
    <row r="244" spans="1:20" ht="13.8">
      <c r="A244" s="118" t="str">
        <f ca="1">IFERROR(__xludf.DUMMYFUNCTION("""COMPUTED_VALUE"""),"CP")</f>
        <v>CP</v>
      </c>
      <c r="B244" s="119" t="str">
        <f ca="1">IFERROR(__xludf.DUMMYFUNCTION("""COMPUTED_VALUE"""),"Eli Anwar")</f>
        <v>Eli Anwar</v>
      </c>
      <c r="C244" s="118">
        <f ca="1">IFERROR(__xludf.DUMMYFUNCTION("""COMPUTED_VALUE"""),9)</f>
        <v>9</v>
      </c>
      <c r="D244" s="118" t="str">
        <f ca="1">IFERROR(__xludf.DUMMYFUNCTION("""COMPUTED_VALUE"""),"B")</f>
        <v>B</v>
      </c>
      <c r="E244" s="118" t="str">
        <f ca="1">IFERROR(__xludf.DUMMYFUNCTION("""COMPUTED_VALUE"""),"F")</f>
        <v>F</v>
      </c>
      <c r="F244" s="118" t="str">
        <f ca="1">IFERROR(__xludf.DUMMYFUNCTION("""COMPUTED_VALUE"""),"J")</f>
        <v>J</v>
      </c>
      <c r="G244" s="118">
        <f ca="1">IFERROR(__xludf.DUMMYFUNCTION("""COMPUTED_VALUE"""),5)</f>
        <v>5</v>
      </c>
      <c r="H244" s="118" t="str">
        <f ca="1">IFERROR(__xludf.DUMMYFUNCTION("""COMPUTED_VALUE"""),"CP")</f>
        <v>CP</v>
      </c>
      <c r="I244" s="118">
        <f ca="1">IFERROR(__xludf.DUMMYFUNCTION("""COMPUTED_VALUE"""),5)</f>
        <v>5</v>
      </c>
      <c r="J244" s="118">
        <f ca="1">IFERROR(__xludf.DUMMYFUNCTION("""COMPUTED_VALUE"""),0)</f>
        <v>0</v>
      </c>
      <c r="K244" s="120"/>
      <c r="L244" s="121"/>
      <c r="M244" s="120"/>
      <c r="N244" s="121"/>
      <c r="O244" s="120"/>
      <c r="P244" s="122"/>
      <c r="Q244" s="123" t="str">
        <f ca="1">IFERROR(__xludf.DUMMYFUNCTION("""COMPUTED_VALUE"""),"Dani Esteve")</f>
        <v>Dani Esteve</v>
      </c>
      <c r="R244" s="123" t="str">
        <f ca="1">IFERROR(__xludf.DUMMYFUNCTION("""COMPUTED_VALUE"""),"Garrett Mansuy")</f>
        <v>Garrett Mansuy</v>
      </c>
      <c r="S244" s="123" t="str">
        <f ca="1">IFERROR(__xludf.DUMMYFUNCTION("""COMPUTED_VALUE"""),"Charleigh Healey")</f>
        <v>Charleigh Healey</v>
      </c>
      <c r="T244" s="123" t="str">
        <f ca="1">IFERROR(__xludf.DUMMYFUNCTION("""COMPUTED_VALUE"""),"Devin Davenport")</f>
        <v>Devin Davenport</v>
      </c>
    </row>
    <row r="245" spans="1:20" ht="13.8">
      <c r="A245" s="118" t="str">
        <f ca="1">IFERROR(__xludf.DUMMYFUNCTION("""COMPUTED_VALUE"""),"CP")</f>
        <v>CP</v>
      </c>
      <c r="B245" s="119" t="str">
        <f ca="1">IFERROR(__xludf.DUMMYFUNCTION("""COMPUTED_VALUE"""),"Nolan Cherryholmes-Wesley")</f>
        <v>Nolan Cherryholmes-Wesley</v>
      </c>
      <c r="C245" s="118">
        <f ca="1">IFERROR(__xludf.DUMMYFUNCTION("""COMPUTED_VALUE"""),9)</f>
        <v>9</v>
      </c>
      <c r="D245" s="118" t="str">
        <f ca="1">IFERROR(__xludf.DUMMYFUNCTION("""COMPUTED_VALUE"""),"B")</f>
        <v>B</v>
      </c>
      <c r="E245" s="118" t="str">
        <f ca="1">IFERROR(__xludf.DUMMYFUNCTION("""COMPUTED_VALUE"""),"F")</f>
        <v>F</v>
      </c>
      <c r="F245" s="118" t="str">
        <f ca="1">IFERROR(__xludf.DUMMYFUNCTION("""COMPUTED_VALUE"""),"J")</f>
        <v>J</v>
      </c>
      <c r="G245" s="118">
        <f ca="1">IFERROR(__xludf.DUMMYFUNCTION("""COMPUTED_VALUE"""),5)</f>
        <v>5</v>
      </c>
      <c r="H245" s="118" t="str">
        <f ca="1">IFERROR(__xludf.DUMMYFUNCTION("""COMPUTED_VALUE"""),"CP")</f>
        <v>CP</v>
      </c>
      <c r="I245" s="118">
        <f ca="1">IFERROR(__xludf.DUMMYFUNCTION("""COMPUTED_VALUE"""),5)</f>
        <v>5</v>
      </c>
      <c r="J245" s="118">
        <f ca="1">IFERROR(__xludf.DUMMYFUNCTION("""COMPUTED_VALUE"""),3)</f>
        <v>3</v>
      </c>
      <c r="K245" s="120">
        <f ca="1">IFERROR(__xludf.DUMMYFUNCTION("""COMPUTED_VALUE"""),51.7)</f>
        <v>51.7</v>
      </c>
      <c r="L245" s="121"/>
      <c r="M245" s="120">
        <f ca="1">IFERROR(__xludf.DUMMYFUNCTION("""COMPUTED_VALUE"""),51.7)</f>
        <v>51.7</v>
      </c>
      <c r="N245" s="121"/>
      <c r="O245" s="120"/>
      <c r="P245" s="122"/>
      <c r="Q245" s="123" t="str">
        <f ca="1">IFERROR(__xludf.DUMMYFUNCTION("""COMPUTED_VALUE"""),"Daniella Galligan")</f>
        <v>Daniella Galligan</v>
      </c>
      <c r="R245" s="123" t="str">
        <f ca="1">IFERROR(__xludf.DUMMYFUNCTION("""COMPUTED_VALUE"""),"Garrison Glasford")</f>
        <v>Garrison Glasford</v>
      </c>
      <c r="S245" s="123" t="str">
        <f ca="1">IFERROR(__xludf.DUMMYFUNCTION("""COMPUTED_VALUE"""),"Charlie Cornet")</f>
        <v>Charlie Cornet</v>
      </c>
      <c r="T245" s="123" t="str">
        <f ca="1">IFERROR(__xludf.DUMMYFUNCTION("""COMPUTED_VALUE"""),"Dex Weaver")</f>
        <v>Dex Weaver</v>
      </c>
    </row>
    <row r="246" spans="1:20" ht="13.8">
      <c r="A246" s="118" t="str">
        <f ca="1">IFERROR(__xludf.DUMMYFUNCTION("""COMPUTED_VALUE"""),"CP")</f>
        <v>CP</v>
      </c>
      <c r="B246" s="119" t="str">
        <f ca="1">IFERROR(__xludf.DUMMYFUNCTION("""COMPUTED_VALUE"""),"Ray Roswell")</f>
        <v>Ray Roswell</v>
      </c>
      <c r="C246" s="118">
        <f ca="1">IFERROR(__xludf.DUMMYFUNCTION("""COMPUTED_VALUE"""),10)</f>
        <v>10</v>
      </c>
      <c r="D246" s="118" t="str">
        <f ca="1">IFERROR(__xludf.DUMMYFUNCTION("""COMPUTED_VALUE"""),"B")</f>
        <v>B</v>
      </c>
      <c r="E246" s="118" t="str">
        <f ca="1">IFERROR(__xludf.DUMMYFUNCTION("""COMPUTED_VALUE"""),"F")</f>
        <v>F</v>
      </c>
      <c r="F246" s="118" t="str">
        <f ca="1">IFERROR(__xludf.DUMMYFUNCTION("""COMPUTED_VALUE"""),"J")</f>
        <v>J</v>
      </c>
      <c r="G246" s="118">
        <f ca="1">IFERROR(__xludf.DUMMYFUNCTION("""COMPUTED_VALUE"""),5)</f>
        <v>5</v>
      </c>
      <c r="H246" s="118" t="str">
        <f ca="1">IFERROR(__xludf.DUMMYFUNCTION("""COMPUTED_VALUE"""),"CP")</f>
        <v>CP</v>
      </c>
      <c r="I246" s="118">
        <f ca="1">IFERROR(__xludf.DUMMYFUNCTION("""COMPUTED_VALUE"""),5)</f>
        <v>5</v>
      </c>
      <c r="J246" s="118">
        <f ca="1">IFERROR(__xludf.DUMMYFUNCTION("""COMPUTED_VALUE"""),5)</f>
        <v>5</v>
      </c>
      <c r="K246" s="120">
        <f ca="1">IFERROR(__xludf.DUMMYFUNCTION("""COMPUTED_VALUE"""),66.05)</f>
        <v>66.05</v>
      </c>
      <c r="L246" s="121"/>
      <c r="M246" s="120">
        <f ca="1">IFERROR(__xludf.DUMMYFUNCTION("""COMPUTED_VALUE"""),59.95)</f>
        <v>59.95</v>
      </c>
      <c r="N246" s="121"/>
      <c r="O246" s="120">
        <f ca="1">IFERROR(__xludf.DUMMYFUNCTION("""COMPUTED_VALUE"""),66.05)</f>
        <v>66.05</v>
      </c>
      <c r="P246" s="122"/>
      <c r="Q246" s="123" t="str">
        <f ca="1">IFERROR(__xludf.DUMMYFUNCTION("""COMPUTED_VALUE"""),"Daphne Conquest")</f>
        <v>Daphne Conquest</v>
      </c>
      <c r="R246" s="123" t="str">
        <f ca="1">IFERROR(__xludf.DUMMYFUNCTION("""COMPUTED_VALUE"""),"Gavin Benone")</f>
        <v>Gavin Benone</v>
      </c>
      <c r="S246" s="123" t="str">
        <f ca="1">IFERROR(__xludf.DUMMYFUNCTION("""COMPUTED_VALUE"""),"Charlotte Berik")</f>
        <v>Charlotte Berik</v>
      </c>
      <c r="T246" s="123" t="str">
        <f ca="1">IFERROR(__xludf.DUMMYFUNCTION("""COMPUTED_VALUE"""),"Dominic Meruvia")</f>
        <v>Dominic Meruvia</v>
      </c>
    </row>
    <row r="247" spans="1:20" ht="13.8">
      <c r="A247" s="118" t="str">
        <f ca="1">IFERROR(__xludf.DUMMYFUNCTION("""COMPUTED_VALUE"""),"CP")</f>
        <v>CP</v>
      </c>
      <c r="B247" s="119" t="str">
        <f ca="1">IFERROR(__xludf.DUMMYFUNCTION("""COMPUTED_VALUE"""),"Anna Kosowski")</f>
        <v>Anna Kosowski</v>
      </c>
      <c r="C247" s="118">
        <f ca="1">IFERROR(__xludf.DUMMYFUNCTION("""COMPUTED_VALUE"""),12)</f>
        <v>12</v>
      </c>
      <c r="D247" s="118" t="str">
        <f ca="1">IFERROR(__xludf.DUMMYFUNCTION("""COMPUTED_VALUE"""),"G")</f>
        <v>G</v>
      </c>
      <c r="E247" s="118" t="str">
        <f ca="1">IFERROR(__xludf.DUMMYFUNCTION("""COMPUTED_VALUE"""),"J")</f>
        <v>J</v>
      </c>
      <c r="F247" s="118" t="str">
        <f ca="1">IFERROR(__xludf.DUMMYFUNCTION("""COMPUTED_VALUE"""),"I")</f>
        <v>I</v>
      </c>
      <c r="G247" s="118">
        <f ca="1">IFERROR(__xludf.DUMMYFUNCTION("""COMPUTED_VALUE"""),5)</f>
        <v>5</v>
      </c>
      <c r="H247" s="118" t="str">
        <f ca="1">IFERROR(__xludf.DUMMYFUNCTION("""COMPUTED_VALUE"""),"CP")</f>
        <v>CP</v>
      </c>
      <c r="I247" s="118">
        <f ca="1">IFERROR(__xludf.DUMMYFUNCTION("""COMPUTED_VALUE"""),6)</f>
        <v>6</v>
      </c>
      <c r="J247" s="118">
        <f ca="1">IFERROR(__xludf.DUMMYFUNCTION("""COMPUTED_VALUE"""),1)</f>
        <v>1</v>
      </c>
      <c r="K247" s="120">
        <f ca="1">IFERROR(__xludf.DUMMYFUNCTION("""COMPUTED_VALUE"""),45.25)</f>
        <v>45.25</v>
      </c>
      <c r="L247" s="121"/>
      <c r="M247" s="120"/>
      <c r="N247" s="121"/>
      <c r="O247" s="120"/>
      <c r="P247" s="122"/>
      <c r="Q247" s="123" t="str">
        <f ca="1">IFERROR(__xludf.DUMMYFUNCTION("""COMPUTED_VALUE"""),"Daphne Holler")</f>
        <v>Daphne Holler</v>
      </c>
      <c r="R247" s="123" t="str">
        <f ca="1">IFERROR(__xludf.DUMMYFUNCTION("""COMPUTED_VALUE"""),"Gavin Stiens")</f>
        <v>Gavin Stiens</v>
      </c>
      <c r="S247" s="123" t="str">
        <f ca="1">IFERROR(__xludf.DUMMYFUNCTION("""COMPUTED_VALUE"""),"Charlotte Case")</f>
        <v>Charlotte Case</v>
      </c>
      <c r="T247" s="123" t="str">
        <f ca="1">IFERROR(__xludf.DUMMYFUNCTION("""COMPUTED_VALUE"""),"Donovan Dempsey")</f>
        <v>Donovan Dempsey</v>
      </c>
    </row>
    <row r="248" spans="1:20" ht="13.8">
      <c r="A248" s="118" t="str">
        <f ca="1">IFERROR(__xludf.DUMMYFUNCTION("""COMPUTED_VALUE"""),"CP")</f>
        <v>CP</v>
      </c>
      <c r="B248" s="119" t="str">
        <f ca="1">IFERROR(__xludf.DUMMYFUNCTION("""COMPUTED_VALUE"""),"Briana Birchfield")</f>
        <v>Briana Birchfield</v>
      </c>
      <c r="C248" s="118">
        <f ca="1">IFERROR(__xludf.DUMMYFUNCTION("""COMPUTED_VALUE"""),11)</f>
        <v>11</v>
      </c>
      <c r="D248" s="118" t="str">
        <f ca="1">IFERROR(__xludf.DUMMYFUNCTION("""COMPUTED_VALUE"""),"G")</f>
        <v>G</v>
      </c>
      <c r="E248" s="118" t="str">
        <f ca="1">IFERROR(__xludf.DUMMYFUNCTION("""COMPUTED_VALUE"""),"J")</f>
        <v>J</v>
      </c>
      <c r="F248" s="118" t="str">
        <f ca="1">IFERROR(__xludf.DUMMYFUNCTION("""COMPUTED_VALUE"""),"I")</f>
        <v>I</v>
      </c>
      <c r="G248" s="118">
        <f ca="1">IFERROR(__xludf.DUMMYFUNCTION("""COMPUTED_VALUE"""),5)</f>
        <v>5</v>
      </c>
      <c r="H248" s="118" t="str">
        <f ca="1">IFERROR(__xludf.DUMMYFUNCTION("""COMPUTED_VALUE"""),"CP")</f>
        <v>CP</v>
      </c>
      <c r="I248" s="118">
        <f ca="1">IFERROR(__xludf.DUMMYFUNCTION("""COMPUTED_VALUE"""),6)</f>
        <v>6</v>
      </c>
      <c r="J248" s="118">
        <f ca="1">IFERROR(__xludf.DUMMYFUNCTION("""COMPUTED_VALUE"""),4)</f>
        <v>4</v>
      </c>
      <c r="K248" s="120">
        <f ca="1">IFERROR(__xludf.DUMMYFUNCTION("""COMPUTED_VALUE"""),53.75)</f>
        <v>53.75</v>
      </c>
      <c r="L248" s="121"/>
      <c r="M248" s="120"/>
      <c r="N248" s="121"/>
      <c r="O248" s="120">
        <f ca="1">IFERROR(__xludf.DUMMYFUNCTION("""COMPUTED_VALUE"""),39.05)</f>
        <v>39.049999999999997</v>
      </c>
      <c r="P248" s="122"/>
      <c r="Q248" s="123" t="str">
        <f ca="1">IFERROR(__xludf.DUMMYFUNCTION("""COMPUTED_VALUE"""),"Dee Damjan")</f>
        <v>Dee Damjan</v>
      </c>
      <c r="R248" s="123" t="str">
        <f ca="1">IFERROR(__xludf.DUMMYFUNCTION("""COMPUTED_VALUE"""),"George Broido")</f>
        <v>George Broido</v>
      </c>
      <c r="S248" s="123" t="str">
        <f ca="1">IFERROR(__xludf.DUMMYFUNCTION("""COMPUTED_VALUE"""),"Charlotte Fay")</f>
        <v>Charlotte Fay</v>
      </c>
      <c r="T248" s="123" t="str">
        <f ca="1">IFERROR(__xludf.DUMMYFUNCTION("""COMPUTED_VALUE"""),"Drew Avila")</f>
        <v>Drew Avila</v>
      </c>
    </row>
    <row r="249" spans="1:20" ht="13.8">
      <c r="A249" s="118" t="str">
        <f ca="1">IFERROR(__xludf.DUMMYFUNCTION("""COMPUTED_VALUE"""),"CP")</f>
        <v>CP</v>
      </c>
      <c r="B249" s="119" t="str">
        <f ca="1">IFERROR(__xludf.DUMMYFUNCTION("""COMPUTED_VALUE"""),"Cameron Roehrig")</f>
        <v>Cameron Roehrig</v>
      </c>
      <c r="C249" s="118">
        <f ca="1">IFERROR(__xludf.DUMMYFUNCTION("""COMPUTED_VALUE"""),11)</f>
        <v>11</v>
      </c>
      <c r="D249" s="118" t="str">
        <f ca="1">IFERROR(__xludf.DUMMYFUNCTION("""COMPUTED_VALUE"""),"G")</f>
        <v>G</v>
      </c>
      <c r="E249" s="118" t="str">
        <f ca="1">IFERROR(__xludf.DUMMYFUNCTION("""COMPUTED_VALUE"""),"J")</f>
        <v>J</v>
      </c>
      <c r="F249" s="118" t="str">
        <f ca="1">IFERROR(__xludf.DUMMYFUNCTION("""COMPUTED_VALUE"""),"I")</f>
        <v>I</v>
      </c>
      <c r="G249" s="118">
        <f ca="1">IFERROR(__xludf.DUMMYFUNCTION("""COMPUTED_VALUE"""),5)</f>
        <v>5</v>
      </c>
      <c r="H249" s="118" t="str">
        <f ca="1">IFERROR(__xludf.DUMMYFUNCTION("""COMPUTED_VALUE"""),"CP")</f>
        <v>CP</v>
      </c>
      <c r="I249" s="118">
        <f ca="1">IFERROR(__xludf.DUMMYFUNCTION("""COMPUTED_VALUE"""),6)</f>
        <v>6</v>
      </c>
      <c r="J249" s="118">
        <f ca="1">IFERROR(__xludf.DUMMYFUNCTION("""COMPUTED_VALUE"""),0)</f>
        <v>0</v>
      </c>
      <c r="K249" s="120"/>
      <c r="L249" s="121"/>
      <c r="M249" s="120"/>
      <c r="N249" s="121"/>
      <c r="O249" s="120"/>
      <c r="P249" s="122"/>
      <c r="Q249" s="123" t="str">
        <f ca="1">IFERROR(__xludf.DUMMYFUNCTION("""COMPUTED_VALUE"""),"Deena Epstein")</f>
        <v>Deena Epstein</v>
      </c>
      <c r="R249" s="123" t="str">
        <f ca="1">IFERROR(__xludf.DUMMYFUNCTION("""COMPUTED_VALUE"""),"George Janicke")</f>
        <v>George Janicke</v>
      </c>
      <c r="S249" s="123" t="str">
        <f ca="1">IFERROR(__xludf.DUMMYFUNCTION("""COMPUTED_VALUE"""),"Charlotte Fayhee")</f>
        <v>Charlotte Fayhee</v>
      </c>
      <c r="T249" s="123" t="str">
        <f ca="1">IFERROR(__xludf.DUMMYFUNCTION("""COMPUTED_VALUE"""),"Drew Laursen")</f>
        <v>Drew Laursen</v>
      </c>
    </row>
    <row r="250" spans="1:20" ht="13.8">
      <c r="A250" s="118" t="str">
        <f ca="1">IFERROR(__xludf.DUMMYFUNCTION("""COMPUTED_VALUE"""),"CP")</f>
        <v>CP</v>
      </c>
      <c r="B250" s="119" t="str">
        <f ca="1">IFERROR(__xludf.DUMMYFUNCTION("""COMPUTED_VALUE"""),"Emma Whaley")</f>
        <v>Emma Whaley</v>
      </c>
      <c r="C250" s="118">
        <f ca="1">IFERROR(__xludf.DUMMYFUNCTION("""COMPUTED_VALUE"""),12)</f>
        <v>12</v>
      </c>
      <c r="D250" s="118" t="str">
        <f ca="1">IFERROR(__xludf.DUMMYFUNCTION("""COMPUTED_VALUE"""),"G")</f>
        <v>G</v>
      </c>
      <c r="E250" s="118" t="str">
        <f ca="1">IFERROR(__xludf.DUMMYFUNCTION("""COMPUTED_VALUE"""),"J")</f>
        <v>J</v>
      </c>
      <c r="F250" s="118" t="str">
        <f ca="1">IFERROR(__xludf.DUMMYFUNCTION("""COMPUTED_VALUE"""),"I")</f>
        <v>I</v>
      </c>
      <c r="G250" s="118">
        <f ca="1">IFERROR(__xludf.DUMMYFUNCTION("""COMPUTED_VALUE"""),5)</f>
        <v>5</v>
      </c>
      <c r="H250" s="118" t="str">
        <f ca="1">IFERROR(__xludf.DUMMYFUNCTION("""COMPUTED_VALUE"""),"CP")</f>
        <v>CP</v>
      </c>
      <c r="I250" s="118">
        <f ca="1">IFERROR(__xludf.DUMMYFUNCTION("""COMPUTED_VALUE"""),6)</f>
        <v>6</v>
      </c>
      <c r="J250" s="118">
        <f ca="1">IFERROR(__xludf.DUMMYFUNCTION("""COMPUTED_VALUE"""),5)</f>
        <v>5</v>
      </c>
      <c r="K250" s="120">
        <f ca="1">IFERROR(__xludf.DUMMYFUNCTION("""COMPUTED_VALUE"""),103.85)</f>
        <v>103.85</v>
      </c>
      <c r="L250" s="121"/>
      <c r="M250" s="120">
        <f ca="1">IFERROR(__xludf.DUMMYFUNCTION("""COMPUTED_VALUE"""),80.9)</f>
        <v>80.900000000000006</v>
      </c>
      <c r="N250" s="121"/>
      <c r="O250" s="120">
        <f ca="1">IFERROR(__xludf.DUMMYFUNCTION("""COMPUTED_VALUE"""),103.85)</f>
        <v>103.85</v>
      </c>
      <c r="P250" s="122"/>
      <c r="Q250" s="123" t="str">
        <f ca="1">IFERROR(__xludf.DUMMYFUNCTION("""COMPUTED_VALUE"""),"Delaney Weaver")</f>
        <v>Delaney Weaver</v>
      </c>
      <c r="R250" s="123" t="str">
        <f ca="1">IFERROR(__xludf.DUMMYFUNCTION("""COMPUTED_VALUE"""),"George Root")</f>
        <v>George Root</v>
      </c>
      <c r="S250" s="123" t="str">
        <f ca="1">IFERROR(__xludf.DUMMYFUNCTION("""COMPUTED_VALUE"""),"Charlotte Fletcher")</f>
        <v>Charlotte Fletcher</v>
      </c>
      <c r="T250" s="123" t="str">
        <f ca="1">IFERROR(__xludf.DUMMYFUNCTION("""COMPUTED_VALUE"""),"Drew Southworth")</f>
        <v>Drew Southworth</v>
      </c>
    </row>
    <row r="251" spans="1:20" ht="13.8">
      <c r="A251" s="118" t="str">
        <f ca="1">IFERROR(__xludf.DUMMYFUNCTION("""COMPUTED_VALUE"""),"CP")</f>
        <v>CP</v>
      </c>
      <c r="B251" s="119" t="str">
        <f ca="1">IFERROR(__xludf.DUMMYFUNCTION("""COMPUTED_VALUE"""),"Hannah Barry")</f>
        <v>Hannah Barry</v>
      </c>
      <c r="C251" s="118">
        <f ca="1">IFERROR(__xludf.DUMMYFUNCTION("""COMPUTED_VALUE"""),11)</f>
        <v>11</v>
      </c>
      <c r="D251" s="118" t="str">
        <f ca="1">IFERROR(__xludf.DUMMYFUNCTION("""COMPUTED_VALUE"""),"G")</f>
        <v>G</v>
      </c>
      <c r="E251" s="118" t="str">
        <f ca="1">IFERROR(__xludf.DUMMYFUNCTION("""COMPUTED_VALUE"""),"J")</f>
        <v>J</v>
      </c>
      <c r="F251" s="118" t="str">
        <f ca="1">IFERROR(__xludf.DUMMYFUNCTION("""COMPUTED_VALUE"""),"I")</f>
        <v>I</v>
      </c>
      <c r="G251" s="118">
        <f ca="1">IFERROR(__xludf.DUMMYFUNCTION("""COMPUTED_VALUE"""),5)</f>
        <v>5</v>
      </c>
      <c r="H251" s="118" t="str">
        <f ca="1">IFERROR(__xludf.DUMMYFUNCTION("""COMPUTED_VALUE"""),"CP")</f>
        <v>CP</v>
      </c>
      <c r="I251" s="118">
        <f ca="1">IFERROR(__xludf.DUMMYFUNCTION("""COMPUTED_VALUE"""),6)</f>
        <v>6</v>
      </c>
      <c r="J251" s="118">
        <f ca="1">IFERROR(__xludf.DUMMYFUNCTION("""COMPUTED_VALUE"""),3)</f>
        <v>3</v>
      </c>
      <c r="K251" s="120">
        <f ca="1">IFERROR(__xludf.DUMMYFUNCTION("""COMPUTED_VALUE"""),69.4)</f>
        <v>69.400000000000006</v>
      </c>
      <c r="L251" s="121"/>
      <c r="M251" s="120"/>
      <c r="N251" s="121"/>
      <c r="O251" s="120">
        <f ca="1">IFERROR(__xludf.DUMMYFUNCTION("""COMPUTED_VALUE"""),61.6)</f>
        <v>61.6</v>
      </c>
      <c r="P251" s="122"/>
      <c r="Q251" s="123" t="str">
        <f ca="1">IFERROR(__xludf.DUMMYFUNCTION("""COMPUTED_VALUE"""),"Deya Sidhu")</f>
        <v>Deya Sidhu</v>
      </c>
      <c r="R251" s="123" t="str">
        <f ca="1">IFERROR(__xludf.DUMMYFUNCTION("""COMPUTED_VALUE"""),"Gianluca Bucelli")</f>
        <v>Gianluca Bucelli</v>
      </c>
      <c r="S251" s="123" t="str">
        <f ca="1">IFERROR(__xludf.DUMMYFUNCTION("""COMPUTED_VALUE"""),"Charlotte Gilstrap")</f>
        <v>Charlotte Gilstrap</v>
      </c>
      <c r="T251" s="123" t="str">
        <f ca="1">IFERROR(__xludf.DUMMYFUNCTION("""COMPUTED_VALUE"""),"Drew Winslow")</f>
        <v>Drew Winslow</v>
      </c>
    </row>
    <row r="252" spans="1:20" ht="13.8">
      <c r="A252" s="118" t="str">
        <f ca="1">IFERROR(__xludf.DUMMYFUNCTION("""COMPUTED_VALUE"""),"CP")</f>
        <v>CP</v>
      </c>
      <c r="B252" s="119" t="str">
        <f ca="1">IFERROR(__xludf.DUMMYFUNCTION("""COMPUTED_VALUE"""),"Jackie Hull")</f>
        <v>Jackie Hull</v>
      </c>
      <c r="C252" s="118">
        <f ca="1">IFERROR(__xludf.DUMMYFUNCTION("""COMPUTED_VALUE"""),12)</f>
        <v>12</v>
      </c>
      <c r="D252" s="118" t="str">
        <f ca="1">IFERROR(__xludf.DUMMYFUNCTION("""COMPUTED_VALUE"""),"G")</f>
        <v>G</v>
      </c>
      <c r="E252" s="118" t="str">
        <f ca="1">IFERROR(__xludf.DUMMYFUNCTION("""COMPUTED_VALUE"""),"J")</f>
        <v>J</v>
      </c>
      <c r="F252" s="118" t="str">
        <f ca="1">IFERROR(__xludf.DUMMYFUNCTION("""COMPUTED_VALUE"""),"I")</f>
        <v>I</v>
      </c>
      <c r="G252" s="118">
        <f ca="1">IFERROR(__xludf.DUMMYFUNCTION("""COMPUTED_VALUE"""),5)</f>
        <v>5</v>
      </c>
      <c r="H252" s="118" t="str">
        <f ca="1">IFERROR(__xludf.DUMMYFUNCTION("""COMPUTED_VALUE"""),"CP")</f>
        <v>CP</v>
      </c>
      <c r="I252" s="118">
        <f ca="1">IFERROR(__xludf.DUMMYFUNCTION("""COMPUTED_VALUE"""),6)</f>
        <v>6</v>
      </c>
      <c r="J252" s="118">
        <f ca="1">IFERROR(__xludf.DUMMYFUNCTION("""COMPUTED_VALUE"""),1)</f>
        <v>1</v>
      </c>
      <c r="K252" s="120">
        <f ca="1">IFERROR(__xludf.DUMMYFUNCTION("""COMPUTED_VALUE"""),53.5)</f>
        <v>53.5</v>
      </c>
      <c r="L252" s="121"/>
      <c r="M252" s="120"/>
      <c r="N252" s="121"/>
      <c r="O252" s="120"/>
      <c r="P252" s="122"/>
      <c r="Q252" s="123" t="str">
        <f ca="1">IFERROR(__xludf.DUMMYFUNCTION("""COMPUTED_VALUE"""),"Divya Bharathan")</f>
        <v>Divya Bharathan</v>
      </c>
      <c r="R252" s="123" t="str">
        <f ca="1">IFERROR(__xludf.DUMMYFUNCTION("""COMPUTED_VALUE"""),"Gibson Cagianesa")</f>
        <v>Gibson Cagianesa</v>
      </c>
      <c r="S252" s="123" t="str">
        <f ca="1">IFERROR(__xludf.DUMMYFUNCTION("""COMPUTED_VALUE"""),"Charlotte Henderson")</f>
        <v>Charlotte Henderson</v>
      </c>
      <c r="T252" s="123" t="str">
        <f ca="1">IFERROR(__xludf.DUMMYFUNCTION("""COMPUTED_VALUE"""),"Drexel Gianoli")</f>
        <v>Drexel Gianoli</v>
      </c>
    </row>
    <row r="253" spans="1:20" ht="13.8">
      <c r="A253" s="118" t="str">
        <f ca="1">IFERROR(__xludf.DUMMYFUNCTION("""COMPUTED_VALUE"""),"CP")</f>
        <v>CP</v>
      </c>
      <c r="B253" s="119" t="str">
        <f ca="1">IFERROR(__xludf.DUMMYFUNCTION("""COMPUTED_VALUE"""),"Natalia Patrick")</f>
        <v>Natalia Patrick</v>
      </c>
      <c r="C253" s="118">
        <f ca="1">IFERROR(__xludf.DUMMYFUNCTION("""COMPUTED_VALUE"""),11)</f>
        <v>11</v>
      </c>
      <c r="D253" s="118" t="str">
        <f ca="1">IFERROR(__xludf.DUMMYFUNCTION("""COMPUTED_VALUE"""),"G")</f>
        <v>G</v>
      </c>
      <c r="E253" s="118" t="str">
        <f ca="1">IFERROR(__xludf.DUMMYFUNCTION("""COMPUTED_VALUE"""),"J")</f>
        <v>J</v>
      </c>
      <c r="F253" s="118" t="str">
        <f ca="1">IFERROR(__xludf.DUMMYFUNCTION("""COMPUTED_VALUE"""),"I")</f>
        <v>I</v>
      </c>
      <c r="G253" s="118">
        <f ca="1">IFERROR(__xludf.DUMMYFUNCTION("""COMPUTED_VALUE"""),5)</f>
        <v>5</v>
      </c>
      <c r="H253" s="118" t="str">
        <f ca="1">IFERROR(__xludf.DUMMYFUNCTION("""COMPUTED_VALUE"""),"CP")</f>
        <v>CP</v>
      </c>
      <c r="I253" s="118">
        <f ca="1">IFERROR(__xludf.DUMMYFUNCTION("""COMPUTED_VALUE"""),6)</f>
        <v>6</v>
      </c>
      <c r="J253" s="118">
        <f ca="1">IFERROR(__xludf.DUMMYFUNCTION("""COMPUTED_VALUE"""),0)</f>
        <v>0</v>
      </c>
      <c r="K253" s="120"/>
      <c r="L253" s="121"/>
      <c r="M253" s="120"/>
      <c r="N253" s="121"/>
      <c r="O253" s="120"/>
      <c r="P253" s="122"/>
      <c r="Q253" s="123" t="str">
        <f ca="1">IFERROR(__xludf.DUMMYFUNCTION("""COMPUTED_VALUE"""),"Dorothy Small")</f>
        <v>Dorothy Small</v>
      </c>
      <c r="R253" s="123" t="str">
        <f ca="1">IFERROR(__xludf.DUMMYFUNCTION("""COMPUTED_VALUE"""),"Gio Flores")</f>
        <v>Gio Flores</v>
      </c>
      <c r="S253" s="123" t="str">
        <f ca="1">IFERROR(__xludf.DUMMYFUNCTION("""COMPUTED_VALUE"""),"Charlotte Hill")</f>
        <v>Charlotte Hill</v>
      </c>
      <c r="T253" s="123" t="str">
        <f ca="1">IFERROR(__xludf.DUMMYFUNCTION("""COMPUTED_VALUE"""),"Duncan Carr")</f>
        <v>Duncan Carr</v>
      </c>
    </row>
    <row r="254" spans="1:20" ht="13.8">
      <c r="A254" s="118" t="str">
        <f ca="1">IFERROR(__xludf.DUMMYFUNCTION("""COMPUTED_VALUE"""),"CP")</f>
        <v>CP</v>
      </c>
      <c r="B254" s="119" t="str">
        <f ca="1">IFERROR(__xludf.DUMMYFUNCTION("""COMPUTED_VALUE"""),"Sophie Ryan")</f>
        <v>Sophie Ryan</v>
      </c>
      <c r="C254" s="118">
        <f ca="1">IFERROR(__xludf.DUMMYFUNCTION("""COMPUTED_VALUE"""),12)</f>
        <v>12</v>
      </c>
      <c r="D254" s="118" t="str">
        <f ca="1">IFERROR(__xludf.DUMMYFUNCTION("""COMPUTED_VALUE"""),"G")</f>
        <v>G</v>
      </c>
      <c r="E254" s="118" t="str">
        <f ca="1">IFERROR(__xludf.DUMMYFUNCTION("""COMPUTED_VALUE"""),"J")</f>
        <v>J</v>
      </c>
      <c r="F254" s="118" t="str">
        <f ca="1">IFERROR(__xludf.DUMMYFUNCTION("""COMPUTED_VALUE"""),"I")</f>
        <v>I</v>
      </c>
      <c r="G254" s="118">
        <f ca="1">IFERROR(__xludf.DUMMYFUNCTION("""COMPUTED_VALUE"""),5)</f>
        <v>5</v>
      </c>
      <c r="H254" s="118" t="str">
        <f ca="1">IFERROR(__xludf.DUMMYFUNCTION("""COMPUTED_VALUE"""),"CP")</f>
        <v>CP</v>
      </c>
      <c r="I254" s="118">
        <f ca="1">IFERROR(__xludf.DUMMYFUNCTION("""COMPUTED_VALUE"""),6)</f>
        <v>6</v>
      </c>
      <c r="J254" s="118">
        <f ca="1">IFERROR(__xludf.DUMMYFUNCTION("""COMPUTED_VALUE"""),4)</f>
        <v>4</v>
      </c>
      <c r="K254" s="120">
        <f ca="1">IFERROR(__xludf.DUMMYFUNCTION("""COMPUTED_VALUE"""),79.1)</f>
        <v>79.099999999999994</v>
      </c>
      <c r="L254" s="121"/>
      <c r="M254" s="120">
        <f ca="1">IFERROR(__xludf.DUMMYFUNCTION("""COMPUTED_VALUE"""),75.6)</f>
        <v>75.599999999999994</v>
      </c>
      <c r="N254" s="121"/>
      <c r="O254" s="120">
        <f ca="1">IFERROR(__xludf.DUMMYFUNCTION("""COMPUTED_VALUE"""),78.95)</f>
        <v>78.95</v>
      </c>
      <c r="P254" s="122"/>
      <c r="Q254" s="123" t="str">
        <f ca="1">IFERROR(__xludf.DUMMYFUNCTION("""COMPUTED_VALUE"""),"Eden Cogert")</f>
        <v>Eden Cogert</v>
      </c>
      <c r="R254" s="123" t="str">
        <f ca="1">IFERROR(__xludf.DUMMYFUNCTION("""COMPUTED_VALUE"""),"Grady Kight")</f>
        <v>Grady Kight</v>
      </c>
      <c r="S254" s="123" t="str">
        <f ca="1">IFERROR(__xludf.DUMMYFUNCTION("""COMPUTED_VALUE"""),"Charlotte Kluttz")</f>
        <v>Charlotte Kluttz</v>
      </c>
      <c r="T254" s="123" t="str">
        <f ca="1">IFERROR(__xludf.DUMMYFUNCTION("""COMPUTED_VALUE"""),"Dylan Baldrate")</f>
        <v>Dylan Baldrate</v>
      </c>
    </row>
    <row r="255" spans="1:20" ht="13.8">
      <c r="A255" s="118" t="str">
        <f ca="1">IFERROR(__xludf.DUMMYFUNCTION("""COMPUTED_VALUE"""),"CP")</f>
        <v>CP</v>
      </c>
      <c r="B255" s="119" t="str">
        <f ca="1">IFERROR(__xludf.DUMMYFUNCTION("""COMPUTED_VALUE"""),"Taylor Lehmann")</f>
        <v>Taylor Lehmann</v>
      </c>
      <c r="C255" s="118">
        <f ca="1">IFERROR(__xludf.DUMMYFUNCTION("""COMPUTED_VALUE"""),12)</f>
        <v>12</v>
      </c>
      <c r="D255" s="118" t="str">
        <f ca="1">IFERROR(__xludf.DUMMYFUNCTION("""COMPUTED_VALUE"""),"G")</f>
        <v>G</v>
      </c>
      <c r="E255" s="118" t="str">
        <f ca="1">IFERROR(__xludf.DUMMYFUNCTION("""COMPUTED_VALUE"""),"J")</f>
        <v>J</v>
      </c>
      <c r="F255" s="118" t="str">
        <f ca="1">IFERROR(__xludf.DUMMYFUNCTION("""COMPUTED_VALUE"""),"I")</f>
        <v>I</v>
      </c>
      <c r="G255" s="118">
        <f ca="1">IFERROR(__xludf.DUMMYFUNCTION("""COMPUTED_VALUE"""),5)</f>
        <v>5</v>
      </c>
      <c r="H255" s="118" t="str">
        <f ca="1">IFERROR(__xludf.DUMMYFUNCTION("""COMPUTED_VALUE"""),"CP")</f>
        <v>CP</v>
      </c>
      <c r="I255" s="118">
        <f ca="1">IFERROR(__xludf.DUMMYFUNCTION("""COMPUTED_VALUE"""),6)</f>
        <v>6</v>
      </c>
      <c r="J255" s="118">
        <f ca="1">IFERROR(__xludf.DUMMYFUNCTION("""COMPUTED_VALUE"""),2)</f>
        <v>2</v>
      </c>
      <c r="K255" s="120">
        <f ca="1">IFERROR(__xludf.DUMMYFUNCTION("""COMPUTED_VALUE"""),68.3)</f>
        <v>68.3</v>
      </c>
      <c r="L255" s="121"/>
      <c r="M255" s="120"/>
      <c r="N255" s="121"/>
      <c r="O255" s="120"/>
      <c r="P255" s="122"/>
      <c r="Q255" s="123" t="str">
        <f ca="1">IFERROR(__xludf.DUMMYFUNCTION("""COMPUTED_VALUE"""),"Edi Charboneau")</f>
        <v>Edi Charboneau</v>
      </c>
      <c r="R255" s="123" t="str">
        <f ca="1">IFERROR(__xludf.DUMMYFUNCTION("""COMPUTED_VALUE"""),"Graham Benson")</f>
        <v>Graham Benson</v>
      </c>
      <c r="S255" s="123" t="str">
        <f ca="1">IFERROR(__xludf.DUMMYFUNCTION("""COMPUTED_VALUE"""),"Charlotte Miller")</f>
        <v>Charlotte Miller</v>
      </c>
      <c r="T255" s="123" t="str">
        <f ca="1">IFERROR(__xludf.DUMMYFUNCTION("""COMPUTED_VALUE"""),"Dylan Davenport")</f>
        <v>Dylan Davenport</v>
      </c>
    </row>
    <row r="256" spans="1:20" ht="13.8">
      <c r="A256" s="118" t="str">
        <f ca="1">IFERROR(__xludf.DUMMYFUNCTION("""COMPUTED_VALUE"""),"CP")</f>
        <v>CP</v>
      </c>
      <c r="B256" s="119" t="str">
        <f ca="1">IFERROR(__xludf.DUMMYFUNCTION("""COMPUTED_VALUE"""),"Adam Sabo")</f>
        <v>Adam Sabo</v>
      </c>
      <c r="C256" s="118">
        <f ca="1">IFERROR(__xludf.DUMMYFUNCTION("""COMPUTED_VALUE"""),11)</f>
        <v>11</v>
      </c>
      <c r="D256" s="118" t="str">
        <f ca="1">IFERROR(__xludf.DUMMYFUNCTION("""COMPUTED_VALUE"""),"B")</f>
        <v>B</v>
      </c>
      <c r="E256" s="118" t="str">
        <f ca="1">IFERROR(__xludf.DUMMYFUNCTION("""COMPUTED_VALUE"""),"J")</f>
        <v>J</v>
      </c>
      <c r="F256" s="118" t="str">
        <f ca="1">IFERROR(__xludf.DUMMYFUNCTION("""COMPUTED_VALUE"""),"I")</f>
        <v>I</v>
      </c>
      <c r="G256" s="118">
        <f ca="1">IFERROR(__xludf.DUMMYFUNCTION("""COMPUTED_VALUE"""),5)</f>
        <v>5</v>
      </c>
      <c r="H256" s="118" t="str">
        <f ca="1">IFERROR(__xludf.DUMMYFUNCTION("""COMPUTED_VALUE"""),"CP")</f>
        <v>CP</v>
      </c>
      <c r="I256" s="118">
        <f ca="1">IFERROR(__xludf.DUMMYFUNCTION("""COMPUTED_VALUE"""),7)</f>
        <v>7</v>
      </c>
      <c r="J256" s="118">
        <f ca="1">IFERROR(__xludf.DUMMYFUNCTION("""COMPUTED_VALUE"""),0)</f>
        <v>0</v>
      </c>
      <c r="K256" s="120"/>
      <c r="L256" s="121"/>
      <c r="M256" s="120"/>
      <c r="N256" s="121"/>
      <c r="O256" s="120"/>
      <c r="P256" s="122"/>
      <c r="Q256" s="123" t="str">
        <f ca="1">IFERROR(__xludf.DUMMYFUNCTION("""COMPUTED_VALUE"""),"Effie Erwin")</f>
        <v>Effie Erwin</v>
      </c>
      <c r="R256" s="123" t="str">
        <f ca="1">IFERROR(__xludf.DUMMYFUNCTION("""COMPUTED_VALUE"""),"Graham Evans")</f>
        <v>Graham Evans</v>
      </c>
      <c r="S256" s="123" t="str">
        <f ca="1">IFERROR(__xludf.DUMMYFUNCTION("""COMPUTED_VALUE"""),"Charlotte Pechulis")</f>
        <v>Charlotte Pechulis</v>
      </c>
      <c r="T256" s="123" t="str">
        <f ca="1">IFERROR(__xludf.DUMMYFUNCTION("""COMPUTED_VALUE"""),"Dylan Lake")</f>
        <v>Dylan Lake</v>
      </c>
    </row>
    <row r="257" spans="1:20" ht="13.8">
      <c r="A257" s="118" t="str">
        <f ca="1">IFERROR(__xludf.DUMMYFUNCTION("""COMPUTED_VALUE"""),"CP")</f>
        <v>CP</v>
      </c>
      <c r="B257" s="119" t="str">
        <f ca="1">IFERROR(__xludf.DUMMYFUNCTION("""COMPUTED_VALUE"""),"Caleb Cherryholmes-Wesley")</f>
        <v>Caleb Cherryholmes-Wesley</v>
      </c>
      <c r="C257" s="118">
        <f ca="1">IFERROR(__xludf.DUMMYFUNCTION("""COMPUTED_VALUE"""),12)</f>
        <v>12</v>
      </c>
      <c r="D257" s="118" t="str">
        <f ca="1">IFERROR(__xludf.DUMMYFUNCTION("""COMPUTED_VALUE"""),"B")</f>
        <v>B</v>
      </c>
      <c r="E257" s="118" t="str">
        <f ca="1">IFERROR(__xludf.DUMMYFUNCTION("""COMPUTED_VALUE"""),"J")</f>
        <v>J</v>
      </c>
      <c r="F257" s="118" t="str">
        <f ca="1">IFERROR(__xludf.DUMMYFUNCTION("""COMPUTED_VALUE"""),"I")</f>
        <v>I</v>
      </c>
      <c r="G257" s="118">
        <f ca="1">IFERROR(__xludf.DUMMYFUNCTION("""COMPUTED_VALUE"""),5)</f>
        <v>5</v>
      </c>
      <c r="H257" s="118" t="str">
        <f ca="1">IFERROR(__xludf.DUMMYFUNCTION("""COMPUTED_VALUE"""),"CP")</f>
        <v>CP</v>
      </c>
      <c r="I257" s="118">
        <f ca="1">IFERROR(__xludf.DUMMYFUNCTION("""COMPUTED_VALUE"""),7)</f>
        <v>7</v>
      </c>
      <c r="J257" s="118">
        <f ca="1">IFERROR(__xludf.DUMMYFUNCTION("""COMPUTED_VALUE"""),5)</f>
        <v>5</v>
      </c>
      <c r="K257" s="120">
        <f ca="1">IFERROR(__xludf.DUMMYFUNCTION("""COMPUTED_VALUE"""),108.8)</f>
        <v>108.8</v>
      </c>
      <c r="L257" s="121"/>
      <c r="M257" s="120">
        <f ca="1">IFERROR(__xludf.DUMMYFUNCTION("""COMPUTED_VALUE"""),103.5)</f>
        <v>103.5</v>
      </c>
      <c r="N257" s="121"/>
      <c r="O257" s="120">
        <f ca="1">IFERROR(__xludf.DUMMYFUNCTION("""COMPUTED_VALUE"""),100.9)</f>
        <v>100.9</v>
      </c>
      <c r="P257" s="122"/>
      <c r="Q257" s="123" t="str">
        <f ca="1">IFERROR(__xludf.DUMMYFUNCTION("""COMPUTED_VALUE"""),"Elaina Ryan")</f>
        <v>Elaina Ryan</v>
      </c>
      <c r="R257" s="123" t="str">
        <f ca="1">IFERROR(__xludf.DUMMYFUNCTION("""COMPUTED_VALUE"""),"Graham Smith")</f>
        <v>Graham Smith</v>
      </c>
      <c r="S257" s="123" t="str">
        <f ca="1">IFERROR(__xludf.DUMMYFUNCTION("""COMPUTED_VALUE"""),"Charlotte Petrick")</f>
        <v>Charlotte Petrick</v>
      </c>
      <c r="T257" s="123" t="str">
        <f ca="1">IFERROR(__xludf.DUMMYFUNCTION("""COMPUTED_VALUE"""),"Dylan Paci")</f>
        <v>Dylan Paci</v>
      </c>
    </row>
    <row r="258" spans="1:20" ht="13.8">
      <c r="A258" s="118" t="str">
        <f ca="1">IFERROR(__xludf.DUMMYFUNCTION("""COMPUTED_VALUE"""),"CP")</f>
        <v>CP</v>
      </c>
      <c r="B258" s="119" t="str">
        <f ca="1">IFERROR(__xludf.DUMMYFUNCTION("""COMPUTED_VALUE"""),"Liam Johns")</f>
        <v>Liam Johns</v>
      </c>
      <c r="C258" s="118">
        <f ca="1">IFERROR(__xludf.DUMMYFUNCTION("""COMPUTED_VALUE"""),11)</f>
        <v>11</v>
      </c>
      <c r="D258" s="118" t="str">
        <f ca="1">IFERROR(__xludf.DUMMYFUNCTION("""COMPUTED_VALUE"""),"B")</f>
        <v>B</v>
      </c>
      <c r="E258" s="118" t="str">
        <f ca="1">IFERROR(__xludf.DUMMYFUNCTION("""COMPUTED_VALUE"""),"J")</f>
        <v>J</v>
      </c>
      <c r="F258" s="118" t="str">
        <f ca="1">IFERROR(__xludf.DUMMYFUNCTION("""COMPUTED_VALUE"""),"I")</f>
        <v>I</v>
      </c>
      <c r="G258" s="118">
        <f ca="1">IFERROR(__xludf.DUMMYFUNCTION("""COMPUTED_VALUE"""),5)</f>
        <v>5</v>
      </c>
      <c r="H258" s="118" t="str">
        <f ca="1">IFERROR(__xludf.DUMMYFUNCTION("""COMPUTED_VALUE"""),"CP")</f>
        <v>CP</v>
      </c>
      <c r="I258" s="118">
        <f ca="1">IFERROR(__xludf.DUMMYFUNCTION("""COMPUTED_VALUE"""),7)</f>
        <v>7</v>
      </c>
      <c r="J258" s="118">
        <f ca="1">IFERROR(__xludf.DUMMYFUNCTION("""COMPUTED_VALUE"""),4)</f>
        <v>4</v>
      </c>
      <c r="K258" s="120">
        <f ca="1">IFERROR(__xludf.DUMMYFUNCTION("""COMPUTED_VALUE"""),46.8)</f>
        <v>46.8</v>
      </c>
      <c r="L258" s="121"/>
      <c r="M258" s="120">
        <f ca="1">IFERROR(__xludf.DUMMYFUNCTION("""COMPUTED_VALUE"""),43)</f>
        <v>43</v>
      </c>
      <c r="N258" s="121"/>
      <c r="O258" s="120">
        <f ca="1">IFERROR(__xludf.DUMMYFUNCTION("""COMPUTED_VALUE"""),39.55)</f>
        <v>39.549999999999997</v>
      </c>
      <c r="P258" s="122"/>
      <c r="Q258" s="123" t="str">
        <f ca="1">IFERROR(__xludf.DUMMYFUNCTION("""COMPUTED_VALUE"""),"Elanor Fitzgerald")</f>
        <v>Elanor Fitzgerald</v>
      </c>
      <c r="R258" s="123" t="str">
        <f ca="1">IFERROR(__xludf.DUMMYFUNCTION("""COMPUTED_VALUE"""),"Grant Burgess")</f>
        <v>Grant Burgess</v>
      </c>
      <c r="S258" s="123" t="str">
        <f ca="1">IFERROR(__xludf.DUMMYFUNCTION("""COMPUTED_VALUE"""),"Charlotte Rice")</f>
        <v>Charlotte Rice</v>
      </c>
      <c r="T258" s="123" t="str">
        <f ca="1">IFERROR(__xludf.DUMMYFUNCTION("""COMPUTED_VALUE"""),"Dylan Radich")</f>
        <v>Dylan Radich</v>
      </c>
    </row>
    <row r="259" spans="1:20" ht="13.8">
      <c r="A259" s="118" t="str">
        <f ca="1">IFERROR(__xludf.DUMMYFUNCTION("""COMPUTED_VALUE"""),"CP")</f>
        <v>CP</v>
      </c>
      <c r="B259" s="119" t="str">
        <f ca="1">IFERROR(__xludf.DUMMYFUNCTION("""COMPUTED_VALUE"""),"Marcus Dempsey")</f>
        <v>Marcus Dempsey</v>
      </c>
      <c r="C259" s="118">
        <f ca="1">IFERROR(__xludf.DUMMYFUNCTION("""COMPUTED_VALUE"""),12)</f>
        <v>12</v>
      </c>
      <c r="D259" s="118" t="str">
        <f ca="1">IFERROR(__xludf.DUMMYFUNCTION("""COMPUTED_VALUE"""),"B")</f>
        <v>B</v>
      </c>
      <c r="E259" s="118" t="str">
        <f ca="1">IFERROR(__xludf.DUMMYFUNCTION("""COMPUTED_VALUE"""),"J")</f>
        <v>J</v>
      </c>
      <c r="F259" s="118" t="str">
        <f ca="1">IFERROR(__xludf.DUMMYFUNCTION("""COMPUTED_VALUE"""),"I")</f>
        <v>I</v>
      </c>
      <c r="G259" s="118">
        <f ca="1">IFERROR(__xludf.DUMMYFUNCTION("""COMPUTED_VALUE"""),5)</f>
        <v>5</v>
      </c>
      <c r="H259" s="118" t="str">
        <f ca="1">IFERROR(__xludf.DUMMYFUNCTION("""COMPUTED_VALUE"""),"CP")</f>
        <v>CP</v>
      </c>
      <c r="I259" s="118">
        <f ca="1">IFERROR(__xludf.DUMMYFUNCTION("""COMPUTED_VALUE"""),7)</f>
        <v>7</v>
      </c>
      <c r="J259" s="118">
        <f ca="1">IFERROR(__xludf.DUMMYFUNCTION("""COMPUTED_VALUE"""),0)</f>
        <v>0</v>
      </c>
      <c r="K259" s="120"/>
      <c r="L259" s="121"/>
      <c r="M259" s="120"/>
      <c r="N259" s="121"/>
      <c r="O259" s="120"/>
      <c r="P259" s="122"/>
      <c r="Q259" s="123" t="str">
        <f ca="1">IFERROR(__xludf.DUMMYFUNCTION("""COMPUTED_VALUE"""),"Elayna Cogert")</f>
        <v>Elayna Cogert</v>
      </c>
      <c r="R259" s="123" t="str">
        <f ca="1">IFERROR(__xludf.DUMMYFUNCTION("""COMPUTED_VALUE"""),"Grant Mitchell")</f>
        <v>Grant Mitchell</v>
      </c>
      <c r="S259" s="123" t="str">
        <f ca="1">IFERROR(__xludf.DUMMYFUNCTION("""COMPUTED_VALUE"""),"Charlotte Rotteveel")</f>
        <v>Charlotte Rotteveel</v>
      </c>
      <c r="T259" s="123" t="str">
        <f ca="1">IFERROR(__xludf.DUMMYFUNCTION("""COMPUTED_VALUE"""),"Dylan Wilson")</f>
        <v>Dylan Wilson</v>
      </c>
    </row>
    <row r="260" spans="1:20" ht="13.8">
      <c r="A260" s="118" t="str">
        <f ca="1">IFERROR(__xludf.DUMMYFUNCTION("""COMPUTED_VALUE"""),"CP")</f>
        <v>CP</v>
      </c>
      <c r="B260" s="119" t="str">
        <f ca="1">IFERROR(__xludf.DUMMYFUNCTION("""COMPUTED_VALUE"""),"Riley Burgess Carpenter")</f>
        <v>Riley Burgess Carpenter</v>
      </c>
      <c r="C260" s="118">
        <f ca="1">IFERROR(__xludf.DUMMYFUNCTION("""COMPUTED_VALUE"""),12)</f>
        <v>12</v>
      </c>
      <c r="D260" s="118" t="str">
        <f ca="1">IFERROR(__xludf.DUMMYFUNCTION("""COMPUTED_VALUE"""),"B")</f>
        <v>B</v>
      </c>
      <c r="E260" s="118" t="str">
        <f ca="1">IFERROR(__xludf.DUMMYFUNCTION("""COMPUTED_VALUE"""),"J")</f>
        <v>J</v>
      </c>
      <c r="F260" s="118" t="str">
        <f ca="1">IFERROR(__xludf.DUMMYFUNCTION("""COMPUTED_VALUE"""),"I")</f>
        <v>I</v>
      </c>
      <c r="G260" s="118">
        <f ca="1">IFERROR(__xludf.DUMMYFUNCTION("""COMPUTED_VALUE"""),5)</f>
        <v>5</v>
      </c>
      <c r="H260" s="118" t="str">
        <f ca="1">IFERROR(__xludf.DUMMYFUNCTION("""COMPUTED_VALUE"""),"CP")</f>
        <v>CP</v>
      </c>
      <c r="I260" s="118">
        <f ca="1">IFERROR(__xludf.DUMMYFUNCTION("""COMPUTED_VALUE"""),7)</f>
        <v>7</v>
      </c>
      <c r="J260" s="118">
        <f ca="1">IFERROR(__xludf.DUMMYFUNCTION("""COMPUTED_VALUE"""),0)</f>
        <v>0</v>
      </c>
      <c r="K260" s="120"/>
      <c r="L260" s="121"/>
      <c r="M260" s="120"/>
      <c r="N260" s="121"/>
      <c r="O260" s="120"/>
      <c r="P260" s="122"/>
      <c r="Q260" s="123" t="str">
        <f ca="1">IFERROR(__xludf.DUMMYFUNCTION("""COMPUTED_VALUE"""),"Eleanor Bermingham")</f>
        <v>Eleanor Bermingham</v>
      </c>
      <c r="R260" s="123" t="str">
        <f ca="1">IFERROR(__xludf.DUMMYFUNCTION("""COMPUTED_VALUE"""),"Grant Scialpi")</f>
        <v>Grant Scialpi</v>
      </c>
      <c r="S260" s="123" t="str">
        <f ca="1">IFERROR(__xludf.DUMMYFUNCTION("""COMPUTED_VALUE"""),"Charlotte Rusnak")</f>
        <v>Charlotte Rusnak</v>
      </c>
      <c r="T260" s="123" t="str">
        <f ca="1">IFERROR(__xludf.DUMMYFUNCTION("""COMPUTED_VALUE"""),"Eammon Bownas")</f>
        <v>Eammon Bownas</v>
      </c>
    </row>
    <row r="261" spans="1:20" ht="13.8">
      <c r="A261" s="118" t="str">
        <f ca="1">IFERROR(__xludf.DUMMYFUNCTION("""COMPUTED_VALUE"""),"CP")</f>
        <v>CP</v>
      </c>
      <c r="B261" s="119" t="str">
        <f ca="1">IFERROR(__xludf.DUMMYFUNCTION("""COMPUTED_VALUE"""),"Bianca Soto")</f>
        <v>Bianca Soto</v>
      </c>
      <c r="C261" s="118">
        <f ca="1">IFERROR(__xludf.DUMMYFUNCTION("""COMPUTED_VALUE"""),14)</f>
        <v>14</v>
      </c>
      <c r="D261" s="118" t="str">
        <f ca="1">IFERROR(__xludf.DUMMYFUNCTION("""COMPUTED_VALUE"""),"G")</f>
        <v>G</v>
      </c>
      <c r="E261" s="118" t="str">
        <f ca="1">IFERROR(__xludf.DUMMYFUNCTION("""COMPUTED_VALUE"""),"I")</f>
        <v>I</v>
      </c>
      <c r="F261" s="118" t="str">
        <f ca="1">IFERROR(__xludf.DUMMYFUNCTION("""COMPUTED_VALUE"""),"S")</f>
        <v>S</v>
      </c>
      <c r="G261" s="118">
        <f ca="1">IFERROR(__xludf.DUMMYFUNCTION("""COMPUTED_VALUE"""),5)</f>
        <v>5</v>
      </c>
      <c r="H261" s="118" t="str">
        <f ca="1">IFERROR(__xludf.DUMMYFUNCTION("""COMPUTED_VALUE"""),"CP")</f>
        <v>CP</v>
      </c>
      <c r="I261" s="118">
        <f ca="1">IFERROR(__xludf.DUMMYFUNCTION("""COMPUTED_VALUE"""),8)</f>
        <v>8</v>
      </c>
      <c r="J261" s="118">
        <f ca="1">IFERROR(__xludf.DUMMYFUNCTION("""COMPUTED_VALUE"""),0)</f>
        <v>0</v>
      </c>
      <c r="K261" s="120"/>
      <c r="L261" s="121"/>
      <c r="M261" s="120"/>
      <c r="N261" s="121"/>
      <c r="O261" s="120"/>
      <c r="P261" s="122"/>
      <c r="Q261" s="123" t="str">
        <f ca="1">IFERROR(__xludf.DUMMYFUNCTION("""COMPUTED_VALUE"""),"Eleanor Brown")</f>
        <v>Eleanor Brown</v>
      </c>
      <c r="R261" s="123" t="str">
        <f ca="1">IFERROR(__xludf.DUMMYFUNCTION("""COMPUTED_VALUE"""),"Graysen Loftis")</f>
        <v>Graysen Loftis</v>
      </c>
      <c r="S261" s="123" t="str">
        <f ca="1">IFERROR(__xludf.DUMMYFUNCTION("""COMPUTED_VALUE"""),"Charlotte Sandstrom")</f>
        <v>Charlotte Sandstrom</v>
      </c>
      <c r="T261" s="123" t="str">
        <f ca="1">IFERROR(__xludf.DUMMYFUNCTION("""COMPUTED_VALUE"""),"Easton Miller")</f>
        <v>Easton Miller</v>
      </c>
    </row>
    <row r="262" spans="1:20" ht="13.8">
      <c r="A262" s="118" t="str">
        <f ca="1">IFERROR(__xludf.DUMMYFUNCTION("""COMPUTED_VALUE"""),"CP")</f>
        <v>CP</v>
      </c>
      <c r="B262" s="119" t="str">
        <f ca="1">IFERROR(__xludf.DUMMYFUNCTION("""COMPUTED_VALUE"""),"Carolina Hall")</f>
        <v>Carolina Hall</v>
      </c>
      <c r="C262" s="118">
        <f ca="1">IFERROR(__xludf.DUMMYFUNCTION("""COMPUTED_VALUE"""),13)</f>
        <v>13</v>
      </c>
      <c r="D262" s="118" t="str">
        <f ca="1">IFERROR(__xludf.DUMMYFUNCTION("""COMPUTED_VALUE"""),"G")</f>
        <v>G</v>
      </c>
      <c r="E262" s="118" t="str">
        <f ca="1">IFERROR(__xludf.DUMMYFUNCTION("""COMPUTED_VALUE"""),"I")</f>
        <v>I</v>
      </c>
      <c r="F262" s="118" t="str">
        <f ca="1">IFERROR(__xludf.DUMMYFUNCTION("""COMPUTED_VALUE"""),"S")</f>
        <v>S</v>
      </c>
      <c r="G262" s="118">
        <f ca="1">IFERROR(__xludf.DUMMYFUNCTION("""COMPUTED_VALUE"""),5)</f>
        <v>5</v>
      </c>
      <c r="H262" s="118" t="str">
        <f ca="1">IFERROR(__xludf.DUMMYFUNCTION("""COMPUTED_VALUE"""),"CP")</f>
        <v>CP</v>
      </c>
      <c r="I262" s="118">
        <f ca="1">IFERROR(__xludf.DUMMYFUNCTION("""COMPUTED_VALUE"""),8)</f>
        <v>8</v>
      </c>
      <c r="J262" s="118">
        <f ca="1">IFERROR(__xludf.DUMMYFUNCTION("""COMPUTED_VALUE"""),4)</f>
        <v>4</v>
      </c>
      <c r="K262" s="120">
        <f ca="1">IFERROR(__xludf.DUMMYFUNCTION("""COMPUTED_VALUE"""),118.7)</f>
        <v>118.7</v>
      </c>
      <c r="L262" s="121"/>
      <c r="M262" s="120"/>
      <c r="N262" s="121"/>
      <c r="O262" s="120">
        <f ca="1">IFERROR(__xludf.DUMMYFUNCTION("""COMPUTED_VALUE"""),118.7)</f>
        <v>118.7</v>
      </c>
      <c r="P262" s="122"/>
      <c r="Q262" s="123" t="str">
        <f ca="1">IFERROR(__xludf.DUMMYFUNCTION("""COMPUTED_VALUE"""),"Eleanor Chang")</f>
        <v>Eleanor Chang</v>
      </c>
      <c r="R262" s="123" t="str">
        <f ca="1">IFERROR(__xludf.DUMMYFUNCTION("""COMPUTED_VALUE"""),"Grayson DeMark")</f>
        <v>Grayson DeMark</v>
      </c>
      <c r="S262" s="123" t="str">
        <f ca="1">IFERROR(__xludf.DUMMYFUNCTION("""COMPUTED_VALUE"""),"Charlotte Williams")</f>
        <v>Charlotte Williams</v>
      </c>
      <c r="T262" s="123" t="str">
        <f ca="1">IFERROR(__xludf.DUMMYFUNCTION("""COMPUTED_VALUE"""),"Ebenezer Louie")</f>
        <v>Ebenezer Louie</v>
      </c>
    </row>
    <row r="263" spans="1:20" ht="13.8">
      <c r="A263" s="118" t="str">
        <f ca="1">IFERROR(__xludf.DUMMYFUNCTION("""COMPUTED_VALUE"""),"CP")</f>
        <v>CP</v>
      </c>
      <c r="B263" s="119" t="str">
        <f ca="1">IFERROR(__xludf.DUMMYFUNCTION("""COMPUTED_VALUE"""),"Quinn Harris")</f>
        <v>Quinn Harris</v>
      </c>
      <c r="C263" s="118">
        <f ca="1">IFERROR(__xludf.DUMMYFUNCTION("""COMPUTED_VALUE"""),14)</f>
        <v>14</v>
      </c>
      <c r="D263" s="118" t="str">
        <f ca="1">IFERROR(__xludf.DUMMYFUNCTION("""COMPUTED_VALUE"""),"G")</f>
        <v>G</v>
      </c>
      <c r="E263" s="118" t="str">
        <f ca="1">IFERROR(__xludf.DUMMYFUNCTION("""COMPUTED_VALUE"""),"I")</f>
        <v>I</v>
      </c>
      <c r="F263" s="118" t="str">
        <f ca="1">IFERROR(__xludf.DUMMYFUNCTION("""COMPUTED_VALUE"""),"S")</f>
        <v>S</v>
      </c>
      <c r="G263" s="118">
        <f ca="1">IFERROR(__xludf.DUMMYFUNCTION("""COMPUTED_VALUE"""),5)</f>
        <v>5</v>
      </c>
      <c r="H263" s="118" t="str">
        <f ca="1">IFERROR(__xludf.DUMMYFUNCTION("""COMPUTED_VALUE"""),"CP")</f>
        <v>CP</v>
      </c>
      <c r="I263" s="118">
        <f ca="1">IFERROR(__xludf.DUMMYFUNCTION("""COMPUTED_VALUE"""),8)</f>
        <v>8</v>
      </c>
      <c r="J263" s="118">
        <f ca="1">IFERROR(__xludf.DUMMYFUNCTION("""COMPUTED_VALUE"""),4)</f>
        <v>4</v>
      </c>
      <c r="K263" s="120">
        <f ca="1">IFERROR(__xludf.DUMMYFUNCTION("""COMPUTED_VALUE"""),124.4)</f>
        <v>124.4</v>
      </c>
      <c r="L263" s="121"/>
      <c r="M263" s="120">
        <f ca="1">IFERROR(__xludf.DUMMYFUNCTION("""COMPUTED_VALUE"""),-149.45)</f>
        <v>-149.44999999999999</v>
      </c>
      <c r="N263" s="121"/>
      <c r="O263" s="120">
        <f ca="1">IFERROR(__xludf.DUMMYFUNCTION("""COMPUTED_VALUE"""),124.4)</f>
        <v>124.4</v>
      </c>
      <c r="P263" s="122"/>
      <c r="Q263" s="123" t="str">
        <f ca="1">IFERROR(__xludf.DUMMYFUNCTION("""COMPUTED_VALUE"""),"Eleanor Connolly")</f>
        <v>Eleanor Connolly</v>
      </c>
      <c r="R263" s="123" t="str">
        <f ca="1">IFERROR(__xludf.DUMMYFUNCTION("""COMPUTED_VALUE"""),"Grayson Garcia")</f>
        <v>Grayson Garcia</v>
      </c>
      <c r="S263" s="123" t="str">
        <f ca="1">IFERROR(__xludf.DUMMYFUNCTION("""COMPUTED_VALUE"""),"Chloe Field")</f>
        <v>Chloe Field</v>
      </c>
      <c r="T263" s="123" t="str">
        <f ca="1">IFERROR(__xludf.DUMMYFUNCTION("""COMPUTED_VALUE"""),"Edan Thornton")</f>
        <v>Edan Thornton</v>
      </c>
    </row>
    <row r="264" spans="1:20" ht="13.8">
      <c r="A264" s="118" t="str">
        <f ca="1">IFERROR(__xludf.DUMMYFUNCTION("""COMPUTED_VALUE"""),"CP")</f>
        <v>CP</v>
      </c>
      <c r="B264" s="119" t="str">
        <f ca="1">IFERROR(__xludf.DUMMYFUNCTION("""COMPUTED_VALUE"""),"Sloan Tann")</f>
        <v>Sloan Tann</v>
      </c>
      <c r="C264" s="118">
        <f ca="1">IFERROR(__xludf.DUMMYFUNCTION("""COMPUTED_VALUE"""),13)</f>
        <v>13</v>
      </c>
      <c r="D264" s="118" t="str">
        <f ca="1">IFERROR(__xludf.DUMMYFUNCTION("""COMPUTED_VALUE"""),"G")</f>
        <v>G</v>
      </c>
      <c r="E264" s="118" t="str">
        <f ca="1">IFERROR(__xludf.DUMMYFUNCTION("""COMPUTED_VALUE"""),"I")</f>
        <v>I</v>
      </c>
      <c r="F264" s="118" t="str">
        <f ca="1">IFERROR(__xludf.DUMMYFUNCTION("""COMPUTED_VALUE"""),"S")</f>
        <v>S</v>
      </c>
      <c r="G264" s="118">
        <f ca="1">IFERROR(__xludf.DUMMYFUNCTION("""COMPUTED_VALUE"""),5)</f>
        <v>5</v>
      </c>
      <c r="H264" s="118" t="str">
        <f ca="1">IFERROR(__xludf.DUMMYFUNCTION("""COMPUTED_VALUE"""),"CP")</f>
        <v>CP</v>
      </c>
      <c r="I264" s="118">
        <f ca="1">IFERROR(__xludf.DUMMYFUNCTION("""COMPUTED_VALUE"""),8)</f>
        <v>8</v>
      </c>
      <c r="J264" s="118">
        <f ca="1">IFERROR(__xludf.DUMMYFUNCTION("""COMPUTED_VALUE"""),3)</f>
        <v>3</v>
      </c>
      <c r="K264" s="120">
        <f ca="1">IFERROR(__xludf.DUMMYFUNCTION("""COMPUTED_VALUE"""),191.7)</f>
        <v>191.7</v>
      </c>
      <c r="L264" s="121"/>
      <c r="M264" s="120">
        <f ca="1">IFERROR(__xludf.DUMMYFUNCTION("""COMPUTED_VALUE"""),191.7)</f>
        <v>191.7</v>
      </c>
      <c r="N264" s="121"/>
      <c r="O264" s="120">
        <f ca="1">IFERROR(__xludf.DUMMYFUNCTION("""COMPUTED_VALUE"""),168.55)</f>
        <v>168.55</v>
      </c>
      <c r="P264" s="122"/>
      <c r="Q264" s="123" t="str">
        <f ca="1">IFERROR(__xludf.DUMMYFUNCTION("""COMPUTED_VALUE"""),"Eleanor Dannen")</f>
        <v>Eleanor Dannen</v>
      </c>
      <c r="R264" s="123" t="str">
        <f ca="1">IFERROR(__xludf.DUMMYFUNCTION("""COMPUTED_VALUE"""),"Grayson Marsh")</f>
        <v>Grayson Marsh</v>
      </c>
      <c r="S264" s="123" t="str">
        <f ca="1">IFERROR(__xludf.DUMMYFUNCTION("""COMPUTED_VALUE"""),"Chloe Kennedy")</f>
        <v>Chloe Kennedy</v>
      </c>
      <c r="T264" s="123" t="str">
        <f ca="1">IFERROR(__xludf.DUMMYFUNCTION("""COMPUTED_VALUE"""),"Edgar Benson")</f>
        <v>Edgar Benson</v>
      </c>
    </row>
    <row r="265" spans="1:20" ht="13.8">
      <c r="A265" s="118" t="str">
        <f ca="1">IFERROR(__xludf.DUMMYFUNCTION("""COMPUTED_VALUE"""),"CP")</f>
        <v>CP</v>
      </c>
      <c r="B265" s="119" t="str">
        <f ca="1">IFERROR(__xludf.DUMMYFUNCTION("""COMPUTED_VALUE"""),"Teagan Johns")</f>
        <v>Teagan Johns</v>
      </c>
      <c r="C265" s="118">
        <f ca="1">IFERROR(__xludf.DUMMYFUNCTION("""COMPUTED_VALUE"""),13)</f>
        <v>13</v>
      </c>
      <c r="D265" s="118" t="str">
        <f ca="1">IFERROR(__xludf.DUMMYFUNCTION("""COMPUTED_VALUE"""),"G")</f>
        <v>G</v>
      </c>
      <c r="E265" s="118" t="str">
        <f ca="1">IFERROR(__xludf.DUMMYFUNCTION("""COMPUTED_VALUE"""),"I")</f>
        <v>I</v>
      </c>
      <c r="F265" s="118" t="str">
        <f ca="1">IFERROR(__xludf.DUMMYFUNCTION("""COMPUTED_VALUE"""),"S")</f>
        <v>S</v>
      </c>
      <c r="G265" s="118">
        <f ca="1">IFERROR(__xludf.DUMMYFUNCTION("""COMPUTED_VALUE"""),5)</f>
        <v>5</v>
      </c>
      <c r="H265" s="118" t="str">
        <f ca="1">IFERROR(__xludf.DUMMYFUNCTION("""COMPUTED_VALUE"""),"CP")</f>
        <v>CP</v>
      </c>
      <c r="I265" s="118">
        <f ca="1">IFERROR(__xludf.DUMMYFUNCTION("""COMPUTED_VALUE"""),8)</f>
        <v>8</v>
      </c>
      <c r="J265" s="118">
        <f ca="1">IFERROR(__xludf.DUMMYFUNCTION("""COMPUTED_VALUE"""),1)</f>
        <v>1</v>
      </c>
      <c r="K265" s="120"/>
      <c r="L265" s="121"/>
      <c r="M265" s="120"/>
      <c r="N265" s="121"/>
      <c r="O265" s="120"/>
      <c r="P265" s="122"/>
      <c r="Q265" s="123" t="str">
        <f ca="1">IFERROR(__xludf.DUMMYFUNCTION("""COMPUTED_VALUE"""),"Eleanor Edwards")</f>
        <v>Eleanor Edwards</v>
      </c>
      <c r="R265" s="123" t="str">
        <f ca="1">IFERROR(__xludf.DUMMYFUNCTION("""COMPUTED_VALUE"""),"Griffin Mitchell")</f>
        <v>Griffin Mitchell</v>
      </c>
      <c r="S265" s="123" t="str">
        <f ca="1">IFERROR(__xludf.DUMMYFUNCTION("""COMPUTED_VALUE"""),"Chloe Lee")</f>
        <v>Chloe Lee</v>
      </c>
      <c r="T265" s="123" t="str">
        <f ca="1">IFERROR(__xludf.DUMMYFUNCTION("""COMPUTED_VALUE"""),"Edison Tan")</f>
        <v>Edison Tan</v>
      </c>
    </row>
    <row r="266" spans="1:20" ht="13.8">
      <c r="A266" s="118" t="str">
        <f ca="1">IFERROR(__xludf.DUMMYFUNCTION("""COMPUTED_VALUE"""),"CP")</f>
        <v>CP</v>
      </c>
      <c r="B266" s="119" t="str">
        <f ca="1">IFERROR(__xludf.DUMMYFUNCTION("""COMPUTED_VALUE"""),"Ethan Johns")</f>
        <v>Ethan Johns</v>
      </c>
      <c r="C266" s="118">
        <f ca="1">IFERROR(__xludf.DUMMYFUNCTION("""COMPUTED_VALUE"""),13)</f>
        <v>13</v>
      </c>
      <c r="D266" s="118" t="str">
        <f ca="1">IFERROR(__xludf.DUMMYFUNCTION("""COMPUTED_VALUE"""),"B")</f>
        <v>B</v>
      </c>
      <c r="E266" s="118" t="str">
        <f ca="1">IFERROR(__xludf.DUMMYFUNCTION("""COMPUTED_VALUE"""),"I")</f>
        <v>I</v>
      </c>
      <c r="F266" s="118" t="str">
        <f ca="1">IFERROR(__xludf.DUMMYFUNCTION("""COMPUTED_VALUE"""),"S")</f>
        <v>S</v>
      </c>
      <c r="G266" s="118">
        <f ca="1">IFERROR(__xludf.DUMMYFUNCTION("""COMPUTED_VALUE"""),5)</f>
        <v>5</v>
      </c>
      <c r="H266" s="118" t="str">
        <f ca="1">IFERROR(__xludf.DUMMYFUNCTION("""COMPUTED_VALUE"""),"CP")</f>
        <v>CP</v>
      </c>
      <c r="I266" s="118">
        <f ca="1">IFERROR(__xludf.DUMMYFUNCTION("""COMPUTED_VALUE"""),9)</f>
        <v>9</v>
      </c>
      <c r="J266" s="118">
        <f ca="1">IFERROR(__xludf.DUMMYFUNCTION("""COMPUTED_VALUE"""),4)</f>
        <v>4</v>
      </c>
      <c r="K266" s="120">
        <f ca="1">IFERROR(__xludf.DUMMYFUNCTION("""COMPUTED_VALUE"""),134.8)</f>
        <v>134.80000000000001</v>
      </c>
      <c r="L266" s="121"/>
      <c r="M266" s="120"/>
      <c r="N266" s="121"/>
      <c r="O266" s="120">
        <f ca="1">IFERROR(__xludf.DUMMYFUNCTION("""COMPUTED_VALUE"""),132.8)</f>
        <v>132.80000000000001</v>
      </c>
      <c r="P266" s="122"/>
      <c r="Q266" s="123" t="str">
        <f ca="1">IFERROR(__xludf.DUMMYFUNCTION("""COMPUTED_VALUE"""),"Eleanor Goehring")</f>
        <v>Eleanor Goehring</v>
      </c>
      <c r="R266" s="123" t="str">
        <f ca="1">IFERROR(__xludf.DUMMYFUNCTION("""COMPUTED_VALUE"""),"Guayo Flores")</f>
        <v>Guayo Flores</v>
      </c>
      <c r="S266" s="123" t="str">
        <f ca="1">IFERROR(__xludf.DUMMYFUNCTION("""COMPUTED_VALUE"""),"Chloe Marshall")</f>
        <v>Chloe Marshall</v>
      </c>
      <c r="T266" s="123" t="str">
        <f ca="1">IFERROR(__xludf.DUMMYFUNCTION("""COMPUTED_VALUE"""),"Edward Wang")</f>
        <v>Edward Wang</v>
      </c>
    </row>
    <row r="267" spans="1:20" ht="13.8">
      <c r="A267" s="118" t="str">
        <f ca="1">IFERROR(__xludf.DUMMYFUNCTION("""COMPUTED_VALUE"""),"CP")</f>
        <v>CP</v>
      </c>
      <c r="B267" s="119" t="str">
        <f ca="1">IFERROR(__xludf.DUMMYFUNCTION("""COMPUTED_VALUE"""),"Luke Sabo")</f>
        <v>Luke Sabo</v>
      </c>
      <c r="C267" s="118">
        <f ca="1">IFERROR(__xludf.DUMMYFUNCTION("""COMPUTED_VALUE"""),13)</f>
        <v>13</v>
      </c>
      <c r="D267" s="118" t="str">
        <f ca="1">IFERROR(__xludf.DUMMYFUNCTION("""COMPUTED_VALUE"""),"B")</f>
        <v>B</v>
      </c>
      <c r="E267" s="118" t="str">
        <f ca="1">IFERROR(__xludf.DUMMYFUNCTION("""COMPUTED_VALUE"""),"I")</f>
        <v>I</v>
      </c>
      <c r="F267" s="118" t="str">
        <f ca="1">IFERROR(__xludf.DUMMYFUNCTION("""COMPUTED_VALUE"""),"S")</f>
        <v>S</v>
      </c>
      <c r="G267" s="118">
        <f ca="1">IFERROR(__xludf.DUMMYFUNCTION("""COMPUTED_VALUE"""),5)</f>
        <v>5</v>
      </c>
      <c r="H267" s="118" t="str">
        <f ca="1">IFERROR(__xludf.DUMMYFUNCTION("""COMPUTED_VALUE"""),"CP")</f>
        <v>CP</v>
      </c>
      <c r="I267" s="118">
        <f ca="1">IFERROR(__xludf.DUMMYFUNCTION("""COMPUTED_VALUE"""),9)</f>
        <v>9</v>
      </c>
      <c r="J267" s="118">
        <f ca="1">IFERROR(__xludf.DUMMYFUNCTION("""COMPUTED_VALUE"""),1)</f>
        <v>1</v>
      </c>
      <c r="K267" s="120"/>
      <c r="L267" s="121"/>
      <c r="M267" s="120"/>
      <c r="N267" s="121"/>
      <c r="O267" s="120"/>
      <c r="P267" s="122"/>
      <c r="Q267" s="123" t="str">
        <f ca="1">IFERROR(__xludf.DUMMYFUNCTION("""COMPUTED_VALUE"""),"Eleanor Howell")</f>
        <v>Eleanor Howell</v>
      </c>
      <c r="R267" s="123" t="str">
        <f ca="1">IFERROR(__xludf.DUMMYFUNCTION("""COMPUTED_VALUE"""),"Gus Medina-Keith")</f>
        <v>Gus Medina-Keith</v>
      </c>
      <c r="S267" s="123" t="str">
        <f ca="1">IFERROR(__xludf.DUMMYFUNCTION("""COMPUTED_VALUE"""),"Chloe McNabney")</f>
        <v>Chloe McNabney</v>
      </c>
      <c r="T267" s="123" t="str">
        <f ca="1">IFERROR(__xludf.DUMMYFUNCTION("""COMPUTED_VALUE"""),"Eli Anwar")</f>
        <v>Eli Anwar</v>
      </c>
    </row>
    <row r="268" spans="1:20" ht="13.8">
      <c r="A268" s="118" t="str">
        <f ca="1">IFERROR(__xludf.DUMMYFUNCTION("""COMPUTED_VALUE"""),"CP")</f>
        <v>CP</v>
      </c>
      <c r="B268" s="119" t="str">
        <f ca="1">IFERROR(__xludf.DUMMYFUNCTION("""COMPUTED_VALUE"""),"Finn Johns")</f>
        <v>Finn Johns</v>
      </c>
      <c r="C268" s="118">
        <f ca="1">IFERROR(__xludf.DUMMYFUNCTION("""COMPUTED_VALUE"""),15)</f>
        <v>15</v>
      </c>
      <c r="D268" s="118" t="str">
        <f ca="1">IFERROR(__xludf.DUMMYFUNCTION("""COMPUTED_VALUE"""),"B")</f>
        <v>B</v>
      </c>
      <c r="E268" s="118" t="str">
        <f ca="1">IFERROR(__xludf.DUMMYFUNCTION("""COMPUTED_VALUE"""),"S")</f>
        <v>S</v>
      </c>
      <c r="F268" s="118" t="str">
        <f ca="1">IFERROR(__xludf.DUMMYFUNCTION("""COMPUTED_VALUE"""),"S")</f>
        <v>S</v>
      </c>
      <c r="G268" s="118">
        <f ca="1">IFERROR(__xludf.DUMMYFUNCTION("""COMPUTED_VALUE"""),5)</f>
        <v>5</v>
      </c>
      <c r="H268" s="118" t="str">
        <f ca="1">IFERROR(__xludf.DUMMYFUNCTION("""COMPUTED_VALUE"""),"CP")</f>
        <v>CP</v>
      </c>
      <c r="I268" s="118">
        <f ca="1">IFERROR(__xludf.DUMMYFUNCTION("""COMPUTED_VALUE"""),11)</f>
        <v>11</v>
      </c>
      <c r="J268" s="118">
        <f ca="1">IFERROR(__xludf.DUMMYFUNCTION("""COMPUTED_VALUE"""),3)</f>
        <v>3</v>
      </c>
      <c r="K268" s="120">
        <f ca="1">IFERROR(__xludf.DUMMYFUNCTION("""COMPUTED_VALUE"""),149.9)</f>
        <v>149.9</v>
      </c>
      <c r="L268" s="121"/>
      <c r="M268" s="120">
        <f ca="1">IFERROR(__xludf.DUMMYFUNCTION("""COMPUTED_VALUE"""),149.9)</f>
        <v>149.9</v>
      </c>
      <c r="N268" s="121"/>
      <c r="O268" s="120">
        <f ca="1">IFERROR(__xludf.DUMMYFUNCTION("""COMPUTED_VALUE"""),131.5)</f>
        <v>131.5</v>
      </c>
      <c r="P268" s="122"/>
      <c r="Q268" s="123" t="str">
        <f ca="1">IFERROR(__xludf.DUMMYFUNCTION("""COMPUTED_VALUE"""),"Elena Johnson")</f>
        <v>Elena Johnson</v>
      </c>
      <c r="R268" s="123" t="str">
        <f ca="1">IFERROR(__xludf.DUMMYFUNCTION("""COMPUTED_VALUE"""),"Hans Imer")</f>
        <v>Hans Imer</v>
      </c>
      <c r="S268" s="123" t="str">
        <f ca="1">IFERROR(__xludf.DUMMYFUNCTION("""COMPUTED_VALUE"""),"Chloe Niphadkabin")</f>
        <v>Chloe Niphadkabin</v>
      </c>
      <c r="T268" s="123" t="str">
        <f ca="1">IFERROR(__xludf.DUMMYFUNCTION("""COMPUTED_VALUE"""),"Eli Bockman")</f>
        <v>Eli Bockman</v>
      </c>
    </row>
    <row r="269" spans="1:20" ht="13.8">
      <c r="A269" s="118" t="str">
        <f ca="1">IFERROR(__xludf.DUMMYFUNCTION("""COMPUTED_VALUE"""),"CSC")</f>
        <v>CSC</v>
      </c>
      <c r="B269" s="119" t="str">
        <f ca="1">IFERROR(__xludf.DUMMYFUNCTION("""COMPUTED_VALUE"""),"Annabeth Volosin")</f>
        <v>Annabeth Volosin</v>
      </c>
      <c r="C269" s="118">
        <f ca="1">IFERROR(__xludf.DUMMYFUNCTION("""COMPUTED_VALUE"""),8)</f>
        <v>8</v>
      </c>
      <c r="D269" s="118" t="str">
        <f ca="1">IFERROR(__xludf.DUMMYFUNCTION("""COMPUTED_VALUE"""),"G")</f>
        <v>G</v>
      </c>
      <c r="E269" s="118" t="str">
        <f ca="1">IFERROR(__xludf.DUMMYFUNCTION("""COMPUTED_VALUE"""),"F")</f>
        <v>F</v>
      </c>
      <c r="F269" s="118" t="str">
        <f ca="1">IFERROR(__xludf.DUMMYFUNCTION("""COMPUTED_VALUE"""),"J")</f>
        <v>J</v>
      </c>
      <c r="G269" s="118">
        <f ca="1">IFERROR(__xludf.DUMMYFUNCTION("""COMPUTED_VALUE"""),7)</f>
        <v>7</v>
      </c>
      <c r="H269" s="118" t="str">
        <f ca="1">IFERROR(__xludf.DUMMYFUNCTION("""COMPUTED_VALUE"""),"CSC")</f>
        <v>CSC</v>
      </c>
      <c r="I269" s="118">
        <f ca="1">IFERROR(__xludf.DUMMYFUNCTION("""COMPUTED_VALUE"""),4)</f>
        <v>4</v>
      </c>
      <c r="J269" s="118">
        <f ca="1">IFERROR(__xludf.DUMMYFUNCTION("""COMPUTED_VALUE"""),1)</f>
        <v>1</v>
      </c>
      <c r="K269" s="120"/>
      <c r="L269" s="121"/>
      <c r="M269" s="120"/>
      <c r="N269" s="121"/>
      <c r="O269" s="120"/>
      <c r="P269" s="122"/>
      <c r="Q269" s="123" t="str">
        <f ca="1">IFERROR(__xludf.DUMMYFUNCTION("""COMPUTED_VALUE"""),"Elena Scott")</f>
        <v>Elena Scott</v>
      </c>
      <c r="R269" s="123" t="str">
        <f ca="1">IFERROR(__xludf.DUMMYFUNCTION("""COMPUTED_VALUE"""),"Harrison Crosby")</f>
        <v>Harrison Crosby</v>
      </c>
      <c r="S269" s="123" t="str">
        <f ca="1">IFERROR(__xludf.DUMMYFUNCTION("""COMPUTED_VALUE"""),"Chloe Richards")</f>
        <v>Chloe Richards</v>
      </c>
      <c r="T269" s="123" t="str">
        <f ca="1">IFERROR(__xludf.DUMMYFUNCTION("""COMPUTED_VALUE"""),"Eli Chin-Fatt")</f>
        <v>Eli Chin-Fatt</v>
      </c>
    </row>
    <row r="270" spans="1:20" ht="13.8">
      <c r="A270" s="118" t="str">
        <f ca="1">IFERROR(__xludf.DUMMYFUNCTION("""COMPUTED_VALUE"""),"CSC")</f>
        <v>CSC</v>
      </c>
      <c r="B270" s="119" t="str">
        <f ca="1">IFERROR(__xludf.DUMMYFUNCTION("""COMPUTED_VALUE"""),"Colette Ungaretti")</f>
        <v>Colette Ungaretti</v>
      </c>
      <c r="C270" s="118">
        <f ca="1">IFERROR(__xludf.DUMMYFUNCTION("""COMPUTED_VALUE"""),9)</f>
        <v>9</v>
      </c>
      <c r="D270" s="118" t="str">
        <f ca="1">IFERROR(__xludf.DUMMYFUNCTION("""COMPUTED_VALUE"""),"G")</f>
        <v>G</v>
      </c>
      <c r="E270" s="118" t="str">
        <f ca="1">IFERROR(__xludf.DUMMYFUNCTION("""COMPUTED_VALUE"""),"F")</f>
        <v>F</v>
      </c>
      <c r="F270" s="118" t="str">
        <f ca="1">IFERROR(__xludf.DUMMYFUNCTION("""COMPUTED_VALUE"""),"J")</f>
        <v>J</v>
      </c>
      <c r="G270" s="118">
        <f ca="1">IFERROR(__xludf.DUMMYFUNCTION("""COMPUTED_VALUE"""),7)</f>
        <v>7</v>
      </c>
      <c r="H270" s="118" t="str">
        <f ca="1">IFERROR(__xludf.DUMMYFUNCTION("""COMPUTED_VALUE"""),"CSC")</f>
        <v>CSC</v>
      </c>
      <c r="I270" s="118">
        <f ca="1">IFERROR(__xludf.DUMMYFUNCTION("""COMPUTED_VALUE"""),4)</f>
        <v>4</v>
      </c>
      <c r="J270" s="118">
        <f ca="1">IFERROR(__xludf.DUMMYFUNCTION("""COMPUTED_VALUE"""),5)</f>
        <v>5</v>
      </c>
      <c r="K270" s="120">
        <f ca="1">IFERROR(__xludf.DUMMYFUNCTION("""COMPUTED_VALUE"""),56.95)</f>
        <v>56.95</v>
      </c>
      <c r="L270" s="121"/>
      <c r="M270" s="120">
        <f ca="1">IFERROR(__xludf.DUMMYFUNCTION("""COMPUTED_VALUE"""),41.35)</f>
        <v>41.35</v>
      </c>
      <c r="N270" s="121"/>
      <c r="O270" s="120">
        <f ca="1">IFERROR(__xludf.DUMMYFUNCTION("""COMPUTED_VALUE"""),35.3)</f>
        <v>35.299999999999997</v>
      </c>
      <c r="P270" s="122"/>
      <c r="Q270" s="123" t="str">
        <f ca="1">IFERROR(__xludf.DUMMYFUNCTION("""COMPUTED_VALUE"""),"Eliana Betteley")</f>
        <v>Eliana Betteley</v>
      </c>
      <c r="R270" s="123" t="str">
        <f ca="1">IFERROR(__xludf.DUMMYFUNCTION("""COMPUTED_VALUE"""),"Harrison Gulotta")</f>
        <v>Harrison Gulotta</v>
      </c>
      <c r="S270" s="123" t="str">
        <f ca="1">IFERROR(__xludf.DUMMYFUNCTION("""COMPUTED_VALUE"""),"Chloe Salmons")</f>
        <v>Chloe Salmons</v>
      </c>
      <c r="T270" s="123" t="str">
        <f ca="1">IFERROR(__xludf.DUMMYFUNCTION("""COMPUTED_VALUE"""),"Eli DeLong")</f>
        <v>Eli DeLong</v>
      </c>
    </row>
    <row r="271" spans="1:20" ht="13.8">
      <c r="A271" s="118" t="str">
        <f ca="1">IFERROR(__xludf.DUMMYFUNCTION("""COMPUTED_VALUE"""),"CSC")</f>
        <v>CSC</v>
      </c>
      <c r="B271" s="119" t="str">
        <f ca="1">IFERROR(__xludf.DUMMYFUNCTION("""COMPUTED_VALUE"""),"Elle Powers")</f>
        <v>Elle Powers</v>
      </c>
      <c r="C271" s="118">
        <f ca="1">IFERROR(__xludf.DUMMYFUNCTION("""COMPUTED_VALUE"""),9)</f>
        <v>9</v>
      </c>
      <c r="D271" s="118" t="str">
        <f ca="1">IFERROR(__xludf.DUMMYFUNCTION("""COMPUTED_VALUE"""),"G")</f>
        <v>G</v>
      </c>
      <c r="E271" s="118" t="str">
        <f ca="1">IFERROR(__xludf.DUMMYFUNCTION("""COMPUTED_VALUE"""),"F")</f>
        <v>F</v>
      </c>
      <c r="F271" s="118" t="str">
        <f ca="1">IFERROR(__xludf.DUMMYFUNCTION("""COMPUTED_VALUE"""),"J")</f>
        <v>J</v>
      </c>
      <c r="G271" s="118">
        <f ca="1">IFERROR(__xludf.DUMMYFUNCTION("""COMPUTED_VALUE"""),7)</f>
        <v>7</v>
      </c>
      <c r="H271" s="118" t="str">
        <f ca="1">IFERROR(__xludf.DUMMYFUNCTION("""COMPUTED_VALUE"""),"CSC")</f>
        <v>CSC</v>
      </c>
      <c r="I271" s="118">
        <f ca="1">IFERROR(__xludf.DUMMYFUNCTION("""COMPUTED_VALUE"""),4)</f>
        <v>4</v>
      </c>
      <c r="J271" s="118">
        <f ca="1">IFERROR(__xludf.DUMMYFUNCTION("""COMPUTED_VALUE"""),4)</f>
        <v>4</v>
      </c>
      <c r="K271" s="120">
        <f ca="1">IFERROR(__xludf.DUMMYFUNCTION("""COMPUTED_VALUE"""),45.85)</f>
        <v>45.85</v>
      </c>
      <c r="L271" s="121"/>
      <c r="M271" s="120">
        <f ca="1">IFERROR(__xludf.DUMMYFUNCTION("""COMPUTED_VALUE"""),31.5)</f>
        <v>31.5</v>
      </c>
      <c r="N271" s="121"/>
      <c r="O271" s="120">
        <f ca="1">IFERROR(__xludf.DUMMYFUNCTION("""COMPUTED_VALUE"""),45.85)</f>
        <v>45.85</v>
      </c>
      <c r="P271" s="122"/>
      <c r="Q271" s="123" t="str">
        <f ca="1">IFERROR(__xludf.DUMMYFUNCTION("""COMPUTED_VALUE"""),"Eliana Smith")</f>
        <v>Eliana Smith</v>
      </c>
      <c r="R271" s="123" t="str">
        <f ca="1">IFERROR(__xludf.DUMMYFUNCTION("""COMPUTED_VALUE"""),"Harrison Kwak")</f>
        <v>Harrison Kwak</v>
      </c>
      <c r="S271" s="123" t="str">
        <f ca="1">IFERROR(__xludf.DUMMYFUNCTION("""COMPUTED_VALUE"""),"Chloe Sanglier")</f>
        <v>Chloe Sanglier</v>
      </c>
      <c r="T271" s="123" t="str">
        <f ca="1">IFERROR(__xludf.DUMMYFUNCTION("""COMPUTED_VALUE"""),"Eli Edwards")</f>
        <v>Eli Edwards</v>
      </c>
    </row>
    <row r="272" spans="1:20" ht="13.8">
      <c r="A272" s="118" t="str">
        <f ca="1">IFERROR(__xludf.DUMMYFUNCTION("""COMPUTED_VALUE"""),"CSC")</f>
        <v>CSC</v>
      </c>
      <c r="B272" s="119" t="str">
        <f ca="1">IFERROR(__xludf.DUMMYFUNCTION("""COMPUTED_VALUE"""),"Ellie Phillips")</f>
        <v>Ellie Phillips</v>
      </c>
      <c r="C272" s="118">
        <f ca="1">IFERROR(__xludf.DUMMYFUNCTION("""COMPUTED_VALUE"""),9)</f>
        <v>9</v>
      </c>
      <c r="D272" s="118" t="str">
        <f ca="1">IFERROR(__xludf.DUMMYFUNCTION("""COMPUTED_VALUE"""),"G")</f>
        <v>G</v>
      </c>
      <c r="E272" s="118" t="str">
        <f ca="1">IFERROR(__xludf.DUMMYFUNCTION("""COMPUTED_VALUE"""),"F")</f>
        <v>F</v>
      </c>
      <c r="F272" s="118" t="str">
        <f ca="1">IFERROR(__xludf.DUMMYFUNCTION("""COMPUTED_VALUE"""),"J")</f>
        <v>J</v>
      </c>
      <c r="G272" s="118">
        <f ca="1">IFERROR(__xludf.DUMMYFUNCTION("""COMPUTED_VALUE"""),7)</f>
        <v>7</v>
      </c>
      <c r="H272" s="118" t="str">
        <f ca="1">IFERROR(__xludf.DUMMYFUNCTION("""COMPUTED_VALUE"""),"CSC")</f>
        <v>CSC</v>
      </c>
      <c r="I272" s="118">
        <f ca="1">IFERROR(__xludf.DUMMYFUNCTION("""COMPUTED_VALUE"""),4)</f>
        <v>4</v>
      </c>
      <c r="J272" s="118">
        <f ca="1">IFERROR(__xludf.DUMMYFUNCTION("""COMPUTED_VALUE"""),5)</f>
        <v>5</v>
      </c>
      <c r="K272" s="120">
        <f ca="1">IFERROR(__xludf.DUMMYFUNCTION("""COMPUTED_VALUE"""),67.95)</f>
        <v>67.95</v>
      </c>
      <c r="L272" s="121"/>
      <c r="M272" s="120">
        <f ca="1">IFERROR(__xludf.DUMMYFUNCTION("""COMPUTED_VALUE"""),64.55)</f>
        <v>64.55</v>
      </c>
      <c r="N272" s="121"/>
      <c r="O272" s="120">
        <f ca="1">IFERROR(__xludf.DUMMYFUNCTION("""COMPUTED_VALUE"""),67.95)</f>
        <v>67.95</v>
      </c>
      <c r="P272" s="122"/>
      <c r="Q272" s="123" t="str">
        <f ca="1">IFERROR(__xludf.DUMMYFUNCTION("""COMPUTED_VALUE"""),"Elin Geraghty")</f>
        <v>Elin Geraghty</v>
      </c>
      <c r="R272" s="123" t="str">
        <f ca="1">IFERROR(__xludf.DUMMYFUNCTION("""COMPUTED_VALUE"""),"Harrison Morgan")</f>
        <v>Harrison Morgan</v>
      </c>
      <c r="S272" s="123" t="str">
        <f ca="1">IFERROR(__xludf.DUMMYFUNCTION("""COMPUTED_VALUE"""),"Christina Hopke")</f>
        <v>Christina Hopke</v>
      </c>
      <c r="T272" s="123" t="str">
        <f ca="1">IFERROR(__xludf.DUMMYFUNCTION("""COMPUTED_VALUE"""),"Eli Meek")</f>
        <v>Eli Meek</v>
      </c>
    </row>
    <row r="273" spans="1:20" ht="13.8">
      <c r="A273" s="118" t="str">
        <f ca="1">IFERROR(__xludf.DUMMYFUNCTION("""COMPUTED_VALUE"""),"CSC")</f>
        <v>CSC</v>
      </c>
      <c r="B273" s="119" t="str">
        <f ca="1">IFERROR(__xludf.DUMMYFUNCTION("""COMPUTED_VALUE"""),"Estelle Gianoli")</f>
        <v>Estelle Gianoli</v>
      </c>
      <c r="C273" s="118">
        <f ca="1">IFERROR(__xludf.DUMMYFUNCTION("""COMPUTED_VALUE"""),9)</f>
        <v>9</v>
      </c>
      <c r="D273" s="118" t="str">
        <f ca="1">IFERROR(__xludf.DUMMYFUNCTION("""COMPUTED_VALUE"""),"G")</f>
        <v>G</v>
      </c>
      <c r="E273" s="118" t="str">
        <f ca="1">IFERROR(__xludf.DUMMYFUNCTION("""COMPUTED_VALUE"""),"F")</f>
        <v>F</v>
      </c>
      <c r="F273" s="118" t="str">
        <f ca="1">IFERROR(__xludf.DUMMYFUNCTION("""COMPUTED_VALUE"""),"J")</f>
        <v>J</v>
      </c>
      <c r="G273" s="118">
        <f ca="1">IFERROR(__xludf.DUMMYFUNCTION("""COMPUTED_VALUE"""),7)</f>
        <v>7</v>
      </c>
      <c r="H273" s="118" t="str">
        <f ca="1">IFERROR(__xludf.DUMMYFUNCTION("""COMPUTED_VALUE"""),"CSC")</f>
        <v>CSC</v>
      </c>
      <c r="I273" s="118">
        <f ca="1">IFERROR(__xludf.DUMMYFUNCTION("""COMPUTED_VALUE"""),4)</f>
        <v>4</v>
      </c>
      <c r="J273" s="118">
        <f ca="1">IFERROR(__xludf.DUMMYFUNCTION("""COMPUTED_VALUE"""),4)</f>
        <v>4</v>
      </c>
      <c r="K273" s="120">
        <f ca="1">IFERROR(__xludf.DUMMYFUNCTION("""COMPUTED_VALUE"""),36.5)</f>
        <v>36.5</v>
      </c>
      <c r="L273" s="121"/>
      <c r="M273" s="120">
        <f ca="1">IFERROR(__xludf.DUMMYFUNCTION("""COMPUTED_VALUE"""),36.5)</f>
        <v>36.5</v>
      </c>
      <c r="N273" s="121"/>
      <c r="O273" s="120">
        <f ca="1">IFERROR(__xludf.DUMMYFUNCTION("""COMPUTED_VALUE"""),30)</f>
        <v>30</v>
      </c>
      <c r="P273" s="122"/>
      <c r="Q273" s="123" t="str">
        <f ca="1">IFERROR(__xludf.DUMMYFUNCTION("""COMPUTED_VALUE"""),"Elisa Olson")</f>
        <v>Elisa Olson</v>
      </c>
      <c r="R273" s="123" t="str">
        <f ca="1">IFERROR(__xludf.DUMMYFUNCTION("""COMPUTED_VALUE"""),"Harrison Niday")</f>
        <v>Harrison Niday</v>
      </c>
      <c r="S273" s="123" t="str">
        <f ca="1">IFERROR(__xludf.DUMMYFUNCTION("""COMPUTED_VALUE"""),"Christine Hackl")</f>
        <v>Christine Hackl</v>
      </c>
      <c r="T273" s="123" t="str">
        <f ca="1">IFERROR(__xludf.DUMMYFUNCTION("""COMPUTED_VALUE"""),"Eli White")</f>
        <v>Eli White</v>
      </c>
    </row>
    <row r="274" spans="1:20" ht="13.8">
      <c r="A274" s="118" t="str">
        <f ca="1">IFERROR(__xludf.DUMMYFUNCTION("""COMPUTED_VALUE"""),"CSC")</f>
        <v>CSC</v>
      </c>
      <c r="B274" s="119" t="str">
        <f ca="1">IFERROR(__xludf.DUMMYFUNCTION("""COMPUTED_VALUE"""),"Etain Heron")</f>
        <v>Etain Heron</v>
      </c>
      <c r="C274" s="118">
        <f ca="1">IFERROR(__xludf.DUMMYFUNCTION("""COMPUTED_VALUE"""),9)</f>
        <v>9</v>
      </c>
      <c r="D274" s="118" t="str">
        <f ca="1">IFERROR(__xludf.DUMMYFUNCTION("""COMPUTED_VALUE"""),"G")</f>
        <v>G</v>
      </c>
      <c r="E274" s="118" t="str">
        <f ca="1">IFERROR(__xludf.DUMMYFUNCTION("""COMPUTED_VALUE"""),"F")</f>
        <v>F</v>
      </c>
      <c r="F274" s="118" t="str">
        <f ca="1">IFERROR(__xludf.DUMMYFUNCTION("""COMPUTED_VALUE"""),"J")</f>
        <v>J</v>
      </c>
      <c r="G274" s="118">
        <f ca="1">IFERROR(__xludf.DUMMYFUNCTION("""COMPUTED_VALUE"""),7)</f>
        <v>7</v>
      </c>
      <c r="H274" s="118" t="str">
        <f ca="1">IFERROR(__xludf.DUMMYFUNCTION("""COMPUTED_VALUE"""),"CSC")</f>
        <v>CSC</v>
      </c>
      <c r="I274" s="118">
        <f ca="1">IFERROR(__xludf.DUMMYFUNCTION("""COMPUTED_VALUE"""),4)</f>
        <v>4</v>
      </c>
      <c r="J274" s="118">
        <f ca="1">IFERROR(__xludf.DUMMYFUNCTION("""COMPUTED_VALUE"""),5)</f>
        <v>5</v>
      </c>
      <c r="K274" s="120">
        <f ca="1">IFERROR(__xludf.DUMMYFUNCTION("""COMPUTED_VALUE"""),43.7)</f>
        <v>43.7</v>
      </c>
      <c r="L274" s="121"/>
      <c r="M274" s="120">
        <f ca="1">IFERROR(__xludf.DUMMYFUNCTION("""COMPUTED_VALUE"""),25.9)</f>
        <v>25.9</v>
      </c>
      <c r="N274" s="121"/>
      <c r="O274" s="120">
        <f ca="1">IFERROR(__xludf.DUMMYFUNCTION("""COMPUTED_VALUE"""),43.7)</f>
        <v>43.7</v>
      </c>
      <c r="P274" s="122"/>
      <c r="Q274" s="123" t="str">
        <f ca="1">IFERROR(__xludf.DUMMYFUNCTION("""COMPUTED_VALUE"""),"Elise Esquivel")</f>
        <v>Elise Esquivel</v>
      </c>
      <c r="R274" s="123" t="str">
        <f ca="1">IFERROR(__xludf.DUMMYFUNCTION("""COMPUTED_VALUE"""),"Hayden Klein")</f>
        <v>Hayden Klein</v>
      </c>
      <c r="S274" s="123" t="str">
        <f ca="1">IFERROR(__xludf.DUMMYFUNCTION("""COMPUTED_VALUE"""),"CiCi Yen")</f>
        <v>CiCi Yen</v>
      </c>
      <c r="T274" s="123" t="str">
        <f ca="1">IFERROR(__xludf.DUMMYFUNCTION("""COMPUTED_VALUE"""),"Elias Cater")</f>
        <v>Elias Cater</v>
      </c>
    </row>
    <row r="275" spans="1:20" ht="13.8">
      <c r="A275" s="118" t="str">
        <f ca="1">IFERROR(__xludf.DUMMYFUNCTION("""COMPUTED_VALUE"""),"CSC")</f>
        <v>CSC</v>
      </c>
      <c r="B275" s="119" t="str">
        <f ca="1">IFERROR(__xludf.DUMMYFUNCTION("""COMPUTED_VALUE"""),"Fiorentina Vargas")</f>
        <v>Fiorentina Vargas</v>
      </c>
      <c r="C275" s="118">
        <f ca="1">IFERROR(__xludf.DUMMYFUNCTION("""COMPUTED_VALUE"""),10)</f>
        <v>10</v>
      </c>
      <c r="D275" s="118" t="str">
        <f ca="1">IFERROR(__xludf.DUMMYFUNCTION("""COMPUTED_VALUE"""),"G")</f>
        <v>G</v>
      </c>
      <c r="E275" s="118" t="str">
        <f ca="1">IFERROR(__xludf.DUMMYFUNCTION("""COMPUTED_VALUE"""),"F")</f>
        <v>F</v>
      </c>
      <c r="F275" s="118" t="str">
        <f ca="1">IFERROR(__xludf.DUMMYFUNCTION("""COMPUTED_VALUE"""),"J")</f>
        <v>J</v>
      </c>
      <c r="G275" s="118">
        <f ca="1">IFERROR(__xludf.DUMMYFUNCTION("""COMPUTED_VALUE"""),7)</f>
        <v>7</v>
      </c>
      <c r="H275" s="118" t="str">
        <f ca="1">IFERROR(__xludf.DUMMYFUNCTION("""COMPUTED_VALUE"""),"CSC")</f>
        <v>CSC</v>
      </c>
      <c r="I275" s="118">
        <f ca="1">IFERROR(__xludf.DUMMYFUNCTION("""COMPUTED_VALUE"""),4)</f>
        <v>4</v>
      </c>
      <c r="J275" s="118">
        <f ca="1">IFERROR(__xludf.DUMMYFUNCTION("""COMPUTED_VALUE"""),5)</f>
        <v>5</v>
      </c>
      <c r="K275" s="120">
        <f ca="1">IFERROR(__xludf.DUMMYFUNCTION("""COMPUTED_VALUE"""),58.15)</f>
        <v>58.15</v>
      </c>
      <c r="L275" s="121"/>
      <c r="M275" s="120">
        <f ca="1">IFERROR(__xludf.DUMMYFUNCTION("""COMPUTED_VALUE"""),53)</f>
        <v>53</v>
      </c>
      <c r="N275" s="121"/>
      <c r="O275" s="120">
        <f ca="1">IFERROR(__xludf.DUMMYFUNCTION("""COMPUTED_VALUE"""),58.15)</f>
        <v>58.15</v>
      </c>
      <c r="P275" s="122"/>
      <c r="Q275" s="123" t="str">
        <f ca="1">IFERROR(__xludf.DUMMYFUNCTION("""COMPUTED_VALUE"""),"Elise Wise")</f>
        <v>Elise Wise</v>
      </c>
      <c r="R275" s="123" t="str">
        <f ca="1">IFERROR(__xludf.DUMMYFUNCTION("""COMPUTED_VALUE"""),"Hayes Miller")</f>
        <v>Hayes Miller</v>
      </c>
      <c r="S275" s="123" t="str">
        <f ca="1">IFERROR(__xludf.DUMMYFUNCTION("""COMPUTED_VALUE"""),"Cierra Zimmermann")</f>
        <v>Cierra Zimmermann</v>
      </c>
      <c r="T275" s="123" t="str">
        <f ca="1">IFERROR(__xludf.DUMMYFUNCTION("""COMPUTED_VALUE"""),"Elias Flores")</f>
        <v>Elias Flores</v>
      </c>
    </row>
    <row r="276" spans="1:20" ht="13.8">
      <c r="A276" s="118" t="str">
        <f ca="1">IFERROR(__xludf.DUMMYFUNCTION("""COMPUTED_VALUE"""),"CSC")</f>
        <v>CSC</v>
      </c>
      <c r="B276" s="119" t="str">
        <f ca="1">IFERROR(__xludf.DUMMYFUNCTION("""COMPUTED_VALUE"""),"Isla Powers")</f>
        <v>Isla Powers</v>
      </c>
      <c r="C276" s="118">
        <f ca="1">IFERROR(__xludf.DUMMYFUNCTION("""COMPUTED_VALUE"""),7)</f>
        <v>7</v>
      </c>
      <c r="D276" s="118" t="str">
        <f ca="1">IFERROR(__xludf.DUMMYFUNCTION("""COMPUTED_VALUE"""),"G")</f>
        <v>G</v>
      </c>
      <c r="E276" s="118" t="str">
        <f ca="1">IFERROR(__xludf.DUMMYFUNCTION("""COMPUTED_VALUE"""),"F")</f>
        <v>F</v>
      </c>
      <c r="F276" s="118" t="str">
        <f ca="1">IFERROR(__xludf.DUMMYFUNCTION("""COMPUTED_VALUE"""),"J")</f>
        <v>J</v>
      </c>
      <c r="G276" s="118">
        <f ca="1">IFERROR(__xludf.DUMMYFUNCTION("""COMPUTED_VALUE"""),7)</f>
        <v>7</v>
      </c>
      <c r="H276" s="118" t="str">
        <f ca="1">IFERROR(__xludf.DUMMYFUNCTION("""COMPUTED_VALUE"""),"CSC")</f>
        <v>CSC</v>
      </c>
      <c r="I276" s="118">
        <f ca="1">IFERROR(__xludf.DUMMYFUNCTION("""COMPUTED_VALUE"""),4)</f>
        <v>4</v>
      </c>
      <c r="J276" s="118">
        <f ca="1">IFERROR(__xludf.DUMMYFUNCTION("""COMPUTED_VALUE"""),0)</f>
        <v>0</v>
      </c>
      <c r="K276" s="120"/>
      <c r="L276" s="121"/>
      <c r="M276" s="120"/>
      <c r="N276" s="121"/>
      <c r="O276" s="120"/>
      <c r="P276" s="122"/>
      <c r="Q276" s="123" t="str">
        <f ca="1">IFERROR(__xludf.DUMMYFUNCTION("""COMPUTED_VALUE"""),"Eliska Brown")</f>
        <v>Eliska Brown</v>
      </c>
      <c r="R276" s="123" t="str">
        <f ca="1">IFERROR(__xludf.DUMMYFUNCTION("""COMPUTED_VALUE"""),"Henry Chang")</f>
        <v>Henry Chang</v>
      </c>
      <c r="S276" s="123" t="str">
        <f ca="1">IFERROR(__xludf.DUMMYFUNCTION("""COMPUTED_VALUE"""),"Claire Andresen")</f>
        <v>Claire Andresen</v>
      </c>
      <c r="T276" s="123" t="str">
        <f ca="1">IFERROR(__xludf.DUMMYFUNCTION("""COMPUTED_VALUE"""),"Elijah Hawley")</f>
        <v>Elijah Hawley</v>
      </c>
    </row>
    <row r="277" spans="1:20" ht="13.8">
      <c r="A277" s="118" t="str">
        <f ca="1">IFERROR(__xludf.DUMMYFUNCTION("""COMPUTED_VALUE"""),"CSC")</f>
        <v>CSC</v>
      </c>
      <c r="B277" s="119" t="str">
        <f ca="1">IFERROR(__xludf.DUMMYFUNCTION("""COMPUTED_VALUE"""),"Jolene Fernandes")</f>
        <v>Jolene Fernandes</v>
      </c>
      <c r="C277" s="118">
        <f ca="1">IFERROR(__xludf.DUMMYFUNCTION("""COMPUTED_VALUE"""),8)</f>
        <v>8</v>
      </c>
      <c r="D277" s="118" t="str">
        <f ca="1">IFERROR(__xludf.DUMMYFUNCTION("""COMPUTED_VALUE"""),"G")</f>
        <v>G</v>
      </c>
      <c r="E277" s="118" t="str">
        <f ca="1">IFERROR(__xludf.DUMMYFUNCTION("""COMPUTED_VALUE"""),"F")</f>
        <v>F</v>
      </c>
      <c r="F277" s="118" t="str">
        <f ca="1">IFERROR(__xludf.DUMMYFUNCTION("""COMPUTED_VALUE"""),"J")</f>
        <v>J</v>
      </c>
      <c r="G277" s="118">
        <f ca="1">IFERROR(__xludf.DUMMYFUNCTION("""COMPUTED_VALUE"""),7)</f>
        <v>7</v>
      </c>
      <c r="H277" s="118" t="str">
        <f ca="1">IFERROR(__xludf.DUMMYFUNCTION("""COMPUTED_VALUE"""),"CSC")</f>
        <v>CSC</v>
      </c>
      <c r="I277" s="118">
        <f ca="1">IFERROR(__xludf.DUMMYFUNCTION("""COMPUTED_VALUE"""),4)</f>
        <v>4</v>
      </c>
      <c r="J277" s="118">
        <f ca="1">IFERROR(__xludf.DUMMYFUNCTION("""COMPUTED_VALUE"""),5)</f>
        <v>5</v>
      </c>
      <c r="K277" s="120">
        <f ca="1">IFERROR(__xludf.DUMMYFUNCTION("""COMPUTED_VALUE"""),51.5)</f>
        <v>51.5</v>
      </c>
      <c r="L277" s="121"/>
      <c r="M277" s="120">
        <f ca="1">IFERROR(__xludf.DUMMYFUNCTION("""COMPUTED_VALUE"""),46.1)</f>
        <v>46.1</v>
      </c>
      <c r="N277" s="121"/>
      <c r="O277" s="120">
        <f ca="1">IFERROR(__xludf.DUMMYFUNCTION("""COMPUTED_VALUE"""),51.5)</f>
        <v>51.5</v>
      </c>
      <c r="P277" s="122"/>
      <c r="Q277" s="123" t="str">
        <f ca="1">IFERROR(__xludf.DUMMYFUNCTION("""COMPUTED_VALUE"""),"Eliza Reece")</f>
        <v>Eliza Reece</v>
      </c>
      <c r="R277" s="123" t="str">
        <f ca="1">IFERROR(__xludf.DUMMYFUNCTION("""COMPUTED_VALUE"""),"Henry Hall")</f>
        <v>Henry Hall</v>
      </c>
      <c r="S277" s="123" t="str">
        <f ca="1">IFERROR(__xludf.DUMMYFUNCTION("""COMPUTED_VALUE"""),"Claire Beaudoin")</f>
        <v>Claire Beaudoin</v>
      </c>
      <c r="T277" s="123" t="str">
        <f ca="1">IFERROR(__xludf.DUMMYFUNCTION("""COMPUTED_VALUE"""),"Elliot Brooks")</f>
        <v>Elliot Brooks</v>
      </c>
    </row>
    <row r="278" spans="1:20" ht="13.8">
      <c r="A278" s="118" t="str">
        <f ca="1">IFERROR(__xludf.DUMMYFUNCTION("""COMPUTED_VALUE"""),"CSC")</f>
        <v>CSC</v>
      </c>
      <c r="B278" s="119" t="str">
        <f ca="1">IFERROR(__xludf.DUMMYFUNCTION("""COMPUTED_VALUE"""),"June Benson")</f>
        <v>June Benson</v>
      </c>
      <c r="C278" s="118">
        <f ca="1">IFERROR(__xludf.DUMMYFUNCTION("""COMPUTED_VALUE"""),8)</f>
        <v>8</v>
      </c>
      <c r="D278" s="118" t="str">
        <f ca="1">IFERROR(__xludf.DUMMYFUNCTION("""COMPUTED_VALUE"""),"G")</f>
        <v>G</v>
      </c>
      <c r="E278" s="118" t="str">
        <f ca="1">IFERROR(__xludf.DUMMYFUNCTION("""COMPUTED_VALUE"""),"F")</f>
        <v>F</v>
      </c>
      <c r="F278" s="118" t="str">
        <f ca="1">IFERROR(__xludf.DUMMYFUNCTION("""COMPUTED_VALUE"""),"J")</f>
        <v>J</v>
      </c>
      <c r="G278" s="118">
        <f ca="1">IFERROR(__xludf.DUMMYFUNCTION("""COMPUTED_VALUE"""),7)</f>
        <v>7</v>
      </c>
      <c r="H278" s="118" t="str">
        <f ca="1">IFERROR(__xludf.DUMMYFUNCTION("""COMPUTED_VALUE"""),"CSC")</f>
        <v>CSC</v>
      </c>
      <c r="I278" s="118">
        <f ca="1">IFERROR(__xludf.DUMMYFUNCTION("""COMPUTED_VALUE"""),4)</f>
        <v>4</v>
      </c>
      <c r="J278" s="118">
        <f ca="1">IFERROR(__xludf.DUMMYFUNCTION("""COMPUTED_VALUE"""),4)</f>
        <v>4</v>
      </c>
      <c r="K278" s="120">
        <f ca="1">IFERROR(__xludf.DUMMYFUNCTION("""COMPUTED_VALUE"""),35.7)</f>
        <v>35.700000000000003</v>
      </c>
      <c r="L278" s="121"/>
      <c r="M278" s="120">
        <f ca="1">IFERROR(__xludf.DUMMYFUNCTION("""COMPUTED_VALUE"""),34.95)</f>
        <v>34.950000000000003</v>
      </c>
      <c r="N278" s="121"/>
      <c r="O278" s="120">
        <f ca="1">IFERROR(__xludf.DUMMYFUNCTION("""COMPUTED_VALUE"""),35.7)</f>
        <v>35.700000000000003</v>
      </c>
      <c r="P278" s="122"/>
      <c r="Q278" s="123" t="str">
        <f ca="1">IFERROR(__xludf.DUMMYFUNCTION("""COMPUTED_VALUE"""),"Eliza Simms")</f>
        <v>Eliza Simms</v>
      </c>
      <c r="R278" s="123" t="str">
        <f ca="1">IFERROR(__xludf.DUMMYFUNCTION("""COMPUTED_VALUE"""),"Henry Martin")</f>
        <v>Henry Martin</v>
      </c>
      <c r="S278" s="123" t="str">
        <f ca="1">IFERROR(__xludf.DUMMYFUNCTION("""COMPUTED_VALUE"""),"Claire Bishop")</f>
        <v>Claire Bishop</v>
      </c>
      <c r="T278" s="123" t="str">
        <f ca="1">IFERROR(__xludf.DUMMYFUNCTION("""COMPUTED_VALUE"""),"Elliot Kobus")</f>
        <v>Elliot Kobus</v>
      </c>
    </row>
    <row r="279" spans="1:20" ht="13.8">
      <c r="A279" s="118" t="str">
        <f ca="1">IFERROR(__xludf.DUMMYFUNCTION("""COMPUTED_VALUE"""),"CSC")</f>
        <v>CSC</v>
      </c>
      <c r="B279" s="119" t="str">
        <f ca="1">IFERROR(__xludf.DUMMYFUNCTION("""COMPUTED_VALUE"""),"Kelsie Trieu")</f>
        <v>Kelsie Trieu</v>
      </c>
      <c r="C279" s="118">
        <f ca="1">IFERROR(__xludf.DUMMYFUNCTION("""COMPUTED_VALUE"""),7)</f>
        <v>7</v>
      </c>
      <c r="D279" s="118" t="str">
        <f ca="1">IFERROR(__xludf.DUMMYFUNCTION("""COMPUTED_VALUE"""),"G")</f>
        <v>G</v>
      </c>
      <c r="E279" s="118" t="str">
        <f ca="1">IFERROR(__xludf.DUMMYFUNCTION("""COMPUTED_VALUE"""),"F")</f>
        <v>F</v>
      </c>
      <c r="F279" s="118" t="str">
        <f ca="1">IFERROR(__xludf.DUMMYFUNCTION("""COMPUTED_VALUE"""),"J")</f>
        <v>J</v>
      </c>
      <c r="G279" s="118">
        <f ca="1">IFERROR(__xludf.DUMMYFUNCTION("""COMPUTED_VALUE"""),7)</f>
        <v>7</v>
      </c>
      <c r="H279" s="118" t="str">
        <f ca="1">IFERROR(__xludf.DUMMYFUNCTION("""COMPUTED_VALUE"""),"CSC")</f>
        <v>CSC</v>
      </c>
      <c r="I279" s="118">
        <f ca="1">IFERROR(__xludf.DUMMYFUNCTION("""COMPUTED_VALUE"""),4)</f>
        <v>4</v>
      </c>
      <c r="J279" s="118">
        <f ca="1">IFERROR(__xludf.DUMMYFUNCTION("""COMPUTED_VALUE"""),5)</f>
        <v>5</v>
      </c>
      <c r="K279" s="120">
        <f ca="1">IFERROR(__xludf.DUMMYFUNCTION("""COMPUTED_VALUE"""),38.75)</f>
        <v>38.75</v>
      </c>
      <c r="L279" s="121"/>
      <c r="M279" s="120">
        <f ca="1">IFERROR(__xludf.DUMMYFUNCTION("""COMPUTED_VALUE"""),35.4)</f>
        <v>35.4</v>
      </c>
      <c r="N279" s="121"/>
      <c r="O279" s="120">
        <f ca="1">IFERROR(__xludf.DUMMYFUNCTION("""COMPUTED_VALUE"""),38.75)</f>
        <v>38.75</v>
      </c>
      <c r="P279" s="122"/>
      <c r="Q279" s="123" t="str">
        <f ca="1">IFERROR(__xludf.DUMMYFUNCTION("""COMPUTED_VALUE"""),"Elizabeth Abels")</f>
        <v>Elizabeth Abels</v>
      </c>
      <c r="R279" s="123" t="str">
        <f ca="1">IFERROR(__xludf.DUMMYFUNCTION("""COMPUTED_VALUE"""),"Henry Perkowski")</f>
        <v>Henry Perkowski</v>
      </c>
      <c r="S279" s="123" t="str">
        <f ca="1">IFERROR(__xludf.DUMMYFUNCTION("""COMPUTED_VALUE"""),"Claire Cannon")</f>
        <v>Claire Cannon</v>
      </c>
      <c r="T279" s="123" t="str">
        <f ca="1">IFERROR(__xludf.DUMMYFUNCTION("""COMPUTED_VALUE"""),"Elliot Lee")</f>
        <v>Elliot Lee</v>
      </c>
    </row>
    <row r="280" spans="1:20" ht="13.8">
      <c r="A280" s="118" t="str">
        <f ca="1">IFERROR(__xludf.DUMMYFUNCTION("""COMPUTED_VALUE"""),"CSC")</f>
        <v>CSC</v>
      </c>
      <c r="B280" s="119" t="str">
        <f ca="1">IFERROR(__xludf.DUMMYFUNCTION("""COMPUTED_VALUE"""),"Augusto Sondoval")</f>
        <v>Augusto Sondoval</v>
      </c>
      <c r="C280" s="118">
        <f ca="1">IFERROR(__xludf.DUMMYFUNCTION("""COMPUTED_VALUE"""),8)</f>
        <v>8</v>
      </c>
      <c r="D280" s="118" t="str">
        <f ca="1">IFERROR(__xludf.DUMMYFUNCTION("""COMPUTED_VALUE"""),"B")</f>
        <v>B</v>
      </c>
      <c r="E280" s="118" t="str">
        <f ca="1">IFERROR(__xludf.DUMMYFUNCTION("""COMPUTED_VALUE"""),"F")</f>
        <v>F</v>
      </c>
      <c r="F280" s="118" t="str">
        <f ca="1">IFERROR(__xludf.DUMMYFUNCTION("""COMPUTED_VALUE"""),"J")</f>
        <v>J</v>
      </c>
      <c r="G280" s="118">
        <f ca="1">IFERROR(__xludf.DUMMYFUNCTION("""COMPUTED_VALUE"""),7)</f>
        <v>7</v>
      </c>
      <c r="H280" s="118" t="str">
        <f ca="1">IFERROR(__xludf.DUMMYFUNCTION("""COMPUTED_VALUE"""),"CSC")</f>
        <v>CSC</v>
      </c>
      <c r="I280" s="118">
        <f ca="1">IFERROR(__xludf.DUMMYFUNCTION("""COMPUTED_VALUE"""),5)</f>
        <v>5</v>
      </c>
      <c r="J280" s="118">
        <f ca="1">IFERROR(__xludf.DUMMYFUNCTION("""COMPUTED_VALUE"""),0)</f>
        <v>0</v>
      </c>
      <c r="K280" s="120"/>
      <c r="L280" s="121"/>
      <c r="M280" s="120"/>
      <c r="N280" s="121"/>
      <c r="O280" s="120"/>
      <c r="P280" s="122"/>
      <c r="Q280" s="123" t="str">
        <f ca="1">IFERROR(__xludf.DUMMYFUNCTION("""COMPUTED_VALUE"""),"Elizabeth Andrews")</f>
        <v>Elizabeth Andrews</v>
      </c>
      <c r="R280" s="123" t="str">
        <f ca="1">IFERROR(__xludf.DUMMYFUNCTION("""COMPUTED_VALUE"""),"Henry Pyser")</f>
        <v>Henry Pyser</v>
      </c>
      <c r="S280" s="123" t="str">
        <f ca="1">IFERROR(__xludf.DUMMYFUNCTION("""COMPUTED_VALUE"""),"Claire Coughlin")</f>
        <v>Claire Coughlin</v>
      </c>
      <c r="T280" s="123" t="str">
        <f ca="1">IFERROR(__xludf.DUMMYFUNCTION("""COMPUTED_VALUE"""),"Elliot Raber")</f>
        <v>Elliot Raber</v>
      </c>
    </row>
    <row r="281" spans="1:20" ht="13.8">
      <c r="A281" s="118" t="str">
        <f ca="1">IFERROR(__xludf.DUMMYFUNCTION("""COMPUTED_VALUE"""),"CSC")</f>
        <v>CSC</v>
      </c>
      <c r="B281" s="119" t="str">
        <f ca="1">IFERROR(__xludf.DUMMYFUNCTION("""COMPUTED_VALUE"""),"Drexel Gianoli")</f>
        <v>Drexel Gianoli</v>
      </c>
      <c r="C281" s="118">
        <f ca="1">IFERROR(__xludf.DUMMYFUNCTION("""COMPUTED_VALUE"""),6)</f>
        <v>6</v>
      </c>
      <c r="D281" s="118" t="str">
        <f ca="1">IFERROR(__xludf.DUMMYFUNCTION("""COMPUTED_VALUE"""),"B")</f>
        <v>B</v>
      </c>
      <c r="E281" s="118" t="str">
        <f ca="1">IFERROR(__xludf.DUMMYFUNCTION("""COMPUTED_VALUE"""),"F")</f>
        <v>F</v>
      </c>
      <c r="F281" s="118" t="str">
        <f ca="1">IFERROR(__xludf.DUMMYFUNCTION("""COMPUTED_VALUE"""),"J")</f>
        <v>J</v>
      </c>
      <c r="G281" s="118">
        <f ca="1">IFERROR(__xludf.DUMMYFUNCTION("""COMPUTED_VALUE"""),7)</f>
        <v>7</v>
      </c>
      <c r="H281" s="118" t="str">
        <f ca="1">IFERROR(__xludf.DUMMYFUNCTION("""COMPUTED_VALUE"""),"CSC")</f>
        <v>CSC</v>
      </c>
      <c r="I281" s="118">
        <f ca="1">IFERROR(__xludf.DUMMYFUNCTION("""COMPUTED_VALUE"""),5)</f>
        <v>5</v>
      </c>
      <c r="J281" s="118">
        <f ca="1">IFERROR(__xludf.DUMMYFUNCTION("""COMPUTED_VALUE"""),3)</f>
        <v>3</v>
      </c>
      <c r="K281" s="120">
        <f ca="1">IFERROR(__xludf.DUMMYFUNCTION("""COMPUTED_VALUE"""),40.35)</f>
        <v>40.35</v>
      </c>
      <c r="L281" s="121"/>
      <c r="M281" s="120"/>
      <c r="N281" s="121"/>
      <c r="O281" s="120">
        <f ca="1">IFERROR(__xludf.DUMMYFUNCTION("""COMPUTED_VALUE"""),21.9)</f>
        <v>21.9</v>
      </c>
      <c r="P281" s="122"/>
      <c r="Q281" s="123" t="str">
        <f ca="1">IFERROR(__xludf.DUMMYFUNCTION("""COMPUTED_VALUE"""),"Elizabeth DiVincenzo")</f>
        <v>Elizabeth DiVincenzo</v>
      </c>
      <c r="R281" s="123" t="str">
        <f ca="1">IFERROR(__xludf.DUMMYFUNCTION("""COMPUTED_VALUE"""),"Henry Schmitt")</f>
        <v>Henry Schmitt</v>
      </c>
      <c r="S281" s="123" t="str">
        <f ca="1">IFERROR(__xludf.DUMMYFUNCTION("""COMPUTED_VALUE"""),"Claire Flanagan")</f>
        <v>Claire Flanagan</v>
      </c>
      <c r="T281" s="123" t="str">
        <f ca="1">IFERROR(__xludf.DUMMYFUNCTION("""COMPUTED_VALUE"""),"Ellis Constantine")</f>
        <v>Ellis Constantine</v>
      </c>
    </row>
    <row r="282" spans="1:20" ht="13.8">
      <c r="A282" s="118" t="str">
        <f ca="1">IFERROR(__xludf.DUMMYFUNCTION("""COMPUTED_VALUE"""),"CSC")</f>
        <v>CSC</v>
      </c>
      <c r="B282" s="119" t="str">
        <f ca="1">IFERROR(__xludf.DUMMYFUNCTION("""COMPUTED_VALUE"""),"Griffin Mitchell")</f>
        <v>Griffin Mitchell</v>
      </c>
      <c r="C282" s="118">
        <f ca="1">IFERROR(__xludf.DUMMYFUNCTION("""COMPUTED_VALUE"""),10)</f>
        <v>10</v>
      </c>
      <c r="D282" s="118" t="str">
        <f ca="1">IFERROR(__xludf.DUMMYFUNCTION("""COMPUTED_VALUE"""),"B")</f>
        <v>B</v>
      </c>
      <c r="E282" s="118" t="str">
        <f ca="1">IFERROR(__xludf.DUMMYFUNCTION("""COMPUTED_VALUE"""),"F")</f>
        <v>F</v>
      </c>
      <c r="F282" s="118" t="str">
        <f ca="1">IFERROR(__xludf.DUMMYFUNCTION("""COMPUTED_VALUE"""),"J")</f>
        <v>J</v>
      </c>
      <c r="G282" s="118">
        <f ca="1">IFERROR(__xludf.DUMMYFUNCTION("""COMPUTED_VALUE"""),7)</f>
        <v>7</v>
      </c>
      <c r="H282" s="118" t="str">
        <f ca="1">IFERROR(__xludf.DUMMYFUNCTION("""COMPUTED_VALUE"""),"CSC")</f>
        <v>CSC</v>
      </c>
      <c r="I282" s="118">
        <f ca="1">IFERROR(__xludf.DUMMYFUNCTION("""COMPUTED_VALUE"""),5)</f>
        <v>5</v>
      </c>
      <c r="J282" s="118">
        <f ca="1">IFERROR(__xludf.DUMMYFUNCTION("""COMPUTED_VALUE"""),5)</f>
        <v>5</v>
      </c>
      <c r="K282" s="120">
        <f ca="1">IFERROR(__xludf.DUMMYFUNCTION("""COMPUTED_VALUE"""),49.85)</f>
        <v>49.85</v>
      </c>
      <c r="L282" s="121"/>
      <c r="M282" s="120">
        <f ca="1">IFERROR(__xludf.DUMMYFUNCTION("""COMPUTED_VALUE"""),39.2)</f>
        <v>39.200000000000003</v>
      </c>
      <c r="N282" s="121"/>
      <c r="O282" s="120">
        <f ca="1">IFERROR(__xludf.DUMMYFUNCTION("""COMPUTED_VALUE"""),48.4)</f>
        <v>48.4</v>
      </c>
      <c r="P282" s="122"/>
      <c r="Q282" s="123" t="str">
        <f ca="1">IFERROR(__xludf.DUMMYFUNCTION("""COMPUTED_VALUE"""),"Elizabeth Pidgeon")</f>
        <v>Elizabeth Pidgeon</v>
      </c>
      <c r="R282" s="123" t="str">
        <f ca="1">IFERROR(__xludf.DUMMYFUNCTION("""COMPUTED_VALUE"""),"Henry Wisniewski")</f>
        <v>Henry Wisniewski</v>
      </c>
      <c r="S282" s="123" t="str">
        <f ca="1">IFERROR(__xludf.DUMMYFUNCTION("""COMPUTED_VALUE"""),"Claire Gallagher")</f>
        <v>Claire Gallagher</v>
      </c>
      <c r="T282" s="123" t="str">
        <f ca="1">IFERROR(__xludf.DUMMYFUNCTION("""COMPUTED_VALUE"""),"Ellis Hodum")</f>
        <v>Ellis Hodum</v>
      </c>
    </row>
    <row r="283" spans="1:20" ht="13.8">
      <c r="A283" s="118" t="str">
        <f ca="1">IFERROR(__xludf.DUMMYFUNCTION("""COMPUTED_VALUE"""),"CSC")</f>
        <v>CSC</v>
      </c>
      <c r="B283" s="119" t="str">
        <f ca="1">IFERROR(__xludf.DUMMYFUNCTION("""COMPUTED_VALUE"""),"Liam Volosin")</f>
        <v>Liam Volosin</v>
      </c>
      <c r="C283" s="118">
        <f ca="1">IFERROR(__xludf.DUMMYFUNCTION("""COMPUTED_VALUE"""),6)</f>
        <v>6</v>
      </c>
      <c r="D283" s="118" t="str">
        <f ca="1">IFERROR(__xludf.DUMMYFUNCTION("""COMPUTED_VALUE"""),"B")</f>
        <v>B</v>
      </c>
      <c r="E283" s="118" t="str">
        <f ca="1">IFERROR(__xludf.DUMMYFUNCTION("""COMPUTED_VALUE"""),"F")</f>
        <v>F</v>
      </c>
      <c r="F283" s="118" t="str">
        <f ca="1">IFERROR(__xludf.DUMMYFUNCTION("""COMPUTED_VALUE"""),"J")</f>
        <v>J</v>
      </c>
      <c r="G283" s="118">
        <f ca="1">IFERROR(__xludf.DUMMYFUNCTION("""COMPUTED_VALUE"""),7)</f>
        <v>7</v>
      </c>
      <c r="H283" s="118" t="str">
        <f ca="1">IFERROR(__xludf.DUMMYFUNCTION("""COMPUTED_VALUE"""),"CSC")</f>
        <v>CSC</v>
      </c>
      <c r="I283" s="118">
        <f ca="1">IFERROR(__xludf.DUMMYFUNCTION("""COMPUTED_VALUE"""),5)</f>
        <v>5</v>
      </c>
      <c r="J283" s="118">
        <f ca="1">IFERROR(__xludf.DUMMYFUNCTION("""COMPUTED_VALUE"""),0)</f>
        <v>0</v>
      </c>
      <c r="K283" s="120"/>
      <c r="L283" s="121"/>
      <c r="M283" s="120"/>
      <c r="N283" s="121"/>
      <c r="O283" s="120"/>
      <c r="P283" s="122"/>
      <c r="Q283" s="123" t="str">
        <f ca="1">IFERROR(__xludf.DUMMYFUNCTION("""COMPUTED_VALUE"""),"Elizabeth Rodenbeck")</f>
        <v>Elizabeth Rodenbeck</v>
      </c>
      <c r="R283" s="123" t="str">
        <f ca="1">IFERROR(__xludf.DUMMYFUNCTION("""COMPUTED_VALUE"""),"Hershey Zeeman")</f>
        <v>Hershey Zeeman</v>
      </c>
      <c r="S283" s="123" t="str">
        <f ca="1">IFERROR(__xludf.DUMMYFUNCTION("""COMPUTED_VALUE"""),"Claire Keating")</f>
        <v>Claire Keating</v>
      </c>
      <c r="T283" s="123" t="str">
        <f ca="1">IFERROR(__xludf.DUMMYFUNCTION("""COMPUTED_VALUE"""),"Emelio Minvielle")</f>
        <v>Emelio Minvielle</v>
      </c>
    </row>
    <row r="284" spans="1:20" ht="13.8">
      <c r="A284" s="118" t="str">
        <f ca="1">IFERROR(__xludf.DUMMYFUNCTION("""COMPUTED_VALUE"""),"CSC")</f>
        <v>CSC</v>
      </c>
      <c r="B284" s="119" t="str">
        <f ca="1">IFERROR(__xludf.DUMMYFUNCTION("""COMPUTED_VALUE"""),"Nathan Pierece")</f>
        <v>Nathan Pierece</v>
      </c>
      <c r="C284" s="118">
        <f ca="1">IFERROR(__xludf.DUMMYFUNCTION("""COMPUTED_VALUE"""),10)</f>
        <v>10</v>
      </c>
      <c r="D284" s="118" t="str">
        <f ca="1">IFERROR(__xludf.DUMMYFUNCTION("""COMPUTED_VALUE"""),"B")</f>
        <v>B</v>
      </c>
      <c r="E284" s="118" t="str">
        <f ca="1">IFERROR(__xludf.DUMMYFUNCTION("""COMPUTED_VALUE"""),"F")</f>
        <v>F</v>
      </c>
      <c r="F284" s="118" t="str">
        <f ca="1">IFERROR(__xludf.DUMMYFUNCTION("""COMPUTED_VALUE"""),"J")</f>
        <v>J</v>
      </c>
      <c r="G284" s="118">
        <f ca="1">IFERROR(__xludf.DUMMYFUNCTION("""COMPUTED_VALUE"""),7)</f>
        <v>7</v>
      </c>
      <c r="H284" s="118" t="str">
        <f ca="1">IFERROR(__xludf.DUMMYFUNCTION("""COMPUTED_VALUE"""),"CSC")</f>
        <v>CSC</v>
      </c>
      <c r="I284" s="118">
        <f ca="1">IFERROR(__xludf.DUMMYFUNCTION("""COMPUTED_VALUE"""),5)</f>
        <v>5</v>
      </c>
      <c r="J284" s="118">
        <f ca="1">IFERROR(__xludf.DUMMYFUNCTION("""COMPUTED_VALUE"""),4)</f>
        <v>4</v>
      </c>
      <c r="K284" s="120">
        <f ca="1">IFERROR(__xludf.DUMMYFUNCTION("""COMPUTED_VALUE"""),57.75)</f>
        <v>57.75</v>
      </c>
      <c r="L284" s="121"/>
      <c r="M284" s="120">
        <f ca="1">IFERROR(__xludf.DUMMYFUNCTION("""COMPUTED_VALUE"""),-72.55)</f>
        <v>-72.55</v>
      </c>
      <c r="N284" s="121"/>
      <c r="O284" s="120">
        <f ca="1">IFERROR(__xludf.DUMMYFUNCTION("""COMPUTED_VALUE"""),-63.7)</f>
        <v>-63.7</v>
      </c>
      <c r="P284" s="122"/>
      <c r="Q284" s="123" t="str">
        <f ca="1">IFERROR(__xludf.DUMMYFUNCTION("""COMPUTED_VALUE"""),"Elizabeth Shartzer")</f>
        <v>Elizabeth Shartzer</v>
      </c>
      <c r="R284" s="123" t="str">
        <f ca="1">IFERROR(__xludf.DUMMYFUNCTION("""COMPUTED_VALUE"""),"Holden Johnson")</f>
        <v>Holden Johnson</v>
      </c>
      <c r="S284" s="123" t="str">
        <f ca="1">IFERROR(__xludf.DUMMYFUNCTION("""COMPUTED_VALUE"""),"Claire McAsey")</f>
        <v>Claire McAsey</v>
      </c>
      <c r="T284" s="123" t="str">
        <f ca="1">IFERROR(__xludf.DUMMYFUNCTION("""COMPUTED_VALUE"""),"Emeric Alvarez")</f>
        <v>Emeric Alvarez</v>
      </c>
    </row>
    <row r="285" spans="1:20" ht="13.8">
      <c r="A285" s="118" t="str">
        <f ca="1">IFERROR(__xludf.DUMMYFUNCTION("""COMPUTED_VALUE"""),"CSC")</f>
        <v>CSC</v>
      </c>
      <c r="B285" s="119" t="str">
        <f ca="1">IFERROR(__xludf.DUMMYFUNCTION("""COMPUTED_VALUE"""),"Noah Pierece")</f>
        <v>Noah Pierece</v>
      </c>
      <c r="C285" s="118">
        <f ca="1">IFERROR(__xludf.DUMMYFUNCTION("""COMPUTED_VALUE"""),8)</f>
        <v>8</v>
      </c>
      <c r="D285" s="118" t="str">
        <f ca="1">IFERROR(__xludf.DUMMYFUNCTION("""COMPUTED_VALUE"""),"B")</f>
        <v>B</v>
      </c>
      <c r="E285" s="118" t="str">
        <f ca="1">IFERROR(__xludf.DUMMYFUNCTION("""COMPUTED_VALUE"""),"F")</f>
        <v>F</v>
      </c>
      <c r="F285" s="118" t="str">
        <f ca="1">IFERROR(__xludf.DUMMYFUNCTION("""COMPUTED_VALUE"""),"J")</f>
        <v>J</v>
      </c>
      <c r="G285" s="118">
        <f ca="1">IFERROR(__xludf.DUMMYFUNCTION("""COMPUTED_VALUE"""),7)</f>
        <v>7</v>
      </c>
      <c r="H285" s="118" t="str">
        <f ca="1">IFERROR(__xludf.DUMMYFUNCTION("""COMPUTED_VALUE"""),"CSC")</f>
        <v>CSC</v>
      </c>
      <c r="I285" s="118">
        <f ca="1">IFERROR(__xludf.DUMMYFUNCTION("""COMPUTED_VALUE"""),5)</f>
        <v>5</v>
      </c>
      <c r="J285" s="118">
        <f ca="1">IFERROR(__xludf.DUMMYFUNCTION("""COMPUTED_VALUE"""),5)</f>
        <v>5</v>
      </c>
      <c r="K285" s="120">
        <f ca="1">IFERROR(__xludf.DUMMYFUNCTION("""COMPUTED_VALUE"""),60.9)</f>
        <v>60.9</v>
      </c>
      <c r="L285" s="121"/>
      <c r="M285" s="120">
        <f ca="1">IFERROR(__xludf.DUMMYFUNCTION("""COMPUTED_VALUE"""),60.9)</f>
        <v>60.9</v>
      </c>
      <c r="N285" s="121"/>
      <c r="O285" s="120">
        <f ca="1">IFERROR(__xludf.DUMMYFUNCTION("""COMPUTED_VALUE"""),55.5)</f>
        <v>55.5</v>
      </c>
      <c r="P285" s="122"/>
      <c r="Q285" s="123" t="str">
        <f ca="1">IFERROR(__xludf.DUMMYFUNCTION("""COMPUTED_VALUE"""),"Ella Aldonas")</f>
        <v>Ella Aldonas</v>
      </c>
      <c r="R285" s="123" t="str">
        <f ca="1">IFERROR(__xludf.DUMMYFUNCTION("""COMPUTED_VALUE"""),"Hudson Lybarger")</f>
        <v>Hudson Lybarger</v>
      </c>
      <c r="S285" s="123" t="str">
        <f ca="1">IFERROR(__xludf.DUMMYFUNCTION("""COMPUTED_VALUE"""),"Claire Polsinelli")</f>
        <v>Claire Polsinelli</v>
      </c>
      <c r="T285" s="123" t="str">
        <f ca="1">IFERROR(__xludf.DUMMYFUNCTION("""COMPUTED_VALUE"""),"Emmett Coyne")</f>
        <v>Emmett Coyne</v>
      </c>
    </row>
    <row r="286" spans="1:20" ht="13.8">
      <c r="A286" s="118" t="str">
        <f ca="1">IFERROR(__xludf.DUMMYFUNCTION("""COMPUTED_VALUE"""),"CSC")</f>
        <v>CSC</v>
      </c>
      <c r="B286" s="119" t="str">
        <f ca="1">IFERROR(__xludf.DUMMYFUNCTION("""COMPUTED_VALUE"""),"Ruby Herbig")</f>
        <v>Ruby Herbig</v>
      </c>
      <c r="C286" s="118">
        <f ca="1">IFERROR(__xludf.DUMMYFUNCTION("""COMPUTED_VALUE"""),7)</f>
        <v>7</v>
      </c>
      <c r="D286" s="118" t="str">
        <f ca="1">IFERROR(__xludf.DUMMYFUNCTION("""COMPUTED_VALUE"""),"B")</f>
        <v>B</v>
      </c>
      <c r="E286" s="118" t="str">
        <f ca="1">IFERROR(__xludf.DUMMYFUNCTION("""COMPUTED_VALUE"""),"F")</f>
        <v>F</v>
      </c>
      <c r="F286" s="118" t="str">
        <f ca="1">IFERROR(__xludf.DUMMYFUNCTION("""COMPUTED_VALUE"""),"J")</f>
        <v>J</v>
      </c>
      <c r="G286" s="118">
        <f ca="1">IFERROR(__xludf.DUMMYFUNCTION("""COMPUTED_VALUE"""),7)</f>
        <v>7</v>
      </c>
      <c r="H286" s="118" t="str">
        <f ca="1">IFERROR(__xludf.DUMMYFUNCTION("""COMPUTED_VALUE"""),"CSC")</f>
        <v>CSC</v>
      </c>
      <c r="I286" s="118">
        <f ca="1">IFERROR(__xludf.DUMMYFUNCTION("""COMPUTED_VALUE"""),5)</f>
        <v>5</v>
      </c>
      <c r="J286" s="118">
        <f ca="1">IFERROR(__xludf.DUMMYFUNCTION("""COMPUTED_VALUE"""),0)</f>
        <v>0</v>
      </c>
      <c r="K286" s="120"/>
      <c r="L286" s="121"/>
      <c r="M286" s="120"/>
      <c r="N286" s="121"/>
      <c r="O286" s="120"/>
      <c r="P286" s="122"/>
      <c r="Q286" s="123" t="str">
        <f ca="1">IFERROR(__xludf.DUMMYFUNCTION("""COMPUTED_VALUE"""),"Ella Hudes")</f>
        <v>Ella Hudes</v>
      </c>
      <c r="R286" s="123" t="str">
        <f ca="1">IFERROR(__xludf.DUMMYFUNCTION("""COMPUTED_VALUE"""),"Hudson Moeller")</f>
        <v>Hudson Moeller</v>
      </c>
      <c r="S286" s="123" t="str">
        <f ca="1">IFERROR(__xludf.DUMMYFUNCTION("""COMPUTED_VALUE"""),"Claire Scarlett")</f>
        <v>Claire Scarlett</v>
      </c>
      <c r="T286" s="123" t="str">
        <f ca="1">IFERROR(__xludf.DUMMYFUNCTION("""COMPUTED_VALUE"""),"Emmett Kropf")</f>
        <v>Emmett Kropf</v>
      </c>
    </row>
    <row r="287" spans="1:20" ht="13.8">
      <c r="A287" s="118" t="str">
        <f ca="1">IFERROR(__xludf.DUMMYFUNCTION("""COMPUTED_VALUE"""),"CSC")</f>
        <v>CSC</v>
      </c>
      <c r="B287" s="119" t="str">
        <f ca="1">IFERROR(__xludf.DUMMYFUNCTION("""COMPUTED_VALUE"""),"Stevie Simmons")</f>
        <v>Stevie Simmons</v>
      </c>
      <c r="C287" s="118">
        <f ca="1">IFERROR(__xludf.DUMMYFUNCTION("""COMPUTED_VALUE"""),8)</f>
        <v>8</v>
      </c>
      <c r="D287" s="118" t="str">
        <f ca="1">IFERROR(__xludf.DUMMYFUNCTION("""COMPUTED_VALUE"""),"B")</f>
        <v>B</v>
      </c>
      <c r="E287" s="118" t="str">
        <f ca="1">IFERROR(__xludf.DUMMYFUNCTION("""COMPUTED_VALUE"""),"F")</f>
        <v>F</v>
      </c>
      <c r="F287" s="118" t="str">
        <f ca="1">IFERROR(__xludf.DUMMYFUNCTION("""COMPUTED_VALUE"""),"J")</f>
        <v>J</v>
      </c>
      <c r="G287" s="118">
        <f ca="1">IFERROR(__xludf.DUMMYFUNCTION("""COMPUTED_VALUE"""),7)</f>
        <v>7</v>
      </c>
      <c r="H287" s="118" t="str">
        <f ca="1">IFERROR(__xludf.DUMMYFUNCTION("""COMPUTED_VALUE"""),"CSC")</f>
        <v>CSC</v>
      </c>
      <c r="I287" s="118">
        <f ca="1">IFERROR(__xludf.DUMMYFUNCTION("""COMPUTED_VALUE"""),5)</f>
        <v>5</v>
      </c>
      <c r="J287" s="118">
        <f ca="1">IFERROR(__xludf.DUMMYFUNCTION("""COMPUTED_VALUE"""),5)</f>
        <v>5</v>
      </c>
      <c r="K287" s="120">
        <f ca="1">IFERROR(__xludf.DUMMYFUNCTION("""COMPUTED_VALUE"""),53.05)</f>
        <v>53.05</v>
      </c>
      <c r="L287" s="121"/>
      <c r="M287" s="120">
        <f ca="1">IFERROR(__xludf.DUMMYFUNCTION("""COMPUTED_VALUE"""),38.4)</f>
        <v>38.4</v>
      </c>
      <c r="N287" s="121"/>
      <c r="O287" s="120">
        <f ca="1">IFERROR(__xludf.DUMMYFUNCTION("""COMPUTED_VALUE"""),51.75)</f>
        <v>51.75</v>
      </c>
      <c r="P287" s="122"/>
      <c r="Q287" s="123" t="str">
        <f ca="1">IFERROR(__xludf.DUMMYFUNCTION("""COMPUTED_VALUE"""),"Ella Pace")</f>
        <v>Ella Pace</v>
      </c>
      <c r="R287" s="123" t="str">
        <f ca="1">IFERROR(__xludf.DUMMYFUNCTION("""COMPUTED_VALUE"""),"Hugo Kroely")</f>
        <v>Hugo Kroely</v>
      </c>
      <c r="S287" s="123" t="str">
        <f ca="1">IFERROR(__xludf.DUMMYFUNCTION("""COMPUTED_VALUE"""),"Claire Spinnler")</f>
        <v>Claire Spinnler</v>
      </c>
      <c r="T287" s="123" t="str">
        <f ca="1">IFERROR(__xludf.DUMMYFUNCTION("""COMPUTED_VALUE"""),"Emmett Shreckhise")</f>
        <v>Emmett Shreckhise</v>
      </c>
    </row>
    <row r="288" spans="1:20" ht="13.8">
      <c r="A288" s="118" t="str">
        <f ca="1">IFERROR(__xludf.DUMMYFUNCTION("""COMPUTED_VALUE"""),"CSC")</f>
        <v>CSC</v>
      </c>
      <c r="B288" s="119" t="str">
        <f ca="1">IFERROR(__xludf.DUMMYFUNCTION("""COMPUTED_VALUE"""),"Abigail Webster")</f>
        <v>Abigail Webster</v>
      </c>
      <c r="C288" s="118">
        <f ca="1">IFERROR(__xludf.DUMMYFUNCTION("""COMPUTED_VALUE"""),12)</f>
        <v>12</v>
      </c>
      <c r="D288" s="118" t="str">
        <f ca="1">IFERROR(__xludf.DUMMYFUNCTION("""COMPUTED_VALUE"""),"G")</f>
        <v>G</v>
      </c>
      <c r="E288" s="118" t="str">
        <f ca="1">IFERROR(__xludf.DUMMYFUNCTION("""COMPUTED_VALUE"""),"J")</f>
        <v>J</v>
      </c>
      <c r="F288" s="118" t="str">
        <f ca="1">IFERROR(__xludf.DUMMYFUNCTION("""COMPUTED_VALUE"""),"I")</f>
        <v>I</v>
      </c>
      <c r="G288" s="118">
        <f ca="1">IFERROR(__xludf.DUMMYFUNCTION("""COMPUTED_VALUE"""),7)</f>
        <v>7</v>
      </c>
      <c r="H288" s="118" t="str">
        <f ca="1">IFERROR(__xludf.DUMMYFUNCTION("""COMPUTED_VALUE"""),"CSC")</f>
        <v>CSC</v>
      </c>
      <c r="I288" s="118">
        <f ca="1">IFERROR(__xludf.DUMMYFUNCTION("""COMPUTED_VALUE"""),6)</f>
        <v>6</v>
      </c>
      <c r="J288" s="118">
        <f ca="1">IFERROR(__xludf.DUMMYFUNCTION("""COMPUTED_VALUE"""),4)</f>
        <v>4</v>
      </c>
      <c r="K288" s="120">
        <f ca="1">IFERROR(__xludf.DUMMYFUNCTION("""COMPUTED_VALUE"""),87.95)</f>
        <v>87.95</v>
      </c>
      <c r="L288" s="121"/>
      <c r="M288" s="120">
        <f ca="1">IFERROR(__xludf.DUMMYFUNCTION("""COMPUTED_VALUE"""),87.95)</f>
        <v>87.95</v>
      </c>
      <c r="N288" s="121"/>
      <c r="O288" s="120">
        <f ca="1">IFERROR(__xludf.DUMMYFUNCTION("""COMPUTED_VALUE"""),82.9)</f>
        <v>82.9</v>
      </c>
      <c r="P288" s="122"/>
      <c r="Q288" s="123" t="str">
        <f ca="1">IFERROR(__xludf.DUMMYFUNCTION("""COMPUTED_VALUE"""),"Ella Packard")</f>
        <v>Ella Packard</v>
      </c>
      <c r="R288" s="123" t="str">
        <f ca="1">IFERROR(__xludf.DUMMYFUNCTION("""COMPUTED_VALUE"""),"Hunter Sheldon")</f>
        <v>Hunter Sheldon</v>
      </c>
      <c r="S288" s="123" t="str">
        <f ca="1">IFERROR(__xludf.DUMMYFUNCTION("""COMPUTED_VALUE"""),"Claire Villella")</f>
        <v>Claire Villella</v>
      </c>
      <c r="T288" s="123" t="str">
        <f ca="1">IFERROR(__xludf.DUMMYFUNCTION("""COMPUTED_VALUE"""),"Emmett Wiedemann")</f>
        <v>Emmett Wiedemann</v>
      </c>
    </row>
    <row r="289" spans="1:20" ht="13.8">
      <c r="A289" s="118" t="str">
        <f ca="1">IFERROR(__xludf.DUMMYFUNCTION("""COMPUTED_VALUE"""),"CSC")</f>
        <v>CSC</v>
      </c>
      <c r="B289" s="119" t="str">
        <f ca="1">IFERROR(__xludf.DUMMYFUNCTION("""COMPUTED_VALUE"""),"Claire Webster")</f>
        <v>Claire Webster</v>
      </c>
      <c r="C289" s="118">
        <f ca="1">IFERROR(__xludf.DUMMYFUNCTION("""COMPUTED_VALUE"""),11)</f>
        <v>11</v>
      </c>
      <c r="D289" s="118" t="str">
        <f ca="1">IFERROR(__xludf.DUMMYFUNCTION("""COMPUTED_VALUE"""),"G")</f>
        <v>G</v>
      </c>
      <c r="E289" s="118" t="str">
        <f ca="1">IFERROR(__xludf.DUMMYFUNCTION("""COMPUTED_VALUE"""),"J")</f>
        <v>J</v>
      </c>
      <c r="F289" s="118" t="str">
        <f ca="1">IFERROR(__xludf.DUMMYFUNCTION("""COMPUTED_VALUE"""),"I")</f>
        <v>I</v>
      </c>
      <c r="G289" s="118">
        <f ca="1">IFERROR(__xludf.DUMMYFUNCTION("""COMPUTED_VALUE"""),7)</f>
        <v>7</v>
      </c>
      <c r="H289" s="118" t="str">
        <f ca="1">IFERROR(__xludf.DUMMYFUNCTION("""COMPUTED_VALUE"""),"CSC")</f>
        <v>CSC</v>
      </c>
      <c r="I289" s="118">
        <f ca="1">IFERROR(__xludf.DUMMYFUNCTION("""COMPUTED_VALUE"""),6)</f>
        <v>6</v>
      </c>
      <c r="J289" s="118">
        <f ca="1">IFERROR(__xludf.DUMMYFUNCTION("""COMPUTED_VALUE"""),4)</f>
        <v>4</v>
      </c>
      <c r="K289" s="120">
        <f ca="1">IFERROR(__xludf.DUMMYFUNCTION("""COMPUTED_VALUE"""),84.35)</f>
        <v>84.35</v>
      </c>
      <c r="L289" s="121"/>
      <c r="M289" s="120">
        <f ca="1">IFERROR(__xludf.DUMMYFUNCTION("""COMPUTED_VALUE"""),84.35)</f>
        <v>84.35</v>
      </c>
      <c r="N289" s="121"/>
      <c r="O289" s="120">
        <f ca="1">IFERROR(__xludf.DUMMYFUNCTION("""COMPUTED_VALUE"""),62.7)</f>
        <v>62.7</v>
      </c>
      <c r="P289" s="122"/>
      <c r="Q289" s="123" t="str">
        <f ca="1">IFERROR(__xludf.DUMMYFUNCTION("""COMPUTED_VALUE"""),"Ella Scharre")</f>
        <v>Ella Scharre</v>
      </c>
      <c r="R289" s="123" t="str">
        <f ca="1">IFERROR(__xludf.DUMMYFUNCTION("""COMPUTED_VALUE"""),"Hunter Simms")</f>
        <v>Hunter Simms</v>
      </c>
      <c r="S289" s="123" t="str">
        <f ca="1">IFERROR(__xludf.DUMMYFUNCTION("""COMPUTED_VALUE"""),"Claire Webster")</f>
        <v>Claire Webster</v>
      </c>
      <c r="T289" s="123" t="str">
        <f ca="1">IFERROR(__xludf.DUMMYFUNCTION("""COMPUTED_VALUE"""),"Emmett Wright")</f>
        <v>Emmett Wright</v>
      </c>
    </row>
    <row r="290" spans="1:20" ht="13.8">
      <c r="A290" s="118" t="str">
        <f ca="1">IFERROR(__xludf.DUMMYFUNCTION("""COMPUTED_VALUE"""),"CSC")</f>
        <v>CSC</v>
      </c>
      <c r="B290" s="119" t="str">
        <f ca="1">IFERROR(__xludf.DUMMYFUNCTION("""COMPUTED_VALUE"""),"Elle Berry")</f>
        <v>Elle Berry</v>
      </c>
      <c r="C290" s="118">
        <f ca="1">IFERROR(__xludf.DUMMYFUNCTION("""COMPUTED_VALUE"""),11)</f>
        <v>11</v>
      </c>
      <c r="D290" s="118" t="str">
        <f ca="1">IFERROR(__xludf.DUMMYFUNCTION("""COMPUTED_VALUE"""),"G")</f>
        <v>G</v>
      </c>
      <c r="E290" s="118" t="str">
        <f ca="1">IFERROR(__xludf.DUMMYFUNCTION("""COMPUTED_VALUE"""),"J")</f>
        <v>J</v>
      </c>
      <c r="F290" s="118" t="str">
        <f ca="1">IFERROR(__xludf.DUMMYFUNCTION("""COMPUTED_VALUE"""),"I")</f>
        <v>I</v>
      </c>
      <c r="G290" s="118">
        <f ca="1">IFERROR(__xludf.DUMMYFUNCTION("""COMPUTED_VALUE"""),7)</f>
        <v>7</v>
      </c>
      <c r="H290" s="118" t="str">
        <f ca="1">IFERROR(__xludf.DUMMYFUNCTION("""COMPUTED_VALUE"""),"CSC")</f>
        <v>CSC</v>
      </c>
      <c r="I290" s="118">
        <f ca="1">IFERROR(__xludf.DUMMYFUNCTION("""COMPUTED_VALUE"""),6)</f>
        <v>6</v>
      </c>
      <c r="J290" s="118">
        <f ca="1">IFERROR(__xludf.DUMMYFUNCTION("""COMPUTED_VALUE"""),2)</f>
        <v>2</v>
      </c>
      <c r="K290" s="120">
        <f ca="1">IFERROR(__xludf.DUMMYFUNCTION("""COMPUTED_VALUE"""),71.65)</f>
        <v>71.650000000000006</v>
      </c>
      <c r="L290" s="121"/>
      <c r="M290" s="120"/>
      <c r="N290" s="121"/>
      <c r="O290" s="120"/>
      <c r="P290" s="122"/>
      <c r="Q290" s="123" t="str">
        <f ca="1">IFERROR(__xludf.DUMMYFUNCTION("""COMPUTED_VALUE"""),"Ella Thomas")</f>
        <v>Ella Thomas</v>
      </c>
      <c r="R290" s="123" t="str">
        <f ca="1">IFERROR(__xludf.DUMMYFUNCTION("""COMPUTED_VALUE"""),"Ian Bradley")</f>
        <v>Ian Bradley</v>
      </c>
      <c r="S290" s="123" t="str">
        <f ca="1">IFERROR(__xludf.DUMMYFUNCTION("""COMPUTED_VALUE"""),"Claire Yurgil")</f>
        <v>Claire Yurgil</v>
      </c>
      <c r="T290" s="123" t="str">
        <f ca="1">IFERROR(__xludf.DUMMYFUNCTION("""COMPUTED_VALUE"""),"Ender Skelton")</f>
        <v>Ender Skelton</v>
      </c>
    </row>
    <row r="291" spans="1:20" ht="13.8">
      <c r="A291" s="118" t="str">
        <f ca="1">IFERROR(__xludf.DUMMYFUNCTION("""COMPUTED_VALUE"""),"CSC")</f>
        <v>CSC</v>
      </c>
      <c r="B291" s="119" t="str">
        <f ca="1">IFERROR(__xludf.DUMMYFUNCTION("""COMPUTED_VALUE"""),"Emma Magness")</f>
        <v>Emma Magness</v>
      </c>
      <c r="C291" s="118">
        <f ca="1">IFERROR(__xludf.DUMMYFUNCTION("""COMPUTED_VALUE"""),11)</f>
        <v>11</v>
      </c>
      <c r="D291" s="118" t="str">
        <f ca="1">IFERROR(__xludf.DUMMYFUNCTION("""COMPUTED_VALUE"""),"G")</f>
        <v>G</v>
      </c>
      <c r="E291" s="118" t="str">
        <f ca="1">IFERROR(__xludf.DUMMYFUNCTION("""COMPUTED_VALUE"""),"J")</f>
        <v>J</v>
      </c>
      <c r="F291" s="118" t="str">
        <f ca="1">IFERROR(__xludf.DUMMYFUNCTION("""COMPUTED_VALUE"""),"I")</f>
        <v>I</v>
      </c>
      <c r="G291" s="118">
        <f ca="1">IFERROR(__xludf.DUMMYFUNCTION("""COMPUTED_VALUE"""),7)</f>
        <v>7</v>
      </c>
      <c r="H291" s="118" t="str">
        <f ca="1">IFERROR(__xludf.DUMMYFUNCTION("""COMPUTED_VALUE"""),"CSC")</f>
        <v>CSC</v>
      </c>
      <c r="I291" s="118">
        <f ca="1">IFERROR(__xludf.DUMMYFUNCTION("""COMPUTED_VALUE"""),6)</f>
        <v>6</v>
      </c>
      <c r="J291" s="118">
        <f ca="1">IFERROR(__xludf.DUMMYFUNCTION("""COMPUTED_VALUE"""),5)</f>
        <v>5</v>
      </c>
      <c r="K291" s="120">
        <f ca="1">IFERROR(__xludf.DUMMYFUNCTION("""COMPUTED_VALUE"""),97.05)</f>
        <v>97.05</v>
      </c>
      <c r="L291" s="121"/>
      <c r="M291" s="120">
        <f ca="1">IFERROR(__xludf.DUMMYFUNCTION("""COMPUTED_VALUE"""),95.1)</f>
        <v>95.1</v>
      </c>
      <c r="N291" s="121"/>
      <c r="O291" s="120">
        <f ca="1">IFERROR(__xludf.DUMMYFUNCTION("""COMPUTED_VALUE"""),90.85)</f>
        <v>90.85</v>
      </c>
      <c r="P291" s="122"/>
      <c r="Q291" s="123" t="str">
        <f ca="1">IFERROR(__xludf.DUMMYFUNCTION("""COMPUTED_VALUE"""),"Ella Turner")</f>
        <v>Ella Turner</v>
      </c>
      <c r="R291" s="123" t="str">
        <f ca="1">IFERROR(__xludf.DUMMYFUNCTION("""COMPUTED_VALUE"""),"Ian Long")</f>
        <v>Ian Long</v>
      </c>
      <c r="S291" s="123" t="str">
        <f ca="1">IFERROR(__xludf.DUMMYFUNCTION("""COMPUTED_VALUE"""),"Clara Beatty")</f>
        <v>Clara Beatty</v>
      </c>
      <c r="T291" s="123" t="str">
        <f ca="1">IFERROR(__xludf.DUMMYFUNCTION("""COMPUTED_VALUE"""),"Eric Fleischer")</f>
        <v>Eric Fleischer</v>
      </c>
    </row>
    <row r="292" spans="1:20" ht="13.8">
      <c r="A292" s="118" t="str">
        <f ca="1">IFERROR(__xludf.DUMMYFUNCTION("""COMPUTED_VALUE"""),"CSC")</f>
        <v>CSC</v>
      </c>
      <c r="B292" s="119" t="str">
        <f ca="1">IFERROR(__xludf.DUMMYFUNCTION("""COMPUTED_VALUE"""),"Marissa Rubin")</f>
        <v>Marissa Rubin</v>
      </c>
      <c r="C292" s="118">
        <f ca="1">IFERROR(__xludf.DUMMYFUNCTION("""COMPUTED_VALUE"""),12)</f>
        <v>12</v>
      </c>
      <c r="D292" s="118" t="str">
        <f ca="1">IFERROR(__xludf.DUMMYFUNCTION("""COMPUTED_VALUE"""),"G")</f>
        <v>G</v>
      </c>
      <c r="E292" s="118" t="str">
        <f ca="1">IFERROR(__xludf.DUMMYFUNCTION("""COMPUTED_VALUE"""),"J")</f>
        <v>J</v>
      </c>
      <c r="F292" s="118" t="str">
        <f ca="1">IFERROR(__xludf.DUMMYFUNCTION("""COMPUTED_VALUE"""),"I")</f>
        <v>I</v>
      </c>
      <c r="G292" s="118">
        <f ca="1">IFERROR(__xludf.DUMMYFUNCTION("""COMPUTED_VALUE"""),7)</f>
        <v>7</v>
      </c>
      <c r="H292" s="118" t="str">
        <f ca="1">IFERROR(__xludf.DUMMYFUNCTION("""COMPUTED_VALUE"""),"CSC")</f>
        <v>CSC</v>
      </c>
      <c r="I292" s="118">
        <f ca="1">IFERROR(__xludf.DUMMYFUNCTION("""COMPUTED_VALUE"""),6)</f>
        <v>6</v>
      </c>
      <c r="J292" s="118">
        <f ca="1">IFERROR(__xludf.DUMMYFUNCTION("""COMPUTED_VALUE"""),0)</f>
        <v>0</v>
      </c>
      <c r="K292" s="120"/>
      <c r="L292" s="121"/>
      <c r="M292" s="120"/>
      <c r="N292" s="121"/>
      <c r="O292" s="120"/>
      <c r="P292" s="122"/>
      <c r="Q292" s="123" t="str">
        <f ca="1">IFERROR(__xludf.DUMMYFUNCTION("""COMPUTED_VALUE"""),"Elle Berry")</f>
        <v>Elle Berry</v>
      </c>
      <c r="R292" s="123" t="str">
        <f ca="1">IFERROR(__xludf.DUMMYFUNCTION("""COMPUTED_VALUE"""),"Ian Mormann")</f>
        <v>Ian Mormann</v>
      </c>
      <c r="S292" s="123" t="str">
        <f ca="1">IFERROR(__xludf.DUMMYFUNCTION("""COMPUTED_VALUE"""),"Clara Berkey")</f>
        <v>Clara Berkey</v>
      </c>
      <c r="T292" s="123" t="str">
        <f ca="1">IFERROR(__xludf.DUMMYFUNCTION("""COMPUTED_VALUE"""),"Espen Bassett")</f>
        <v>Espen Bassett</v>
      </c>
    </row>
    <row r="293" spans="1:20" ht="13.8">
      <c r="A293" s="118" t="str">
        <f ca="1">IFERROR(__xludf.DUMMYFUNCTION("""COMPUTED_VALUE"""),"CSC")</f>
        <v>CSC</v>
      </c>
      <c r="B293" s="119" t="str">
        <f ca="1">IFERROR(__xludf.DUMMYFUNCTION("""COMPUTED_VALUE"""),"Renata Sondoval")</f>
        <v>Renata Sondoval</v>
      </c>
      <c r="C293" s="118">
        <f ca="1">IFERROR(__xludf.DUMMYFUNCTION("""COMPUTED_VALUE"""),12)</f>
        <v>12</v>
      </c>
      <c r="D293" s="118" t="str">
        <f ca="1">IFERROR(__xludf.DUMMYFUNCTION("""COMPUTED_VALUE"""),"G")</f>
        <v>G</v>
      </c>
      <c r="E293" s="118" t="str">
        <f ca="1">IFERROR(__xludf.DUMMYFUNCTION("""COMPUTED_VALUE"""),"J")</f>
        <v>J</v>
      </c>
      <c r="F293" s="118" t="str">
        <f ca="1">IFERROR(__xludf.DUMMYFUNCTION("""COMPUTED_VALUE"""),"I")</f>
        <v>I</v>
      </c>
      <c r="G293" s="118">
        <f ca="1">IFERROR(__xludf.DUMMYFUNCTION("""COMPUTED_VALUE"""),7)</f>
        <v>7</v>
      </c>
      <c r="H293" s="118" t="str">
        <f ca="1">IFERROR(__xludf.DUMMYFUNCTION("""COMPUTED_VALUE"""),"CSC")</f>
        <v>CSC</v>
      </c>
      <c r="I293" s="118">
        <f ca="1">IFERROR(__xludf.DUMMYFUNCTION("""COMPUTED_VALUE"""),6)</f>
        <v>6</v>
      </c>
      <c r="J293" s="118">
        <f ca="1">IFERROR(__xludf.DUMMYFUNCTION("""COMPUTED_VALUE"""),0)</f>
        <v>0</v>
      </c>
      <c r="K293" s="120"/>
      <c r="L293" s="121"/>
      <c r="M293" s="120"/>
      <c r="N293" s="121"/>
      <c r="O293" s="120"/>
      <c r="P293" s="122"/>
      <c r="Q293" s="123" t="str">
        <f ca="1">IFERROR(__xludf.DUMMYFUNCTION("""COMPUTED_VALUE"""),"Elle Feeley")</f>
        <v>Elle Feeley</v>
      </c>
      <c r="R293" s="123" t="str">
        <f ca="1">IFERROR(__xludf.DUMMYFUNCTION("""COMPUTED_VALUE"""),"Ian Tamburrino")</f>
        <v>Ian Tamburrino</v>
      </c>
      <c r="S293" s="123" t="str">
        <f ca="1">IFERROR(__xludf.DUMMYFUNCTION("""COMPUTED_VALUE"""),"Clara Bryant")</f>
        <v>Clara Bryant</v>
      </c>
      <c r="T293" s="123" t="str">
        <f ca="1">IFERROR(__xludf.DUMMYFUNCTION("""COMPUTED_VALUE"""),"Ethan Cahn")</f>
        <v>Ethan Cahn</v>
      </c>
    </row>
    <row r="294" spans="1:20" ht="13.8">
      <c r="A294" s="118" t="str">
        <f ca="1">IFERROR(__xludf.DUMMYFUNCTION("""COMPUTED_VALUE"""),"CSC")</f>
        <v>CSC</v>
      </c>
      <c r="B294" s="119" t="str">
        <f ca="1">IFERROR(__xludf.DUMMYFUNCTION("""COMPUTED_VALUE"""),"Zeina Salameh")</f>
        <v>Zeina Salameh</v>
      </c>
      <c r="C294" s="118">
        <f ca="1">IFERROR(__xludf.DUMMYFUNCTION("""COMPUTED_VALUE"""),11)</f>
        <v>11</v>
      </c>
      <c r="D294" s="118" t="str">
        <f ca="1">IFERROR(__xludf.DUMMYFUNCTION("""COMPUTED_VALUE"""),"G")</f>
        <v>G</v>
      </c>
      <c r="E294" s="118" t="str">
        <f ca="1">IFERROR(__xludf.DUMMYFUNCTION("""COMPUTED_VALUE"""),"J")</f>
        <v>J</v>
      </c>
      <c r="F294" s="118" t="str">
        <f ca="1">IFERROR(__xludf.DUMMYFUNCTION("""COMPUTED_VALUE"""),"I")</f>
        <v>I</v>
      </c>
      <c r="G294" s="118">
        <f ca="1">IFERROR(__xludf.DUMMYFUNCTION("""COMPUTED_VALUE"""),7)</f>
        <v>7</v>
      </c>
      <c r="H294" s="118" t="str">
        <f ca="1">IFERROR(__xludf.DUMMYFUNCTION("""COMPUTED_VALUE"""),"CSC")</f>
        <v>CSC</v>
      </c>
      <c r="I294" s="118">
        <f ca="1">IFERROR(__xludf.DUMMYFUNCTION("""COMPUTED_VALUE"""),6)</f>
        <v>6</v>
      </c>
      <c r="J294" s="118">
        <f ca="1">IFERROR(__xludf.DUMMYFUNCTION("""COMPUTED_VALUE"""),0)</f>
        <v>0</v>
      </c>
      <c r="K294" s="120"/>
      <c r="L294" s="121"/>
      <c r="M294" s="120"/>
      <c r="N294" s="121"/>
      <c r="O294" s="120"/>
      <c r="P294" s="122"/>
      <c r="Q294" s="123" t="str">
        <f ca="1">IFERROR(__xludf.DUMMYFUNCTION("""COMPUTED_VALUE"""),"Elle Powers")</f>
        <v>Elle Powers</v>
      </c>
      <c r="R294" s="123" t="str">
        <f ca="1">IFERROR(__xludf.DUMMYFUNCTION("""COMPUTED_VALUE"""),"Ian Thackaberry")</f>
        <v>Ian Thackaberry</v>
      </c>
      <c r="S294" s="123" t="str">
        <f ca="1">IFERROR(__xludf.DUMMYFUNCTION("""COMPUTED_VALUE"""),"Clara Cash")</f>
        <v>Clara Cash</v>
      </c>
      <c r="T294" s="123" t="str">
        <f ca="1">IFERROR(__xludf.DUMMYFUNCTION("""COMPUTED_VALUE"""),"Ethan Dalrymple")</f>
        <v>Ethan Dalrymple</v>
      </c>
    </row>
    <row r="295" spans="1:20" ht="13.8">
      <c r="A295" s="118" t="str">
        <f ca="1">IFERROR(__xludf.DUMMYFUNCTION("""COMPUTED_VALUE"""),"CSC")</f>
        <v>CSC</v>
      </c>
      <c r="B295" s="119" t="str">
        <f ca="1">IFERROR(__xludf.DUMMYFUNCTION("""COMPUTED_VALUE"""),"Booth Mitchell")</f>
        <v>Booth Mitchell</v>
      </c>
      <c r="C295" s="118">
        <f ca="1">IFERROR(__xludf.DUMMYFUNCTION("""COMPUTED_VALUE"""),11)</f>
        <v>11</v>
      </c>
      <c r="D295" s="118" t="str">
        <f ca="1">IFERROR(__xludf.DUMMYFUNCTION("""COMPUTED_VALUE"""),"B")</f>
        <v>B</v>
      </c>
      <c r="E295" s="118" t="str">
        <f ca="1">IFERROR(__xludf.DUMMYFUNCTION("""COMPUTED_VALUE"""),"J")</f>
        <v>J</v>
      </c>
      <c r="F295" s="118" t="str">
        <f ca="1">IFERROR(__xludf.DUMMYFUNCTION("""COMPUTED_VALUE"""),"I")</f>
        <v>I</v>
      </c>
      <c r="G295" s="118">
        <f ca="1">IFERROR(__xludf.DUMMYFUNCTION("""COMPUTED_VALUE"""),7)</f>
        <v>7</v>
      </c>
      <c r="H295" s="118" t="str">
        <f ca="1">IFERROR(__xludf.DUMMYFUNCTION("""COMPUTED_VALUE"""),"CSC")</f>
        <v>CSC</v>
      </c>
      <c r="I295" s="118">
        <f ca="1">IFERROR(__xludf.DUMMYFUNCTION("""COMPUTED_VALUE"""),7)</f>
        <v>7</v>
      </c>
      <c r="J295" s="118">
        <f ca="1">IFERROR(__xludf.DUMMYFUNCTION("""COMPUTED_VALUE"""),5)</f>
        <v>5</v>
      </c>
      <c r="K295" s="120">
        <f ca="1">IFERROR(__xludf.DUMMYFUNCTION("""COMPUTED_VALUE"""),76.6)</f>
        <v>76.599999999999994</v>
      </c>
      <c r="L295" s="121"/>
      <c r="M295" s="120">
        <f ca="1">IFERROR(__xludf.DUMMYFUNCTION("""COMPUTED_VALUE"""),71.75)</f>
        <v>71.75</v>
      </c>
      <c r="N295" s="121"/>
      <c r="O295" s="120">
        <f ca="1">IFERROR(__xludf.DUMMYFUNCTION("""COMPUTED_VALUE"""),68.6)</f>
        <v>68.599999999999994</v>
      </c>
      <c r="P295" s="122"/>
      <c r="Q295" s="123" t="str">
        <f ca="1">IFERROR(__xludf.DUMMYFUNCTION("""COMPUTED_VALUE"""),"Ellie Bianco")</f>
        <v>Ellie Bianco</v>
      </c>
      <c r="R295" s="123" t="str">
        <f ca="1">IFERROR(__xludf.DUMMYFUNCTION("""COMPUTED_VALUE"""),"Isacc Peterson")</f>
        <v>Isacc Peterson</v>
      </c>
      <c r="S295" s="123" t="str">
        <f ca="1">IFERROR(__xludf.DUMMYFUNCTION("""COMPUTED_VALUE"""),"Clara Cummings")</f>
        <v>Clara Cummings</v>
      </c>
      <c r="T295" s="123" t="str">
        <f ca="1">IFERROR(__xludf.DUMMYFUNCTION("""COMPUTED_VALUE"""),"Ethan Hubbard")</f>
        <v>Ethan Hubbard</v>
      </c>
    </row>
    <row r="296" spans="1:20" ht="13.8">
      <c r="A296" s="118" t="str">
        <f ca="1">IFERROR(__xludf.DUMMYFUNCTION("""COMPUTED_VALUE"""),"CSC")</f>
        <v>CSC</v>
      </c>
      <c r="B296" s="119" t="str">
        <f ca="1">IFERROR(__xludf.DUMMYFUNCTION("""COMPUTED_VALUE"""),"Graham Benson")</f>
        <v>Graham Benson</v>
      </c>
      <c r="C296" s="118">
        <f ca="1">IFERROR(__xludf.DUMMYFUNCTION("""COMPUTED_VALUE"""),11)</f>
        <v>11</v>
      </c>
      <c r="D296" s="118" t="str">
        <f ca="1">IFERROR(__xludf.DUMMYFUNCTION("""COMPUTED_VALUE"""),"B")</f>
        <v>B</v>
      </c>
      <c r="E296" s="118" t="str">
        <f ca="1">IFERROR(__xludf.DUMMYFUNCTION("""COMPUTED_VALUE"""),"J")</f>
        <v>J</v>
      </c>
      <c r="F296" s="118" t="str">
        <f ca="1">IFERROR(__xludf.DUMMYFUNCTION("""COMPUTED_VALUE"""),"I")</f>
        <v>I</v>
      </c>
      <c r="G296" s="118">
        <f ca="1">IFERROR(__xludf.DUMMYFUNCTION("""COMPUTED_VALUE"""),7)</f>
        <v>7</v>
      </c>
      <c r="H296" s="118" t="str">
        <f ca="1">IFERROR(__xludf.DUMMYFUNCTION("""COMPUTED_VALUE"""),"CSC")</f>
        <v>CSC</v>
      </c>
      <c r="I296" s="118">
        <f ca="1">IFERROR(__xludf.DUMMYFUNCTION("""COMPUTED_VALUE"""),7)</f>
        <v>7</v>
      </c>
      <c r="J296" s="118">
        <f ca="1">IFERROR(__xludf.DUMMYFUNCTION("""COMPUTED_VALUE"""),4)</f>
        <v>4</v>
      </c>
      <c r="K296" s="120">
        <f ca="1">IFERROR(__xludf.DUMMYFUNCTION("""COMPUTED_VALUE"""),99.8)</f>
        <v>99.8</v>
      </c>
      <c r="L296" s="121"/>
      <c r="M296" s="120">
        <f ca="1">IFERROR(__xludf.DUMMYFUNCTION("""COMPUTED_VALUE"""),99.8)</f>
        <v>99.8</v>
      </c>
      <c r="N296" s="121"/>
      <c r="O296" s="120">
        <f ca="1">IFERROR(__xludf.DUMMYFUNCTION("""COMPUTED_VALUE"""),84.35)</f>
        <v>84.35</v>
      </c>
      <c r="P296" s="122"/>
      <c r="Q296" s="123" t="str">
        <f ca="1">IFERROR(__xludf.DUMMYFUNCTION("""COMPUTED_VALUE"""),"Ellie Clark")</f>
        <v>Ellie Clark</v>
      </c>
      <c r="R296" s="123" t="str">
        <f ca="1">IFERROR(__xludf.DUMMYFUNCTION("""COMPUTED_VALUE"""),"Isaiah Phillips")</f>
        <v>Isaiah Phillips</v>
      </c>
      <c r="S296" s="123" t="str">
        <f ca="1">IFERROR(__xludf.DUMMYFUNCTION("""COMPUTED_VALUE"""),"Clara Lauver")</f>
        <v>Clara Lauver</v>
      </c>
      <c r="T296" s="123" t="str">
        <f ca="1">IFERROR(__xludf.DUMMYFUNCTION("""COMPUTED_VALUE"""),"Ethan Johns")</f>
        <v>Ethan Johns</v>
      </c>
    </row>
    <row r="297" spans="1:20" ht="13.8">
      <c r="A297" s="118" t="str">
        <f ca="1">IFERROR(__xludf.DUMMYFUNCTION("""COMPUTED_VALUE"""),"CSC")</f>
        <v>CSC</v>
      </c>
      <c r="B297" s="119" t="str">
        <f ca="1">IFERROR(__xludf.DUMMYFUNCTION("""COMPUTED_VALUE"""),"Lucas Nguyen")</f>
        <v>Lucas Nguyen</v>
      </c>
      <c r="C297" s="118">
        <f ca="1">IFERROR(__xludf.DUMMYFUNCTION("""COMPUTED_VALUE"""),12)</f>
        <v>12</v>
      </c>
      <c r="D297" s="118" t="str">
        <f ca="1">IFERROR(__xludf.DUMMYFUNCTION("""COMPUTED_VALUE"""),"B")</f>
        <v>B</v>
      </c>
      <c r="E297" s="118" t="str">
        <f ca="1">IFERROR(__xludf.DUMMYFUNCTION("""COMPUTED_VALUE"""),"J")</f>
        <v>J</v>
      </c>
      <c r="F297" s="118" t="str">
        <f ca="1">IFERROR(__xludf.DUMMYFUNCTION("""COMPUTED_VALUE"""),"I")</f>
        <v>I</v>
      </c>
      <c r="G297" s="118">
        <f ca="1">IFERROR(__xludf.DUMMYFUNCTION("""COMPUTED_VALUE"""),7)</f>
        <v>7</v>
      </c>
      <c r="H297" s="118" t="str">
        <f ca="1">IFERROR(__xludf.DUMMYFUNCTION("""COMPUTED_VALUE"""),"CSC")</f>
        <v>CSC</v>
      </c>
      <c r="I297" s="118">
        <f ca="1">IFERROR(__xludf.DUMMYFUNCTION("""COMPUTED_VALUE"""),7)</f>
        <v>7</v>
      </c>
      <c r="J297" s="118">
        <f ca="1">IFERROR(__xludf.DUMMYFUNCTION("""COMPUTED_VALUE"""),2)</f>
        <v>2</v>
      </c>
      <c r="K297" s="120">
        <f ca="1">IFERROR(__xludf.DUMMYFUNCTION("""COMPUTED_VALUE"""),84.1)</f>
        <v>84.1</v>
      </c>
      <c r="L297" s="121"/>
      <c r="M297" s="120"/>
      <c r="N297" s="121"/>
      <c r="O297" s="120"/>
      <c r="P297" s="122"/>
      <c r="Q297" s="123" t="str">
        <f ca="1">IFERROR(__xludf.DUMMYFUNCTION("""COMPUTED_VALUE"""),"Ellie Collins")</f>
        <v>Ellie Collins</v>
      </c>
      <c r="R297" s="123" t="str">
        <f ca="1">IFERROR(__xludf.DUMMYFUNCTION("""COMPUTED_VALUE"""),"Jack Casterline")</f>
        <v>Jack Casterline</v>
      </c>
      <c r="S297" s="123" t="str">
        <f ca="1">IFERROR(__xludf.DUMMYFUNCTION("""COMPUTED_VALUE"""),"Clara Martin")</f>
        <v>Clara Martin</v>
      </c>
      <c r="T297" s="123" t="str">
        <f ca="1">IFERROR(__xludf.DUMMYFUNCTION("""COMPUTED_VALUE"""),"Ethan Louie")</f>
        <v>Ethan Louie</v>
      </c>
    </row>
    <row r="298" spans="1:20" ht="13.8">
      <c r="A298" s="118" t="str">
        <f ca="1">IFERROR(__xludf.DUMMYFUNCTION("""COMPUTED_VALUE"""),"CSC")</f>
        <v>CSC</v>
      </c>
      <c r="B298" s="119" t="str">
        <f ca="1">IFERROR(__xludf.DUMMYFUNCTION("""COMPUTED_VALUE"""),"Nicholas Jemkins")</f>
        <v>Nicholas Jemkins</v>
      </c>
      <c r="C298" s="118">
        <f ca="1">IFERROR(__xludf.DUMMYFUNCTION("""COMPUTED_VALUE"""),12)</f>
        <v>12</v>
      </c>
      <c r="D298" s="118" t="str">
        <f ca="1">IFERROR(__xludf.DUMMYFUNCTION("""COMPUTED_VALUE"""),"B")</f>
        <v>B</v>
      </c>
      <c r="E298" s="118" t="str">
        <f ca="1">IFERROR(__xludf.DUMMYFUNCTION("""COMPUTED_VALUE"""),"J")</f>
        <v>J</v>
      </c>
      <c r="F298" s="118" t="str">
        <f ca="1">IFERROR(__xludf.DUMMYFUNCTION("""COMPUTED_VALUE"""),"I")</f>
        <v>I</v>
      </c>
      <c r="G298" s="118">
        <f ca="1">IFERROR(__xludf.DUMMYFUNCTION("""COMPUTED_VALUE"""),7)</f>
        <v>7</v>
      </c>
      <c r="H298" s="118" t="str">
        <f ca="1">IFERROR(__xludf.DUMMYFUNCTION("""COMPUTED_VALUE"""),"CSC")</f>
        <v>CSC</v>
      </c>
      <c r="I298" s="118">
        <f ca="1">IFERROR(__xludf.DUMMYFUNCTION("""COMPUTED_VALUE"""),7)</f>
        <v>7</v>
      </c>
      <c r="J298" s="118">
        <f ca="1">IFERROR(__xludf.DUMMYFUNCTION("""COMPUTED_VALUE"""),5)</f>
        <v>5</v>
      </c>
      <c r="K298" s="120">
        <f ca="1">IFERROR(__xludf.DUMMYFUNCTION("""COMPUTED_VALUE"""),76.4)</f>
        <v>76.400000000000006</v>
      </c>
      <c r="L298" s="121"/>
      <c r="M298" s="120">
        <f ca="1">IFERROR(__xludf.DUMMYFUNCTION("""COMPUTED_VALUE"""),70.05)</f>
        <v>70.05</v>
      </c>
      <c r="N298" s="121"/>
      <c r="O298" s="120">
        <f ca="1">IFERROR(__xludf.DUMMYFUNCTION("""COMPUTED_VALUE"""),76.4)</f>
        <v>76.400000000000006</v>
      </c>
      <c r="P298" s="122"/>
      <c r="Q298" s="123" t="str">
        <f ca="1">IFERROR(__xludf.DUMMYFUNCTION("""COMPUTED_VALUE"""),"Ellie Cusner")</f>
        <v>Ellie Cusner</v>
      </c>
      <c r="R298" s="123" t="str">
        <f ca="1">IFERROR(__xludf.DUMMYFUNCTION("""COMPUTED_VALUE"""),"Jack Devlin")</f>
        <v>Jack Devlin</v>
      </c>
      <c r="S298" s="123" t="str">
        <f ca="1">IFERROR(__xludf.DUMMYFUNCTION("""COMPUTED_VALUE"""),"Clara Meyers")</f>
        <v>Clara Meyers</v>
      </c>
      <c r="T298" s="123" t="str">
        <f ca="1">IFERROR(__xludf.DUMMYFUNCTION("""COMPUTED_VALUE"""),"Ethan Peebles")</f>
        <v>Ethan Peebles</v>
      </c>
    </row>
    <row r="299" spans="1:20" ht="13.8">
      <c r="A299" s="118" t="str">
        <f ca="1">IFERROR(__xludf.DUMMYFUNCTION("""COMPUTED_VALUE"""),"CSC")</f>
        <v>CSC</v>
      </c>
      <c r="B299" s="119" t="str">
        <f ca="1">IFERROR(__xludf.DUMMYFUNCTION("""COMPUTED_VALUE"""),"Gianna Hess")</f>
        <v>Gianna Hess</v>
      </c>
      <c r="C299" s="118">
        <f ca="1">IFERROR(__xludf.DUMMYFUNCTION("""COMPUTED_VALUE"""),13)</f>
        <v>13</v>
      </c>
      <c r="D299" s="118" t="str">
        <f ca="1">IFERROR(__xludf.DUMMYFUNCTION("""COMPUTED_VALUE"""),"G")</f>
        <v>G</v>
      </c>
      <c r="E299" s="118" t="str">
        <f ca="1">IFERROR(__xludf.DUMMYFUNCTION("""COMPUTED_VALUE"""),"I")</f>
        <v>I</v>
      </c>
      <c r="F299" s="118" t="str">
        <f ca="1">IFERROR(__xludf.DUMMYFUNCTION("""COMPUTED_VALUE"""),"S")</f>
        <v>S</v>
      </c>
      <c r="G299" s="118">
        <f ca="1">IFERROR(__xludf.DUMMYFUNCTION("""COMPUTED_VALUE"""),7)</f>
        <v>7</v>
      </c>
      <c r="H299" s="118" t="str">
        <f ca="1">IFERROR(__xludf.DUMMYFUNCTION("""COMPUTED_VALUE"""),"CSC")</f>
        <v>CSC</v>
      </c>
      <c r="I299" s="118">
        <f ca="1">IFERROR(__xludf.DUMMYFUNCTION("""COMPUTED_VALUE"""),8)</f>
        <v>8</v>
      </c>
      <c r="J299" s="118">
        <f ca="1">IFERROR(__xludf.DUMMYFUNCTION("""COMPUTED_VALUE"""),0)</f>
        <v>0</v>
      </c>
      <c r="K299" s="120"/>
      <c r="L299" s="121"/>
      <c r="M299" s="120"/>
      <c r="N299" s="121"/>
      <c r="O299" s="120"/>
      <c r="P299" s="122"/>
      <c r="Q299" s="123" t="str">
        <f ca="1">IFERROR(__xludf.DUMMYFUNCTION("""COMPUTED_VALUE"""),"Ellie Farnsworth")</f>
        <v>Ellie Farnsworth</v>
      </c>
      <c r="R299" s="123" t="str">
        <f ca="1">IFERROR(__xludf.DUMMYFUNCTION("""COMPUTED_VALUE"""),"Jack Ferrill")</f>
        <v>Jack Ferrill</v>
      </c>
      <c r="S299" s="123" t="str">
        <f ca="1">IFERROR(__xludf.DUMMYFUNCTION("""COMPUTED_VALUE"""),"Clara Zelle James")</f>
        <v>Clara Zelle James</v>
      </c>
      <c r="T299" s="123" t="str">
        <f ca="1">IFERROR(__xludf.DUMMYFUNCTION("""COMPUTED_VALUE"""),"Ethan Perkins")</f>
        <v>Ethan Perkins</v>
      </c>
    </row>
    <row r="300" spans="1:20" ht="13.8">
      <c r="A300" s="118" t="str">
        <f ca="1">IFERROR(__xludf.DUMMYFUNCTION("""COMPUTED_VALUE"""),"CSC")</f>
        <v>CSC</v>
      </c>
      <c r="B300" s="119" t="str">
        <f ca="1">IFERROR(__xludf.DUMMYFUNCTION("""COMPUTED_VALUE"""),"Hannah Tran")</f>
        <v>Hannah Tran</v>
      </c>
      <c r="C300" s="118">
        <f ca="1">IFERROR(__xludf.DUMMYFUNCTION("""COMPUTED_VALUE"""),13)</f>
        <v>13</v>
      </c>
      <c r="D300" s="118" t="str">
        <f ca="1">IFERROR(__xludf.DUMMYFUNCTION("""COMPUTED_VALUE"""),"G")</f>
        <v>G</v>
      </c>
      <c r="E300" s="118" t="str">
        <f ca="1">IFERROR(__xludf.DUMMYFUNCTION("""COMPUTED_VALUE"""),"I")</f>
        <v>I</v>
      </c>
      <c r="F300" s="118" t="str">
        <f ca="1">IFERROR(__xludf.DUMMYFUNCTION("""COMPUTED_VALUE"""),"S")</f>
        <v>S</v>
      </c>
      <c r="G300" s="118">
        <f ca="1">IFERROR(__xludf.DUMMYFUNCTION("""COMPUTED_VALUE"""),7)</f>
        <v>7</v>
      </c>
      <c r="H300" s="118" t="str">
        <f ca="1">IFERROR(__xludf.DUMMYFUNCTION("""COMPUTED_VALUE"""),"CSC")</f>
        <v>CSC</v>
      </c>
      <c r="I300" s="118">
        <f ca="1">IFERROR(__xludf.DUMMYFUNCTION("""COMPUTED_VALUE"""),8)</f>
        <v>8</v>
      </c>
      <c r="J300" s="118">
        <f ca="1">IFERROR(__xludf.DUMMYFUNCTION("""COMPUTED_VALUE"""),0)</f>
        <v>0</v>
      </c>
      <c r="K300" s="120"/>
      <c r="L300" s="121"/>
      <c r="M300" s="120"/>
      <c r="N300" s="121"/>
      <c r="O300" s="120"/>
      <c r="P300" s="122"/>
      <c r="Q300" s="123" t="str">
        <f ca="1">IFERROR(__xludf.DUMMYFUNCTION("""COMPUTED_VALUE"""),"Ellie Gilman")</f>
        <v>Ellie Gilman</v>
      </c>
      <c r="R300" s="123" t="str">
        <f ca="1">IFERROR(__xludf.DUMMYFUNCTION("""COMPUTED_VALUE"""),"Jack Flanagan")</f>
        <v>Jack Flanagan</v>
      </c>
      <c r="S300" s="123" t="str">
        <f ca="1">IFERROR(__xludf.DUMMYFUNCTION("""COMPUTED_VALUE"""),"Clayre Payne")</f>
        <v>Clayre Payne</v>
      </c>
      <c r="T300" s="123" t="str">
        <f ca="1">IFERROR(__xludf.DUMMYFUNCTION("""COMPUTED_VALUE"""),"Ethan Simone")</f>
        <v>Ethan Simone</v>
      </c>
    </row>
    <row r="301" spans="1:20" ht="13.8">
      <c r="A301" s="118" t="str">
        <f ca="1">IFERROR(__xludf.DUMMYFUNCTION("""COMPUTED_VALUE"""),"CSC")</f>
        <v>CSC</v>
      </c>
      <c r="B301" s="119" t="str">
        <f ca="1">IFERROR(__xludf.DUMMYFUNCTION("""COMPUTED_VALUE"""),"Jenna Wathen")</f>
        <v>Jenna Wathen</v>
      </c>
      <c r="C301" s="118">
        <f ca="1">IFERROR(__xludf.DUMMYFUNCTION("""COMPUTED_VALUE"""),14)</f>
        <v>14</v>
      </c>
      <c r="D301" s="118" t="str">
        <f ca="1">IFERROR(__xludf.DUMMYFUNCTION("""COMPUTED_VALUE"""),"G")</f>
        <v>G</v>
      </c>
      <c r="E301" s="118" t="str">
        <f ca="1">IFERROR(__xludf.DUMMYFUNCTION("""COMPUTED_VALUE"""),"I")</f>
        <v>I</v>
      </c>
      <c r="F301" s="118" t="str">
        <f ca="1">IFERROR(__xludf.DUMMYFUNCTION("""COMPUTED_VALUE"""),"S")</f>
        <v>S</v>
      </c>
      <c r="G301" s="118">
        <f ca="1">IFERROR(__xludf.DUMMYFUNCTION("""COMPUTED_VALUE"""),7)</f>
        <v>7</v>
      </c>
      <c r="H301" s="118" t="str">
        <f ca="1">IFERROR(__xludf.DUMMYFUNCTION("""COMPUTED_VALUE"""),"CSC")</f>
        <v>CSC</v>
      </c>
      <c r="I301" s="118">
        <f ca="1">IFERROR(__xludf.DUMMYFUNCTION("""COMPUTED_VALUE"""),8)</f>
        <v>8</v>
      </c>
      <c r="J301" s="118">
        <f ca="1">IFERROR(__xludf.DUMMYFUNCTION("""COMPUTED_VALUE"""),5)</f>
        <v>5</v>
      </c>
      <c r="K301" s="120">
        <f ca="1">IFERROR(__xludf.DUMMYFUNCTION("""COMPUTED_VALUE"""),-108.6)</f>
        <v>-108.6</v>
      </c>
      <c r="L301" s="121"/>
      <c r="M301" s="120">
        <f ca="1">IFERROR(__xludf.DUMMYFUNCTION("""COMPUTED_VALUE"""),-150.1)</f>
        <v>-150.1</v>
      </c>
      <c r="N301" s="121"/>
      <c r="O301" s="120">
        <f ca="1">IFERROR(__xludf.DUMMYFUNCTION("""COMPUTED_VALUE"""),-129.65)</f>
        <v>-129.65</v>
      </c>
      <c r="P301" s="122"/>
      <c r="Q301" s="123" t="str">
        <f ca="1">IFERROR(__xludf.DUMMYFUNCTION("""COMPUTED_VALUE"""),"Ellie Hahn")</f>
        <v>Ellie Hahn</v>
      </c>
      <c r="R301" s="123" t="str">
        <f ca="1">IFERROR(__xludf.DUMMYFUNCTION("""COMPUTED_VALUE"""),"Jack Murphy")</f>
        <v>Jack Murphy</v>
      </c>
      <c r="S301" s="123" t="str">
        <f ca="1">IFERROR(__xludf.DUMMYFUNCTION("""COMPUTED_VALUE"""),"Clover Kennelly")</f>
        <v>Clover Kennelly</v>
      </c>
      <c r="T301" s="123" t="str">
        <f ca="1">IFERROR(__xludf.DUMMYFUNCTION("""COMPUTED_VALUE"""),"Ethan Yang")</f>
        <v>Ethan Yang</v>
      </c>
    </row>
    <row r="302" spans="1:20" ht="13.8">
      <c r="A302" s="118" t="str">
        <f ca="1">IFERROR(__xludf.DUMMYFUNCTION("""COMPUTED_VALUE"""),"CSC")</f>
        <v>CSC</v>
      </c>
      <c r="B302" s="119" t="str">
        <f ca="1">IFERROR(__xludf.DUMMYFUNCTION("""COMPUTED_VALUE"""),"Karie Egan")</f>
        <v>Karie Egan</v>
      </c>
      <c r="C302" s="118">
        <f ca="1">IFERROR(__xludf.DUMMYFUNCTION("""COMPUTED_VALUE"""),13)</f>
        <v>13</v>
      </c>
      <c r="D302" s="118" t="str">
        <f ca="1">IFERROR(__xludf.DUMMYFUNCTION("""COMPUTED_VALUE"""),"G")</f>
        <v>G</v>
      </c>
      <c r="E302" s="118" t="str">
        <f ca="1">IFERROR(__xludf.DUMMYFUNCTION("""COMPUTED_VALUE"""),"I")</f>
        <v>I</v>
      </c>
      <c r="F302" s="118" t="str">
        <f ca="1">IFERROR(__xludf.DUMMYFUNCTION("""COMPUTED_VALUE"""),"S")</f>
        <v>S</v>
      </c>
      <c r="G302" s="118">
        <f ca="1">IFERROR(__xludf.DUMMYFUNCTION("""COMPUTED_VALUE"""),7)</f>
        <v>7</v>
      </c>
      <c r="H302" s="118" t="str">
        <f ca="1">IFERROR(__xludf.DUMMYFUNCTION("""COMPUTED_VALUE"""),"CSC")</f>
        <v>CSC</v>
      </c>
      <c r="I302" s="118">
        <f ca="1">IFERROR(__xludf.DUMMYFUNCTION("""COMPUTED_VALUE"""),8)</f>
        <v>8</v>
      </c>
      <c r="J302" s="118">
        <f ca="1">IFERROR(__xludf.DUMMYFUNCTION("""COMPUTED_VALUE"""),4)</f>
        <v>4</v>
      </c>
      <c r="K302" s="120">
        <f ca="1">IFERROR(__xludf.DUMMYFUNCTION("""COMPUTED_VALUE"""),92.3)</f>
        <v>92.3</v>
      </c>
      <c r="L302" s="121"/>
      <c r="M302" s="120">
        <f ca="1">IFERROR(__xludf.DUMMYFUNCTION("""COMPUTED_VALUE"""),92.3)</f>
        <v>92.3</v>
      </c>
      <c r="N302" s="121"/>
      <c r="O302" s="120">
        <f ca="1">IFERROR(__xludf.DUMMYFUNCTION("""COMPUTED_VALUE"""),90.8)</f>
        <v>90.8</v>
      </c>
      <c r="P302" s="122"/>
      <c r="Q302" s="123" t="str">
        <f ca="1">IFERROR(__xludf.DUMMYFUNCTION("""COMPUTED_VALUE"""),"Ellie Hiscock")</f>
        <v>Ellie Hiscock</v>
      </c>
      <c r="R302" s="123" t="str">
        <f ca="1">IFERROR(__xludf.DUMMYFUNCTION("""COMPUTED_VALUE"""),"Jack O'Donnell")</f>
        <v>Jack O'Donnell</v>
      </c>
      <c r="S302" s="123" t="str">
        <f ca="1">IFERROR(__xludf.DUMMYFUNCTION("""COMPUTED_VALUE"""),"Coco Harbeck")</f>
        <v>Coco Harbeck</v>
      </c>
      <c r="T302" s="123" t="str">
        <f ca="1">IFERROR(__xludf.DUMMYFUNCTION("""COMPUTED_VALUE"""),"Euston Birkelbach")</f>
        <v>Euston Birkelbach</v>
      </c>
    </row>
    <row r="303" spans="1:20" ht="13.8">
      <c r="A303" s="118" t="str">
        <f ca="1">IFERROR(__xludf.DUMMYFUNCTION("""COMPUTED_VALUE"""),"CSC")</f>
        <v>CSC</v>
      </c>
      <c r="B303" s="119" t="str">
        <f ca="1">IFERROR(__xludf.DUMMYFUNCTION("""COMPUTED_VALUE"""),"Soraya Lora-Pena")</f>
        <v>Soraya Lora-Pena</v>
      </c>
      <c r="C303" s="118">
        <f ca="1">IFERROR(__xludf.DUMMYFUNCTION("""COMPUTED_VALUE"""),13)</f>
        <v>13</v>
      </c>
      <c r="D303" s="118" t="str">
        <f ca="1">IFERROR(__xludf.DUMMYFUNCTION("""COMPUTED_VALUE"""),"G")</f>
        <v>G</v>
      </c>
      <c r="E303" s="118" t="str">
        <f ca="1">IFERROR(__xludf.DUMMYFUNCTION("""COMPUTED_VALUE"""),"I")</f>
        <v>I</v>
      </c>
      <c r="F303" s="118" t="str">
        <f ca="1">IFERROR(__xludf.DUMMYFUNCTION("""COMPUTED_VALUE"""),"S")</f>
        <v>S</v>
      </c>
      <c r="G303" s="118">
        <f ca="1">IFERROR(__xludf.DUMMYFUNCTION("""COMPUTED_VALUE"""),7)</f>
        <v>7</v>
      </c>
      <c r="H303" s="118" t="str">
        <f ca="1">IFERROR(__xludf.DUMMYFUNCTION("""COMPUTED_VALUE"""),"CSC")</f>
        <v>CSC</v>
      </c>
      <c r="I303" s="118">
        <f ca="1">IFERROR(__xludf.DUMMYFUNCTION("""COMPUTED_VALUE"""),8)</f>
        <v>8</v>
      </c>
      <c r="J303" s="118">
        <f ca="1">IFERROR(__xludf.DUMMYFUNCTION("""COMPUTED_VALUE"""),5)</f>
        <v>5</v>
      </c>
      <c r="K303" s="120">
        <f ca="1">IFERROR(__xludf.DUMMYFUNCTION("""COMPUTED_VALUE"""),109.55)</f>
        <v>109.55</v>
      </c>
      <c r="L303" s="121"/>
      <c r="M303" s="120">
        <f ca="1">IFERROR(__xludf.DUMMYFUNCTION("""COMPUTED_VALUE"""),104.9)</f>
        <v>104.9</v>
      </c>
      <c r="N303" s="121"/>
      <c r="O303" s="120">
        <f ca="1">IFERROR(__xludf.DUMMYFUNCTION("""COMPUTED_VALUE"""),109.55)</f>
        <v>109.55</v>
      </c>
      <c r="P303" s="122"/>
      <c r="Q303" s="123" t="str">
        <f ca="1">IFERROR(__xludf.DUMMYFUNCTION("""COMPUTED_VALUE"""),"Ellie Kisiel")</f>
        <v>Ellie Kisiel</v>
      </c>
      <c r="R303" s="123" t="str">
        <f ca="1">IFERROR(__xludf.DUMMYFUNCTION("""COMPUTED_VALUE"""),"Jack Pacheco-Manetti")</f>
        <v>Jack Pacheco-Manetti</v>
      </c>
      <c r="S303" s="123" t="str">
        <f ca="1">IFERROR(__xludf.DUMMYFUNCTION("""COMPUTED_VALUE"""),"Coco Marra")</f>
        <v>Coco Marra</v>
      </c>
      <c r="T303" s="123" t="str">
        <f ca="1">IFERROR(__xludf.DUMMYFUNCTION("""COMPUTED_VALUE"""),"Evan Chen")</f>
        <v>Evan Chen</v>
      </c>
    </row>
    <row r="304" spans="1:20" ht="13.8">
      <c r="A304" s="118" t="str">
        <f ca="1">IFERROR(__xludf.DUMMYFUNCTION("""COMPUTED_VALUE"""),"CSC")</f>
        <v>CSC</v>
      </c>
      <c r="B304" s="119" t="str">
        <f ca="1">IFERROR(__xludf.DUMMYFUNCTION("""COMPUTED_VALUE"""),"Carter Jenkins")</f>
        <v>Carter Jenkins</v>
      </c>
      <c r="C304" s="118">
        <f ca="1">IFERROR(__xludf.DUMMYFUNCTION("""COMPUTED_VALUE"""),13)</f>
        <v>13</v>
      </c>
      <c r="D304" s="118" t="str">
        <f ca="1">IFERROR(__xludf.DUMMYFUNCTION("""COMPUTED_VALUE"""),"B")</f>
        <v>B</v>
      </c>
      <c r="E304" s="118" t="str">
        <f ca="1">IFERROR(__xludf.DUMMYFUNCTION("""COMPUTED_VALUE"""),"I")</f>
        <v>I</v>
      </c>
      <c r="F304" s="118" t="str">
        <f ca="1">IFERROR(__xludf.DUMMYFUNCTION("""COMPUTED_VALUE"""),"S")</f>
        <v>S</v>
      </c>
      <c r="G304" s="118">
        <f ca="1">IFERROR(__xludf.DUMMYFUNCTION("""COMPUTED_VALUE"""),7)</f>
        <v>7</v>
      </c>
      <c r="H304" s="118" t="str">
        <f ca="1">IFERROR(__xludf.DUMMYFUNCTION("""COMPUTED_VALUE"""),"CSC")</f>
        <v>CSC</v>
      </c>
      <c r="I304" s="118">
        <f ca="1">IFERROR(__xludf.DUMMYFUNCTION("""COMPUTED_VALUE"""),9)</f>
        <v>9</v>
      </c>
      <c r="J304" s="118">
        <f ca="1">IFERROR(__xludf.DUMMYFUNCTION("""COMPUTED_VALUE"""),2)</f>
        <v>2</v>
      </c>
      <c r="K304" s="120">
        <f ca="1">IFERROR(__xludf.DUMMYFUNCTION("""COMPUTED_VALUE"""),90.85)</f>
        <v>90.85</v>
      </c>
      <c r="L304" s="121"/>
      <c r="M304" s="120">
        <f ca="1">IFERROR(__xludf.DUMMYFUNCTION("""COMPUTED_VALUE"""),90.85)</f>
        <v>90.85</v>
      </c>
      <c r="N304" s="121"/>
      <c r="O304" s="120"/>
      <c r="P304" s="122"/>
      <c r="Q304" s="123" t="str">
        <f ca="1">IFERROR(__xludf.DUMMYFUNCTION("""COMPUTED_VALUE"""),"Ellie Lee")</f>
        <v>Ellie Lee</v>
      </c>
      <c r="R304" s="123" t="str">
        <f ca="1">IFERROR(__xludf.DUMMYFUNCTION("""COMPUTED_VALUE"""),"Jack Snow")</f>
        <v>Jack Snow</v>
      </c>
      <c r="S304" s="123" t="str">
        <f ca="1">IFERROR(__xludf.DUMMYFUNCTION("""COMPUTED_VALUE"""),"Colette Hecker")</f>
        <v>Colette Hecker</v>
      </c>
      <c r="T304" s="123" t="str">
        <f ca="1">IFERROR(__xludf.DUMMYFUNCTION("""COMPUTED_VALUE"""),"Evan Middleton")</f>
        <v>Evan Middleton</v>
      </c>
    </row>
    <row r="305" spans="1:20" ht="13.8">
      <c r="A305" s="118" t="str">
        <f ca="1">IFERROR(__xludf.DUMMYFUNCTION("""COMPUTED_VALUE"""),"CSC")</f>
        <v>CSC</v>
      </c>
      <c r="B305" s="119" t="str">
        <f ca="1">IFERROR(__xludf.DUMMYFUNCTION("""COMPUTED_VALUE"""),"Kiptyn Trieu")</f>
        <v>Kiptyn Trieu</v>
      </c>
      <c r="C305" s="118">
        <f ca="1">IFERROR(__xludf.DUMMYFUNCTION("""COMPUTED_VALUE"""),14)</f>
        <v>14</v>
      </c>
      <c r="D305" s="118" t="str">
        <f ca="1">IFERROR(__xludf.DUMMYFUNCTION("""COMPUTED_VALUE"""),"B")</f>
        <v>B</v>
      </c>
      <c r="E305" s="118" t="str">
        <f ca="1">IFERROR(__xludf.DUMMYFUNCTION("""COMPUTED_VALUE"""),"I")</f>
        <v>I</v>
      </c>
      <c r="F305" s="118" t="str">
        <f ca="1">IFERROR(__xludf.DUMMYFUNCTION("""COMPUTED_VALUE"""),"S")</f>
        <v>S</v>
      </c>
      <c r="G305" s="118">
        <f ca="1">IFERROR(__xludf.DUMMYFUNCTION("""COMPUTED_VALUE"""),7)</f>
        <v>7</v>
      </c>
      <c r="H305" s="118" t="str">
        <f ca="1">IFERROR(__xludf.DUMMYFUNCTION("""COMPUTED_VALUE"""),"CSC")</f>
        <v>CSC</v>
      </c>
      <c r="I305" s="118">
        <f ca="1">IFERROR(__xludf.DUMMYFUNCTION("""COMPUTED_VALUE"""),9)</f>
        <v>9</v>
      </c>
      <c r="J305" s="118">
        <f ca="1">IFERROR(__xludf.DUMMYFUNCTION("""COMPUTED_VALUE"""),5)</f>
        <v>5</v>
      </c>
      <c r="K305" s="120">
        <f ca="1">IFERROR(__xludf.DUMMYFUNCTION("""COMPUTED_VALUE"""),125.05)</f>
        <v>125.05</v>
      </c>
      <c r="L305" s="121"/>
      <c r="M305" s="120">
        <f ca="1">IFERROR(__xludf.DUMMYFUNCTION("""COMPUTED_VALUE"""),112.05)</f>
        <v>112.05</v>
      </c>
      <c r="N305" s="121"/>
      <c r="O305" s="120">
        <f ca="1">IFERROR(__xludf.DUMMYFUNCTION("""COMPUTED_VALUE"""),125.05)</f>
        <v>125.05</v>
      </c>
      <c r="P305" s="122"/>
      <c r="Q305" s="123" t="str">
        <f ca="1">IFERROR(__xludf.DUMMYFUNCTION("""COMPUTED_VALUE"""),"Ellie Phillips")</f>
        <v>Ellie Phillips</v>
      </c>
      <c r="R305" s="123" t="str">
        <f ca="1">IFERROR(__xludf.DUMMYFUNCTION("""COMPUTED_VALUE"""),"Jack Taylor")</f>
        <v>Jack Taylor</v>
      </c>
      <c r="S305" s="123" t="str">
        <f ca="1">IFERROR(__xludf.DUMMYFUNCTION("""COMPUTED_VALUE"""),"Colette Ungaretti")</f>
        <v>Colette Ungaretti</v>
      </c>
      <c r="T305" s="123" t="str">
        <f ca="1">IFERROR(__xludf.DUMMYFUNCTION("""COMPUTED_VALUE"""),"Evan Tan")</f>
        <v>Evan Tan</v>
      </c>
    </row>
    <row r="306" spans="1:20" ht="13.8">
      <c r="A306" s="118" t="str">
        <f ca="1">IFERROR(__xludf.DUMMYFUNCTION("""COMPUTED_VALUE"""),"CSC")</f>
        <v>CSC</v>
      </c>
      <c r="B306" s="119" t="str">
        <f ca="1">IFERROR(__xludf.DUMMYFUNCTION("""COMPUTED_VALUE"""),"Sheppard Turk")</f>
        <v>Sheppard Turk</v>
      </c>
      <c r="C306" s="118">
        <f ca="1">IFERROR(__xludf.DUMMYFUNCTION("""COMPUTED_VALUE"""),14)</f>
        <v>14</v>
      </c>
      <c r="D306" s="118" t="str">
        <f ca="1">IFERROR(__xludf.DUMMYFUNCTION("""COMPUTED_VALUE"""),"B")</f>
        <v>B</v>
      </c>
      <c r="E306" s="118" t="str">
        <f ca="1">IFERROR(__xludf.DUMMYFUNCTION("""COMPUTED_VALUE"""),"I")</f>
        <v>I</v>
      </c>
      <c r="F306" s="118" t="str">
        <f ca="1">IFERROR(__xludf.DUMMYFUNCTION("""COMPUTED_VALUE"""),"S")</f>
        <v>S</v>
      </c>
      <c r="G306" s="118">
        <f ca="1">IFERROR(__xludf.DUMMYFUNCTION("""COMPUTED_VALUE"""),7)</f>
        <v>7</v>
      </c>
      <c r="H306" s="118" t="str">
        <f ca="1">IFERROR(__xludf.DUMMYFUNCTION("""COMPUTED_VALUE"""),"CSC")</f>
        <v>CSC</v>
      </c>
      <c r="I306" s="118">
        <f ca="1">IFERROR(__xludf.DUMMYFUNCTION("""COMPUTED_VALUE"""),9)</f>
        <v>9</v>
      </c>
      <c r="J306" s="118">
        <f ca="1">IFERROR(__xludf.DUMMYFUNCTION("""COMPUTED_VALUE"""),4)</f>
        <v>4</v>
      </c>
      <c r="K306" s="120">
        <f ca="1">IFERROR(__xludf.DUMMYFUNCTION("""COMPUTED_VALUE"""),-114.7)</f>
        <v>-114.7</v>
      </c>
      <c r="L306" s="121"/>
      <c r="M306" s="120">
        <f ca="1">IFERROR(__xludf.DUMMYFUNCTION("""COMPUTED_VALUE"""),-136.05)</f>
        <v>-136.05000000000001</v>
      </c>
      <c r="N306" s="121"/>
      <c r="O306" s="120">
        <f ca="1">IFERROR(__xludf.DUMMYFUNCTION("""COMPUTED_VALUE"""),-121.05)</f>
        <v>-121.05</v>
      </c>
      <c r="P306" s="122"/>
      <c r="Q306" s="123" t="str">
        <f ca="1">IFERROR(__xludf.DUMMYFUNCTION("""COMPUTED_VALUE"""),"Ellie Schwarz")</f>
        <v>Ellie Schwarz</v>
      </c>
      <c r="R306" s="123" t="str">
        <f ca="1">IFERROR(__xludf.DUMMYFUNCTION("""COMPUTED_VALUE"""),"Jack Zecher")</f>
        <v>Jack Zecher</v>
      </c>
      <c r="S306" s="123" t="str">
        <f ca="1">IFERROR(__xludf.DUMMYFUNCTION("""COMPUTED_VALUE"""),"Cora Bellomo")</f>
        <v>Cora Bellomo</v>
      </c>
      <c r="T306" s="123" t="str">
        <f ca="1">IFERROR(__xludf.DUMMYFUNCTION("""COMPUTED_VALUE"""),"Evan Vink")</f>
        <v>Evan Vink</v>
      </c>
    </row>
    <row r="307" spans="1:20" ht="13.8">
      <c r="A307" s="118" t="str">
        <f ca="1">IFERROR(__xludf.DUMMYFUNCTION("""COMPUTED_VALUE"""),"CSC")</f>
        <v>CSC</v>
      </c>
      <c r="B307" s="119" t="str">
        <f ca="1">IFERROR(__xludf.DUMMYFUNCTION("""COMPUTED_VALUE"""),"Haley Trieu")</f>
        <v>Haley Trieu</v>
      </c>
      <c r="C307" s="118">
        <f ca="1">IFERROR(__xludf.DUMMYFUNCTION("""COMPUTED_VALUE"""),16)</f>
        <v>16</v>
      </c>
      <c r="D307" s="118" t="str">
        <f ca="1">IFERROR(__xludf.DUMMYFUNCTION("""COMPUTED_VALUE"""),"G")</f>
        <v>G</v>
      </c>
      <c r="E307" s="118" t="str">
        <f ca="1">IFERROR(__xludf.DUMMYFUNCTION("""COMPUTED_VALUE"""),"S")</f>
        <v>S</v>
      </c>
      <c r="F307" s="118" t="str">
        <f ca="1">IFERROR(__xludf.DUMMYFUNCTION("""COMPUTED_VALUE"""),"S")</f>
        <v>S</v>
      </c>
      <c r="G307" s="118">
        <f ca="1">IFERROR(__xludf.DUMMYFUNCTION("""COMPUTED_VALUE"""),7)</f>
        <v>7</v>
      </c>
      <c r="H307" s="118" t="str">
        <f ca="1">IFERROR(__xludf.DUMMYFUNCTION("""COMPUTED_VALUE"""),"CSC")</f>
        <v>CSC</v>
      </c>
      <c r="I307" s="118">
        <f ca="1">IFERROR(__xludf.DUMMYFUNCTION("""COMPUTED_VALUE"""),10)</f>
        <v>10</v>
      </c>
      <c r="J307" s="118">
        <f ca="1">IFERROR(__xludf.DUMMYFUNCTION("""COMPUTED_VALUE"""),4)</f>
        <v>4</v>
      </c>
      <c r="K307" s="120">
        <f ca="1">IFERROR(__xludf.DUMMYFUNCTION("""COMPUTED_VALUE"""),132.95)</f>
        <v>132.94999999999999</v>
      </c>
      <c r="L307" s="121"/>
      <c r="M307" s="120"/>
      <c r="N307" s="121"/>
      <c r="O307" s="120">
        <f ca="1">IFERROR(__xludf.DUMMYFUNCTION("""COMPUTED_VALUE"""),124.55)</f>
        <v>124.55</v>
      </c>
      <c r="P307" s="122"/>
      <c r="Q307" s="123" t="str">
        <f ca="1">IFERROR(__xludf.DUMMYFUNCTION("""COMPUTED_VALUE"""),"Ellie Tenor")</f>
        <v>Ellie Tenor</v>
      </c>
      <c r="R307" s="123" t="str">
        <f ca="1">IFERROR(__xludf.DUMMYFUNCTION("""COMPUTED_VALUE"""),"Jackson Beall")</f>
        <v>Jackson Beall</v>
      </c>
      <c r="S307" s="123" t="str">
        <f ca="1">IFERROR(__xludf.DUMMYFUNCTION("""COMPUTED_VALUE"""),"Cora Brock")</f>
        <v>Cora Brock</v>
      </c>
      <c r="T307" s="123" t="str">
        <f ca="1">IFERROR(__xludf.DUMMYFUNCTION("""COMPUTED_VALUE"""),"Everett Hessell")</f>
        <v>Everett Hessell</v>
      </c>
    </row>
    <row r="308" spans="1:20" ht="13.8">
      <c r="A308" s="118" t="str">
        <f ca="1">IFERROR(__xludf.DUMMYFUNCTION("""COMPUTED_VALUE"""),"CSC")</f>
        <v>CSC</v>
      </c>
      <c r="B308" s="119" t="str">
        <f ca="1">IFERROR(__xludf.DUMMYFUNCTION("""COMPUTED_VALUE"""),"Isaiah Lora-Pena")</f>
        <v>Isaiah Lora-Pena</v>
      </c>
      <c r="C308" s="118">
        <f ca="1">IFERROR(__xludf.DUMMYFUNCTION("""COMPUTED_VALUE"""),15)</f>
        <v>15</v>
      </c>
      <c r="D308" s="118" t="str">
        <f ca="1">IFERROR(__xludf.DUMMYFUNCTION("""COMPUTED_VALUE"""),"B")</f>
        <v>B</v>
      </c>
      <c r="E308" s="118" t="str">
        <f ca="1">IFERROR(__xludf.DUMMYFUNCTION("""COMPUTED_VALUE"""),"S")</f>
        <v>S</v>
      </c>
      <c r="F308" s="118" t="str">
        <f ca="1">IFERROR(__xludf.DUMMYFUNCTION("""COMPUTED_VALUE"""),"S")</f>
        <v>S</v>
      </c>
      <c r="G308" s="118">
        <f ca="1">IFERROR(__xludf.DUMMYFUNCTION("""COMPUTED_VALUE"""),7)</f>
        <v>7</v>
      </c>
      <c r="H308" s="118" t="str">
        <f ca="1">IFERROR(__xludf.DUMMYFUNCTION("""COMPUTED_VALUE"""),"CSC")</f>
        <v>CSC</v>
      </c>
      <c r="I308" s="118">
        <f ca="1">IFERROR(__xludf.DUMMYFUNCTION("""COMPUTED_VALUE"""),11)</f>
        <v>11</v>
      </c>
      <c r="J308" s="118">
        <f ca="1">IFERROR(__xludf.DUMMYFUNCTION("""COMPUTED_VALUE"""),5)</f>
        <v>5</v>
      </c>
      <c r="K308" s="120">
        <f ca="1">IFERROR(__xludf.DUMMYFUNCTION("""COMPUTED_VALUE"""),143.8)</f>
        <v>143.80000000000001</v>
      </c>
      <c r="L308" s="121"/>
      <c r="M308" s="120">
        <f ca="1">IFERROR(__xludf.DUMMYFUNCTION("""COMPUTED_VALUE"""),115.6)</f>
        <v>115.6</v>
      </c>
      <c r="N308" s="121"/>
      <c r="O308" s="120">
        <f ca="1">IFERROR(__xludf.DUMMYFUNCTION("""COMPUTED_VALUE"""),136.35)</f>
        <v>136.35</v>
      </c>
      <c r="P308" s="122"/>
      <c r="Q308" s="123" t="str">
        <f ca="1">IFERROR(__xludf.DUMMYFUNCTION("""COMPUTED_VALUE"""),"Elm Burke")</f>
        <v>Elm Burke</v>
      </c>
      <c r="R308" s="123" t="str">
        <f ca="1">IFERROR(__xludf.DUMMYFUNCTION("""COMPUTED_VALUE"""),"Jackson Lopez")</f>
        <v>Jackson Lopez</v>
      </c>
      <c r="S308" s="123" t="str">
        <f ca="1">IFERROR(__xludf.DUMMYFUNCTION("""COMPUTED_VALUE"""),"Cora Dugan")</f>
        <v>Cora Dugan</v>
      </c>
      <c r="T308" s="123" t="str">
        <f ca="1">IFERROR(__xludf.DUMMYFUNCTION("""COMPUTED_VALUE"""),"Everett Thornton")</f>
        <v>Everett Thornton</v>
      </c>
    </row>
    <row r="309" spans="1:20" ht="13.8">
      <c r="A309" s="118" t="str">
        <f ca="1">IFERROR(__xludf.DUMMYFUNCTION("""COMPUTED_VALUE"""),"DH")</f>
        <v>DH</v>
      </c>
      <c r="B309" s="119" t="str">
        <f ca="1">IFERROR(__xludf.DUMMYFUNCTION("""COMPUTED_VALUE"""),"Abby Panko")</f>
        <v>Abby Panko</v>
      </c>
      <c r="C309" s="118">
        <f ca="1">IFERROR(__xludf.DUMMYFUNCTION("""COMPUTED_VALUE"""),9)</f>
        <v>9</v>
      </c>
      <c r="D309" s="118" t="str">
        <f ca="1">IFERROR(__xludf.DUMMYFUNCTION("""COMPUTED_VALUE"""),"G")</f>
        <v>G</v>
      </c>
      <c r="E309" s="118" t="str">
        <f ca="1">IFERROR(__xludf.DUMMYFUNCTION("""COMPUTED_VALUE"""),"F")</f>
        <v>F</v>
      </c>
      <c r="F309" s="118" t="str">
        <f ca="1">IFERROR(__xludf.DUMMYFUNCTION("""COMPUTED_VALUE"""),"J")</f>
        <v>J</v>
      </c>
      <c r="G309" s="118">
        <f ca="1">IFERROR(__xludf.DUMMYFUNCTION("""COMPUTED_VALUE"""),2)</f>
        <v>2</v>
      </c>
      <c r="H309" s="118" t="str">
        <f ca="1">IFERROR(__xludf.DUMMYFUNCTION("""COMPUTED_VALUE"""),"DH")</f>
        <v>DH</v>
      </c>
      <c r="I309" s="118">
        <f ca="1">IFERROR(__xludf.DUMMYFUNCTION("""COMPUTED_VALUE"""),4)</f>
        <v>4</v>
      </c>
      <c r="J309" s="118">
        <f ca="1">IFERROR(__xludf.DUMMYFUNCTION("""COMPUTED_VALUE"""),2)</f>
        <v>2</v>
      </c>
      <c r="K309" s="120">
        <f ca="1">IFERROR(__xludf.DUMMYFUNCTION("""COMPUTED_VALUE"""),45.85)</f>
        <v>45.85</v>
      </c>
      <c r="L309" s="121"/>
      <c r="M309" s="120"/>
      <c r="N309" s="121"/>
      <c r="O309" s="120"/>
      <c r="P309" s="122"/>
      <c r="Q309" s="123" t="str">
        <f ca="1">IFERROR(__xludf.DUMMYFUNCTION("""COMPUTED_VALUE"""),"Eloise Berthe")</f>
        <v>Eloise Berthe</v>
      </c>
      <c r="R309" s="123" t="str">
        <f ca="1">IFERROR(__xludf.DUMMYFUNCTION("""COMPUTED_VALUE"""),"Jackson Markey")</f>
        <v>Jackson Markey</v>
      </c>
      <c r="S309" s="123" t="str">
        <f ca="1">IFERROR(__xludf.DUMMYFUNCTION("""COMPUTED_VALUE"""),"Cora Plowman")</f>
        <v>Cora Plowman</v>
      </c>
      <c r="T309" s="123" t="str">
        <f ca="1">IFERROR(__xludf.DUMMYFUNCTION("""COMPUTED_VALUE"""),"Ewan Girard")</f>
        <v>Ewan Girard</v>
      </c>
    </row>
    <row r="310" spans="1:20" ht="13.8">
      <c r="A310" s="118" t="str">
        <f ca="1">IFERROR(__xludf.DUMMYFUNCTION("""COMPUTED_VALUE"""),"DH")</f>
        <v>DH</v>
      </c>
      <c r="B310" s="119" t="str">
        <f ca="1">IFERROR(__xludf.DUMMYFUNCTION("""COMPUTED_VALUE"""),"Caroline Reilly")</f>
        <v>Caroline Reilly</v>
      </c>
      <c r="C310" s="118">
        <f ca="1">IFERROR(__xludf.DUMMYFUNCTION("""COMPUTED_VALUE"""),10)</f>
        <v>10</v>
      </c>
      <c r="D310" s="118" t="str">
        <f ca="1">IFERROR(__xludf.DUMMYFUNCTION("""COMPUTED_VALUE"""),"G")</f>
        <v>G</v>
      </c>
      <c r="E310" s="118" t="str">
        <f ca="1">IFERROR(__xludf.DUMMYFUNCTION("""COMPUTED_VALUE"""),"F")</f>
        <v>F</v>
      </c>
      <c r="F310" s="118" t="str">
        <f ca="1">IFERROR(__xludf.DUMMYFUNCTION("""COMPUTED_VALUE"""),"J")</f>
        <v>J</v>
      </c>
      <c r="G310" s="118">
        <f ca="1">IFERROR(__xludf.DUMMYFUNCTION("""COMPUTED_VALUE"""),2)</f>
        <v>2</v>
      </c>
      <c r="H310" s="118" t="str">
        <f ca="1">IFERROR(__xludf.DUMMYFUNCTION("""COMPUTED_VALUE"""),"DH")</f>
        <v>DH</v>
      </c>
      <c r="I310" s="118">
        <f ca="1">IFERROR(__xludf.DUMMYFUNCTION("""COMPUTED_VALUE"""),4)</f>
        <v>4</v>
      </c>
      <c r="J310" s="118">
        <f ca="1">IFERROR(__xludf.DUMMYFUNCTION("""COMPUTED_VALUE"""),4)</f>
        <v>4</v>
      </c>
      <c r="K310" s="120">
        <f ca="1">IFERROR(__xludf.DUMMYFUNCTION("""COMPUTED_VALUE"""),45.8)</f>
        <v>45.8</v>
      </c>
      <c r="L310" s="121"/>
      <c r="M310" s="120">
        <f ca="1">IFERROR(__xludf.DUMMYFUNCTION("""COMPUTED_VALUE"""),40.7)</f>
        <v>40.700000000000003</v>
      </c>
      <c r="N310" s="121"/>
      <c r="O310" s="120">
        <f ca="1">IFERROR(__xludf.DUMMYFUNCTION("""COMPUTED_VALUE"""),45.8)</f>
        <v>45.8</v>
      </c>
      <c r="P310" s="122"/>
      <c r="Q310" s="123" t="str">
        <f ca="1">IFERROR(__xludf.DUMMYFUNCTION("""COMPUTED_VALUE"""),"Eloise Jones")</f>
        <v>Eloise Jones</v>
      </c>
      <c r="R310" s="123" t="str">
        <f ca="1">IFERROR(__xludf.DUMMYFUNCTION("""COMPUTED_VALUE"""),"Jackson Phung")</f>
        <v>Jackson Phung</v>
      </c>
      <c r="S310" s="123" t="str">
        <f ca="1">IFERROR(__xludf.DUMMYFUNCTION("""COMPUTED_VALUE"""),"Cori Gaylor")</f>
        <v>Cori Gaylor</v>
      </c>
      <c r="T310" s="123" t="str">
        <f ca="1">IFERROR(__xludf.DUMMYFUNCTION("""COMPUTED_VALUE"""),"Ezra Landman")</f>
        <v>Ezra Landman</v>
      </c>
    </row>
    <row r="311" spans="1:20" ht="13.8">
      <c r="A311" s="118" t="str">
        <f ca="1">IFERROR(__xludf.DUMMYFUNCTION("""COMPUTED_VALUE"""),"DH")</f>
        <v>DH</v>
      </c>
      <c r="B311" s="119" t="str">
        <f ca="1">IFERROR(__xludf.DUMMYFUNCTION("""COMPUTED_VALUE"""),"Ella Aldonas")</f>
        <v>Ella Aldonas</v>
      </c>
      <c r="C311" s="118">
        <f ca="1">IFERROR(__xludf.DUMMYFUNCTION("""COMPUTED_VALUE"""),5)</f>
        <v>5</v>
      </c>
      <c r="D311" s="118" t="str">
        <f ca="1">IFERROR(__xludf.DUMMYFUNCTION("""COMPUTED_VALUE"""),"G")</f>
        <v>G</v>
      </c>
      <c r="E311" s="118" t="str">
        <f ca="1">IFERROR(__xludf.DUMMYFUNCTION("""COMPUTED_VALUE"""),"F")</f>
        <v>F</v>
      </c>
      <c r="F311" s="118" t="str">
        <f ca="1">IFERROR(__xludf.DUMMYFUNCTION("""COMPUTED_VALUE"""),"J")</f>
        <v>J</v>
      </c>
      <c r="G311" s="118">
        <f ca="1">IFERROR(__xludf.DUMMYFUNCTION("""COMPUTED_VALUE"""),2)</f>
        <v>2</v>
      </c>
      <c r="H311" s="118" t="str">
        <f ca="1">IFERROR(__xludf.DUMMYFUNCTION("""COMPUTED_VALUE"""),"DH")</f>
        <v>DH</v>
      </c>
      <c r="I311" s="118">
        <f ca="1">IFERROR(__xludf.DUMMYFUNCTION("""COMPUTED_VALUE"""),4)</f>
        <v>4</v>
      </c>
      <c r="J311" s="118">
        <f ca="1">IFERROR(__xludf.DUMMYFUNCTION("""COMPUTED_VALUE"""),2)</f>
        <v>2</v>
      </c>
      <c r="K311" s="120">
        <f ca="1">IFERROR(__xludf.DUMMYFUNCTION("""COMPUTED_VALUE"""),24.75)</f>
        <v>24.75</v>
      </c>
      <c r="L311" s="121"/>
      <c r="M311" s="120"/>
      <c r="N311" s="121"/>
      <c r="O311" s="120"/>
      <c r="P311" s="122"/>
      <c r="Q311" s="123" t="str">
        <f ca="1">IFERROR(__xludf.DUMMYFUNCTION("""COMPUTED_VALUE"""),"Eloise Smith")</f>
        <v>Eloise Smith</v>
      </c>
      <c r="R311" s="123" t="str">
        <f ca="1">IFERROR(__xludf.DUMMYFUNCTION("""COMPUTED_VALUE"""),"Jackson Plevniak")</f>
        <v>Jackson Plevniak</v>
      </c>
      <c r="S311" s="123" t="str">
        <f ca="1">IFERROR(__xludf.DUMMYFUNCTION("""COMPUTED_VALUE"""),"Cozzy Erwin")</f>
        <v>Cozzy Erwin</v>
      </c>
      <c r="T311" s="123" t="str">
        <f ca="1">IFERROR(__xludf.DUMMYFUNCTION("""COMPUTED_VALUE"""),"Ezra Sherer")</f>
        <v>Ezra Sherer</v>
      </c>
    </row>
    <row r="312" spans="1:20" ht="13.8">
      <c r="A312" s="118" t="str">
        <f ca="1">IFERROR(__xludf.DUMMYFUNCTION("""COMPUTED_VALUE"""),"DH")</f>
        <v>DH</v>
      </c>
      <c r="B312" s="119" t="str">
        <f ca="1">IFERROR(__xludf.DUMMYFUNCTION("""COMPUTED_VALUE"""),"Emma Perkins")</f>
        <v>Emma Perkins</v>
      </c>
      <c r="C312" s="118">
        <f ca="1">IFERROR(__xludf.DUMMYFUNCTION("""COMPUTED_VALUE"""),10)</f>
        <v>10</v>
      </c>
      <c r="D312" s="118" t="str">
        <f ca="1">IFERROR(__xludf.DUMMYFUNCTION("""COMPUTED_VALUE"""),"G")</f>
        <v>G</v>
      </c>
      <c r="E312" s="118" t="str">
        <f ca="1">IFERROR(__xludf.DUMMYFUNCTION("""COMPUTED_VALUE"""),"F")</f>
        <v>F</v>
      </c>
      <c r="F312" s="118" t="str">
        <f ca="1">IFERROR(__xludf.DUMMYFUNCTION("""COMPUTED_VALUE"""),"J")</f>
        <v>J</v>
      </c>
      <c r="G312" s="118">
        <f ca="1">IFERROR(__xludf.DUMMYFUNCTION("""COMPUTED_VALUE"""),2)</f>
        <v>2</v>
      </c>
      <c r="H312" s="118" t="str">
        <f ca="1">IFERROR(__xludf.DUMMYFUNCTION("""COMPUTED_VALUE"""),"DH")</f>
        <v>DH</v>
      </c>
      <c r="I312" s="118">
        <f ca="1">IFERROR(__xludf.DUMMYFUNCTION("""COMPUTED_VALUE"""),4)</f>
        <v>4</v>
      </c>
      <c r="J312" s="118">
        <f ca="1">IFERROR(__xludf.DUMMYFUNCTION("""COMPUTED_VALUE"""),3)</f>
        <v>3</v>
      </c>
      <c r="K312" s="120">
        <f ca="1">IFERROR(__xludf.DUMMYFUNCTION("""COMPUTED_VALUE"""),56.1)</f>
        <v>56.1</v>
      </c>
      <c r="L312" s="121"/>
      <c r="M312" s="120">
        <f ca="1">IFERROR(__xludf.DUMMYFUNCTION("""COMPUTED_VALUE"""),53)</f>
        <v>53</v>
      </c>
      <c r="N312" s="121"/>
      <c r="O312" s="120">
        <f ca="1">IFERROR(__xludf.DUMMYFUNCTION("""COMPUTED_VALUE"""),55.95)</f>
        <v>55.95</v>
      </c>
      <c r="P312" s="122"/>
      <c r="Q312" s="123" t="str">
        <f ca="1">IFERROR(__xludf.DUMMYFUNCTION("""COMPUTED_VALUE"""),"Elsa Jackson")</f>
        <v>Elsa Jackson</v>
      </c>
      <c r="R312" s="123" t="str">
        <f ca="1">IFERROR(__xludf.DUMMYFUNCTION("""COMPUTED_VALUE"""),"Jackson Waller")</f>
        <v>Jackson Waller</v>
      </c>
      <c r="S312" s="123" t="str">
        <f ca="1">IFERROR(__xludf.DUMMYFUNCTION("""COMPUTED_VALUE"""),"Daliyah McKimmy")</f>
        <v>Daliyah McKimmy</v>
      </c>
      <c r="T312" s="123" t="str">
        <f ca="1">IFERROR(__xludf.DUMMYFUNCTION("""COMPUTED_VALUE"""),"Faustino Fredes")</f>
        <v>Faustino Fredes</v>
      </c>
    </row>
    <row r="313" spans="1:20" ht="13.8">
      <c r="A313" s="118" t="str">
        <f ca="1">IFERROR(__xludf.DUMMYFUNCTION("""COMPUTED_VALUE"""),"DH")</f>
        <v>DH</v>
      </c>
      <c r="B313" s="119" t="str">
        <f ca="1">IFERROR(__xludf.DUMMYFUNCTION("""COMPUTED_VALUE"""),"Emma Richard")</f>
        <v>Emma Richard</v>
      </c>
      <c r="C313" s="118">
        <f ca="1">IFERROR(__xludf.DUMMYFUNCTION("""COMPUTED_VALUE"""),8)</f>
        <v>8</v>
      </c>
      <c r="D313" s="118" t="str">
        <f ca="1">IFERROR(__xludf.DUMMYFUNCTION("""COMPUTED_VALUE"""),"G")</f>
        <v>G</v>
      </c>
      <c r="E313" s="118" t="str">
        <f ca="1">IFERROR(__xludf.DUMMYFUNCTION("""COMPUTED_VALUE"""),"F")</f>
        <v>F</v>
      </c>
      <c r="F313" s="118" t="str">
        <f ca="1">IFERROR(__xludf.DUMMYFUNCTION("""COMPUTED_VALUE"""),"J")</f>
        <v>J</v>
      </c>
      <c r="G313" s="118">
        <f ca="1">IFERROR(__xludf.DUMMYFUNCTION("""COMPUTED_VALUE"""),2)</f>
        <v>2</v>
      </c>
      <c r="H313" s="118" t="str">
        <f ca="1">IFERROR(__xludf.DUMMYFUNCTION("""COMPUTED_VALUE"""),"DH")</f>
        <v>DH</v>
      </c>
      <c r="I313" s="118">
        <f ca="1">IFERROR(__xludf.DUMMYFUNCTION("""COMPUTED_VALUE"""),4)</f>
        <v>4</v>
      </c>
      <c r="J313" s="118">
        <f ca="1">IFERROR(__xludf.DUMMYFUNCTION("""COMPUTED_VALUE"""),5)</f>
        <v>5</v>
      </c>
      <c r="K313" s="120">
        <f ca="1">IFERROR(__xludf.DUMMYFUNCTION("""COMPUTED_VALUE"""),44.45)</f>
        <v>44.45</v>
      </c>
      <c r="L313" s="121"/>
      <c r="M313" s="120">
        <f ca="1">IFERROR(__xludf.DUMMYFUNCTION("""COMPUTED_VALUE"""),44.45)</f>
        <v>44.45</v>
      </c>
      <c r="N313" s="121"/>
      <c r="O313" s="120">
        <f ca="1">IFERROR(__xludf.DUMMYFUNCTION("""COMPUTED_VALUE"""),40.15)</f>
        <v>40.15</v>
      </c>
      <c r="P313" s="122"/>
      <c r="Q313" s="123" t="str">
        <f ca="1">IFERROR(__xludf.DUMMYFUNCTION("""COMPUTED_VALUE"""),"Emalyn Gharakhanian")</f>
        <v>Emalyn Gharakhanian</v>
      </c>
      <c r="R313" s="123" t="str">
        <f ca="1">IFERROR(__xludf.DUMMYFUNCTION("""COMPUTED_VALUE"""),"Jackson Warner")</f>
        <v>Jackson Warner</v>
      </c>
      <c r="S313" s="123" t="str">
        <f ca="1">IFERROR(__xludf.DUMMYFUNCTION("""COMPUTED_VALUE"""),"Danelea Shea")</f>
        <v>Danelea Shea</v>
      </c>
      <c r="T313" s="123" t="str">
        <f ca="1">IFERROR(__xludf.DUMMYFUNCTION("""COMPUTED_VALUE"""),"Felix Harte")</f>
        <v>Felix Harte</v>
      </c>
    </row>
    <row r="314" spans="1:20" ht="13.8">
      <c r="A314" s="118" t="str">
        <f ca="1">IFERROR(__xludf.DUMMYFUNCTION("""COMPUTED_VALUE"""),"DH")</f>
        <v>DH</v>
      </c>
      <c r="B314" s="119" t="str">
        <f ca="1">IFERROR(__xludf.DUMMYFUNCTION("""COMPUTED_VALUE"""),"Fiona Gibson")</f>
        <v>Fiona Gibson</v>
      </c>
      <c r="C314" s="118">
        <f ca="1">IFERROR(__xludf.DUMMYFUNCTION("""COMPUTED_VALUE"""),10)</f>
        <v>10</v>
      </c>
      <c r="D314" s="118" t="str">
        <f ca="1">IFERROR(__xludf.DUMMYFUNCTION("""COMPUTED_VALUE"""),"G")</f>
        <v>G</v>
      </c>
      <c r="E314" s="118" t="str">
        <f ca="1">IFERROR(__xludf.DUMMYFUNCTION("""COMPUTED_VALUE"""),"F")</f>
        <v>F</v>
      </c>
      <c r="F314" s="118" t="str">
        <f ca="1">IFERROR(__xludf.DUMMYFUNCTION("""COMPUTED_VALUE"""),"J")</f>
        <v>J</v>
      </c>
      <c r="G314" s="118">
        <f ca="1">IFERROR(__xludf.DUMMYFUNCTION("""COMPUTED_VALUE"""),2)</f>
        <v>2</v>
      </c>
      <c r="H314" s="118" t="str">
        <f ca="1">IFERROR(__xludf.DUMMYFUNCTION("""COMPUTED_VALUE"""),"DH")</f>
        <v>DH</v>
      </c>
      <c r="I314" s="118">
        <f ca="1">IFERROR(__xludf.DUMMYFUNCTION("""COMPUTED_VALUE"""),4)</f>
        <v>4</v>
      </c>
      <c r="J314" s="118">
        <f ca="1">IFERROR(__xludf.DUMMYFUNCTION("""COMPUTED_VALUE"""),0)</f>
        <v>0</v>
      </c>
      <c r="K314" s="120"/>
      <c r="L314" s="121"/>
      <c r="M314" s="120"/>
      <c r="N314" s="121"/>
      <c r="O314" s="120"/>
      <c r="P314" s="122"/>
      <c r="Q314" s="123" t="str">
        <f ca="1">IFERROR(__xludf.DUMMYFUNCTION("""COMPUTED_VALUE"""),"Emerie Woods")</f>
        <v>Emerie Woods</v>
      </c>
      <c r="R314" s="123" t="str">
        <f ca="1">IFERROR(__xludf.DUMMYFUNCTION("""COMPUTED_VALUE"""),"Jackson Zuroweste")</f>
        <v>Jackson Zuroweste</v>
      </c>
      <c r="S314" s="123" t="str">
        <f ca="1">IFERROR(__xludf.DUMMYFUNCTION("""COMPUTED_VALUE"""),"Dani Esteve")</f>
        <v>Dani Esteve</v>
      </c>
      <c r="T314" s="123" t="str">
        <f ca="1">IFERROR(__xludf.DUMMYFUNCTION("""COMPUTED_VALUE"""),"Finley O'Driscoll")</f>
        <v>Finley O'Driscoll</v>
      </c>
    </row>
    <row r="315" spans="1:20" ht="13.8">
      <c r="A315" s="118" t="str">
        <f ca="1">IFERROR(__xludf.DUMMYFUNCTION("""COMPUTED_VALUE"""),"DH")</f>
        <v>DH</v>
      </c>
      <c r="B315" s="119" t="str">
        <f ca="1">IFERROR(__xludf.DUMMYFUNCTION("""COMPUTED_VALUE"""),"Greta Goehring")</f>
        <v>Greta Goehring</v>
      </c>
      <c r="C315" s="118">
        <f ca="1">IFERROR(__xludf.DUMMYFUNCTION("""COMPUTED_VALUE"""),7)</f>
        <v>7</v>
      </c>
      <c r="D315" s="118" t="str">
        <f ca="1">IFERROR(__xludf.DUMMYFUNCTION("""COMPUTED_VALUE"""),"G")</f>
        <v>G</v>
      </c>
      <c r="E315" s="118" t="str">
        <f ca="1">IFERROR(__xludf.DUMMYFUNCTION("""COMPUTED_VALUE"""),"F")</f>
        <v>F</v>
      </c>
      <c r="F315" s="118" t="str">
        <f ca="1">IFERROR(__xludf.DUMMYFUNCTION("""COMPUTED_VALUE"""),"J")</f>
        <v>J</v>
      </c>
      <c r="G315" s="118">
        <f ca="1">IFERROR(__xludf.DUMMYFUNCTION("""COMPUTED_VALUE"""),2)</f>
        <v>2</v>
      </c>
      <c r="H315" s="118" t="str">
        <f ca="1">IFERROR(__xludf.DUMMYFUNCTION("""COMPUTED_VALUE"""),"DH")</f>
        <v>DH</v>
      </c>
      <c r="I315" s="118">
        <f ca="1">IFERROR(__xludf.DUMMYFUNCTION("""COMPUTED_VALUE"""),4)</f>
        <v>4</v>
      </c>
      <c r="J315" s="118">
        <f ca="1">IFERROR(__xludf.DUMMYFUNCTION("""COMPUTED_VALUE"""),0)</f>
        <v>0</v>
      </c>
      <c r="K315" s="120"/>
      <c r="L315" s="121"/>
      <c r="M315" s="120"/>
      <c r="N315" s="121"/>
      <c r="O315" s="120"/>
      <c r="P315" s="122"/>
      <c r="Q315" s="123" t="str">
        <f ca="1">IFERROR(__xludf.DUMMYFUNCTION("""COMPUTED_VALUE"""),"Emersyn Wilbur")</f>
        <v>Emersyn Wilbur</v>
      </c>
      <c r="R315" s="123" t="str">
        <f ca="1">IFERROR(__xludf.DUMMYFUNCTION("""COMPUTED_VALUE"""),"Jacob Arenstein")</f>
        <v>Jacob Arenstein</v>
      </c>
      <c r="S315" s="123" t="str">
        <f ca="1">IFERROR(__xludf.DUMMYFUNCTION("""COMPUTED_VALUE"""),"Dani Rothman")</f>
        <v>Dani Rothman</v>
      </c>
      <c r="T315" s="123" t="str">
        <f ca="1">IFERROR(__xludf.DUMMYFUNCTION("""COMPUTED_VALUE"""),"Finn Bellavia-Cortezi")</f>
        <v>Finn Bellavia-Cortezi</v>
      </c>
    </row>
    <row r="316" spans="1:20" ht="13.8">
      <c r="A316" s="118" t="str">
        <f ca="1">IFERROR(__xludf.DUMMYFUNCTION("""COMPUTED_VALUE"""),"DH")</f>
        <v>DH</v>
      </c>
      <c r="B316" s="119" t="str">
        <f ca="1">IFERROR(__xludf.DUMMYFUNCTION("""COMPUTED_VALUE"""),"Joanna Chen")</f>
        <v>Joanna Chen</v>
      </c>
      <c r="C316" s="118">
        <f ca="1">IFERROR(__xludf.DUMMYFUNCTION("""COMPUTED_VALUE"""),6)</f>
        <v>6</v>
      </c>
      <c r="D316" s="118" t="str">
        <f ca="1">IFERROR(__xludf.DUMMYFUNCTION("""COMPUTED_VALUE"""),"G")</f>
        <v>G</v>
      </c>
      <c r="E316" s="118" t="str">
        <f ca="1">IFERROR(__xludf.DUMMYFUNCTION("""COMPUTED_VALUE"""),"F")</f>
        <v>F</v>
      </c>
      <c r="F316" s="118" t="str">
        <f ca="1">IFERROR(__xludf.DUMMYFUNCTION("""COMPUTED_VALUE"""),"J")</f>
        <v>J</v>
      </c>
      <c r="G316" s="118">
        <f ca="1">IFERROR(__xludf.DUMMYFUNCTION("""COMPUTED_VALUE"""),2)</f>
        <v>2</v>
      </c>
      <c r="H316" s="118" t="str">
        <f ca="1">IFERROR(__xludf.DUMMYFUNCTION("""COMPUTED_VALUE"""),"DH")</f>
        <v>DH</v>
      </c>
      <c r="I316" s="118">
        <f ca="1">IFERROR(__xludf.DUMMYFUNCTION("""COMPUTED_VALUE"""),4)</f>
        <v>4</v>
      </c>
      <c r="J316" s="118">
        <f ca="1">IFERROR(__xludf.DUMMYFUNCTION("""COMPUTED_VALUE"""),1)</f>
        <v>1</v>
      </c>
      <c r="K316" s="120"/>
      <c r="L316" s="121"/>
      <c r="M316" s="120"/>
      <c r="N316" s="121"/>
      <c r="O316" s="120"/>
      <c r="P316" s="122"/>
      <c r="Q316" s="123" t="str">
        <f ca="1">IFERROR(__xludf.DUMMYFUNCTION("""COMPUTED_VALUE"""),"Emery Carney")</f>
        <v>Emery Carney</v>
      </c>
      <c r="R316" s="123" t="str">
        <f ca="1">IFERROR(__xludf.DUMMYFUNCTION("""COMPUTED_VALUE"""),"Jacob Chodos")</f>
        <v>Jacob Chodos</v>
      </c>
      <c r="S316" s="123" t="str">
        <f ca="1">IFERROR(__xludf.DUMMYFUNCTION("""COMPUTED_VALUE"""),"Daniella Galligan")</f>
        <v>Daniella Galligan</v>
      </c>
      <c r="T316" s="123" t="str">
        <f ca="1">IFERROR(__xludf.DUMMYFUNCTION("""COMPUTED_VALUE"""),"Finn Bradley")</f>
        <v>Finn Bradley</v>
      </c>
    </row>
    <row r="317" spans="1:20" ht="13.8">
      <c r="A317" s="118" t="str">
        <f ca="1">IFERROR(__xludf.DUMMYFUNCTION("""COMPUTED_VALUE"""),"DH")</f>
        <v>DH</v>
      </c>
      <c r="B317" s="119" t="str">
        <f ca="1">IFERROR(__xludf.DUMMYFUNCTION("""COMPUTED_VALUE"""),"Juliet Clinger")</f>
        <v>Juliet Clinger</v>
      </c>
      <c r="C317" s="118">
        <f ca="1">IFERROR(__xludf.DUMMYFUNCTION("""COMPUTED_VALUE"""),10)</f>
        <v>10</v>
      </c>
      <c r="D317" s="118" t="str">
        <f ca="1">IFERROR(__xludf.DUMMYFUNCTION("""COMPUTED_VALUE"""),"G")</f>
        <v>G</v>
      </c>
      <c r="E317" s="118" t="str">
        <f ca="1">IFERROR(__xludf.DUMMYFUNCTION("""COMPUTED_VALUE"""),"F")</f>
        <v>F</v>
      </c>
      <c r="F317" s="118" t="str">
        <f ca="1">IFERROR(__xludf.DUMMYFUNCTION("""COMPUTED_VALUE"""),"J")</f>
        <v>J</v>
      </c>
      <c r="G317" s="118">
        <f ca="1">IFERROR(__xludf.DUMMYFUNCTION("""COMPUTED_VALUE"""),2)</f>
        <v>2</v>
      </c>
      <c r="H317" s="118" t="str">
        <f ca="1">IFERROR(__xludf.DUMMYFUNCTION("""COMPUTED_VALUE"""),"DH")</f>
        <v>DH</v>
      </c>
      <c r="I317" s="118">
        <f ca="1">IFERROR(__xludf.DUMMYFUNCTION("""COMPUTED_VALUE"""),4)</f>
        <v>4</v>
      </c>
      <c r="J317" s="118">
        <f ca="1">IFERROR(__xludf.DUMMYFUNCTION("""COMPUTED_VALUE"""),0)</f>
        <v>0</v>
      </c>
      <c r="K317" s="120"/>
      <c r="L317" s="121"/>
      <c r="M317" s="120"/>
      <c r="N317" s="121"/>
      <c r="O317" s="120"/>
      <c r="P317" s="122"/>
      <c r="Q317" s="123" t="str">
        <f ca="1">IFERROR(__xludf.DUMMYFUNCTION("""COMPUTED_VALUE"""),"Emilia Schvind")</f>
        <v>Emilia Schvind</v>
      </c>
      <c r="R317" s="123" t="str">
        <f ca="1">IFERROR(__xludf.DUMMYFUNCTION("""COMPUTED_VALUE"""),"Jacob Stanley")</f>
        <v>Jacob Stanley</v>
      </c>
      <c r="S317" s="123" t="str">
        <f ca="1">IFERROR(__xludf.DUMMYFUNCTION("""COMPUTED_VALUE"""),"Daphne Conquest")</f>
        <v>Daphne Conquest</v>
      </c>
      <c r="T317" s="123" t="str">
        <f ca="1">IFERROR(__xludf.DUMMYFUNCTION("""COMPUTED_VALUE"""),"Finn Jackson")</f>
        <v>Finn Jackson</v>
      </c>
    </row>
    <row r="318" spans="1:20" ht="13.8">
      <c r="A318" s="118" t="str">
        <f ca="1">IFERROR(__xludf.DUMMYFUNCTION("""COMPUTED_VALUE"""),"DH")</f>
        <v>DH</v>
      </c>
      <c r="B318" s="119" t="str">
        <f ca="1">IFERROR(__xludf.DUMMYFUNCTION("""COMPUTED_VALUE"""),"Lainey Cestaro")</f>
        <v>Lainey Cestaro</v>
      </c>
      <c r="C318" s="118">
        <f ca="1">IFERROR(__xludf.DUMMYFUNCTION("""COMPUTED_VALUE"""),10)</f>
        <v>10</v>
      </c>
      <c r="D318" s="118" t="str">
        <f ca="1">IFERROR(__xludf.DUMMYFUNCTION("""COMPUTED_VALUE"""),"G")</f>
        <v>G</v>
      </c>
      <c r="E318" s="118" t="str">
        <f ca="1">IFERROR(__xludf.DUMMYFUNCTION("""COMPUTED_VALUE"""),"F")</f>
        <v>F</v>
      </c>
      <c r="F318" s="118" t="str">
        <f ca="1">IFERROR(__xludf.DUMMYFUNCTION("""COMPUTED_VALUE"""),"J")</f>
        <v>J</v>
      </c>
      <c r="G318" s="118">
        <f ca="1">IFERROR(__xludf.DUMMYFUNCTION("""COMPUTED_VALUE"""),2)</f>
        <v>2</v>
      </c>
      <c r="H318" s="118" t="str">
        <f ca="1">IFERROR(__xludf.DUMMYFUNCTION("""COMPUTED_VALUE"""),"DH")</f>
        <v>DH</v>
      </c>
      <c r="I318" s="118">
        <f ca="1">IFERROR(__xludf.DUMMYFUNCTION("""COMPUTED_VALUE"""),4)</f>
        <v>4</v>
      </c>
      <c r="J318" s="118">
        <f ca="1">IFERROR(__xludf.DUMMYFUNCTION("""COMPUTED_VALUE"""),2)</f>
        <v>2</v>
      </c>
      <c r="K318" s="120">
        <f ca="1">IFERROR(__xludf.DUMMYFUNCTION("""COMPUTED_VALUE"""),53.85)</f>
        <v>53.85</v>
      </c>
      <c r="L318" s="121"/>
      <c r="M318" s="120"/>
      <c r="N318" s="121"/>
      <c r="O318" s="120"/>
      <c r="P318" s="122"/>
      <c r="Q318" s="123" t="str">
        <f ca="1">IFERROR(__xludf.DUMMYFUNCTION("""COMPUTED_VALUE"""),"Emilia Vayra")</f>
        <v>Emilia Vayra</v>
      </c>
      <c r="R318" s="123" t="str">
        <f ca="1">IFERROR(__xludf.DUMMYFUNCTION("""COMPUTED_VALUE"""),"Jacob Taddiken")</f>
        <v>Jacob Taddiken</v>
      </c>
      <c r="S318" s="123" t="str">
        <f ca="1">IFERROR(__xludf.DUMMYFUNCTION("""COMPUTED_VALUE"""),"Daphne Holler")</f>
        <v>Daphne Holler</v>
      </c>
      <c r="T318" s="123" t="str">
        <f ca="1">IFERROR(__xludf.DUMMYFUNCTION("""COMPUTED_VALUE"""),"Finn Johns")</f>
        <v>Finn Johns</v>
      </c>
    </row>
    <row r="319" spans="1:20" ht="13.8">
      <c r="A319" s="118" t="str">
        <f ca="1">IFERROR(__xludf.DUMMYFUNCTION("""COMPUTED_VALUE"""),"DH")</f>
        <v>DH</v>
      </c>
      <c r="B319" s="119" t="str">
        <f ca="1">IFERROR(__xludf.DUMMYFUNCTION("""COMPUTED_VALUE"""),"Madison Wade")</f>
        <v>Madison Wade</v>
      </c>
      <c r="C319" s="118">
        <f ca="1">IFERROR(__xludf.DUMMYFUNCTION("""COMPUTED_VALUE"""),10)</f>
        <v>10</v>
      </c>
      <c r="D319" s="118" t="str">
        <f ca="1">IFERROR(__xludf.DUMMYFUNCTION("""COMPUTED_VALUE"""),"G")</f>
        <v>G</v>
      </c>
      <c r="E319" s="118" t="str">
        <f ca="1">IFERROR(__xludf.DUMMYFUNCTION("""COMPUTED_VALUE"""),"F")</f>
        <v>F</v>
      </c>
      <c r="F319" s="118" t="str">
        <f ca="1">IFERROR(__xludf.DUMMYFUNCTION("""COMPUTED_VALUE"""),"J")</f>
        <v>J</v>
      </c>
      <c r="G319" s="118">
        <f ca="1">IFERROR(__xludf.DUMMYFUNCTION("""COMPUTED_VALUE"""),2)</f>
        <v>2</v>
      </c>
      <c r="H319" s="118" t="str">
        <f ca="1">IFERROR(__xludf.DUMMYFUNCTION("""COMPUTED_VALUE"""),"DH")</f>
        <v>DH</v>
      </c>
      <c r="I319" s="118">
        <f ca="1">IFERROR(__xludf.DUMMYFUNCTION("""COMPUTED_VALUE"""),4)</f>
        <v>4</v>
      </c>
      <c r="J319" s="118">
        <f ca="1">IFERROR(__xludf.DUMMYFUNCTION("""COMPUTED_VALUE"""),2)</f>
        <v>2</v>
      </c>
      <c r="K319" s="120">
        <f ca="1">IFERROR(__xludf.DUMMYFUNCTION("""COMPUTED_VALUE"""),51.6)</f>
        <v>51.6</v>
      </c>
      <c r="L319" s="121"/>
      <c r="M319" s="120"/>
      <c r="N319" s="121"/>
      <c r="O319" s="120"/>
      <c r="P319" s="122"/>
      <c r="Q319" s="123" t="str">
        <f ca="1">IFERROR(__xludf.DUMMYFUNCTION("""COMPUTED_VALUE"""),"Emilie Beltz")</f>
        <v>Emilie Beltz</v>
      </c>
      <c r="R319" s="123" t="str">
        <f ca="1">IFERROR(__xludf.DUMMYFUNCTION("""COMPUTED_VALUE"""),"Jake Conques")</f>
        <v>Jake Conques</v>
      </c>
      <c r="S319" s="123" t="str">
        <f ca="1">IFERROR(__xludf.DUMMYFUNCTION("""COMPUTED_VALUE"""),"Darcy Telleen")</f>
        <v>Darcy Telleen</v>
      </c>
      <c r="T319" s="123" t="str">
        <f ca="1">IFERROR(__xludf.DUMMYFUNCTION("""COMPUTED_VALUE"""),"Finn Klink")</f>
        <v>Finn Klink</v>
      </c>
    </row>
    <row r="320" spans="1:20" ht="13.8">
      <c r="A320" s="118" t="str">
        <f ca="1">IFERROR(__xludf.DUMMYFUNCTION("""COMPUTED_VALUE"""),"DH")</f>
        <v>DH</v>
      </c>
      <c r="B320" s="119" t="str">
        <f ca="1">IFERROR(__xludf.DUMMYFUNCTION("""COMPUTED_VALUE"""),"Naomi McShane")</f>
        <v>Naomi McShane</v>
      </c>
      <c r="C320" s="118">
        <f ca="1">IFERROR(__xludf.DUMMYFUNCTION("""COMPUTED_VALUE"""),9)</f>
        <v>9</v>
      </c>
      <c r="D320" s="118" t="str">
        <f ca="1">IFERROR(__xludf.DUMMYFUNCTION("""COMPUTED_VALUE"""),"G")</f>
        <v>G</v>
      </c>
      <c r="E320" s="118" t="str">
        <f ca="1">IFERROR(__xludf.DUMMYFUNCTION("""COMPUTED_VALUE"""),"F")</f>
        <v>F</v>
      </c>
      <c r="F320" s="118" t="str">
        <f ca="1">IFERROR(__xludf.DUMMYFUNCTION("""COMPUTED_VALUE"""),"J")</f>
        <v>J</v>
      </c>
      <c r="G320" s="118">
        <f ca="1">IFERROR(__xludf.DUMMYFUNCTION("""COMPUTED_VALUE"""),2)</f>
        <v>2</v>
      </c>
      <c r="H320" s="118" t="str">
        <f ca="1">IFERROR(__xludf.DUMMYFUNCTION("""COMPUTED_VALUE"""),"DH")</f>
        <v>DH</v>
      </c>
      <c r="I320" s="118">
        <f ca="1">IFERROR(__xludf.DUMMYFUNCTION("""COMPUTED_VALUE"""),4)</f>
        <v>4</v>
      </c>
      <c r="J320" s="118">
        <f ca="1">IFERROR(__xludf.DUMMYFUNCTION("""COMPUTED_VALUE"""),0)</f>
        <v>0</v>
      </c>
      <c r="K320" s="120"/>
      <c r="L320" s="121"/>
      <c r="M320" s="120"/>
      <c r="N320" s="121"/>
      <c r="O320" s="120"/>
      <c r="P320" s="122"/>
      <c r="Q320" s="123" t="str">
        <f ca="1">IFERROR(__xludf.DUMMYFUNCTION("""COMPUTED_VALUE"""),"Emilie Glass")</f>
        <v>Emilie Glass</v>
      </c>
      <c r="R320" s="123" t="str">
        <f ca="1">IFERROR(__xludf.DUMMYFUNCTION("""COMPUTED_VALUE"""),"Jake Spears")</f>
        <v>Jake Spears</v>
      </c>
      <c r="S320" s="123" t="str">
        <f ca="1">IFERROR(__xludf.DUMMYFUNCTION("""COMPUTED_VALUE"""),"Deborah Burke")</f>
        <v>Deborah Burke</v>
      </c>
      <c r="T320" s="123" t="str">
        <f ca="1">IFERROR(__xludf.DUMMYFUNCTION("""COMPUTED_VALUE"""),"Finn Rogers")</f>
        <v>Finn Rogers</v>
      </c>
    </row>
    <row r="321" spans="1:20" ht="13.8">
      <c r="A321" s="118" t="str">
        <f ca="1">IFERROR(__xludf.DUMMYFUNCTION("""COMPUTED_VALUE"""),"DH")</f>
        <v>DH</v>
      </c>
      <c r="B321" s="119" t="str">
        <f ca="1">IFERROR(__xludf.DUMMYFUNCTION("""COMPUTED_VALUE"""),"Babi Aldonas")</f>
        <v>Babi Aldonas</v>
      </c>
      <c r="C321" s="118">
        <f ca="1">IFERROR(__xludf.DUMMYFUNCTION("""COMPUTED_VALUE"""),8)</f>
        <v>8</v>
      </c>
      <c r="D321" s="118" t="str">
        <f ca="1">IFERROR(__xludf.DUMMYFUNCTION("""COMPUTED_VALUE"""),"B")</f>
        <v>B</v>
      </c>
      <c r="E321" s="118" t="str">
        <f ca="1">IFERROR(__xludf.DUMMYFUNCTION("""COMPUTED_VALUE"""),"F")</f>
        <v>F</v>
      </c>
      <c r="F321" s="118" t="str">
        <f ca="1">IFERROR(__xludf.DUMMYFUNCTION("""COMPUTED_VALUE"""),"J")</f>
        <v>J</v>
      </c>
      <c r="G321" s="118">
        <f ca="1">IFERROR(__xludf.DUMMYFUNCTION("""COMPUTED_VALUE"""),2)</f>
        <v>2</v>
      </c>
      <c r="H321" s="118" t="str">
        <f ca="1">IFERROR(__xludf.DUMMYFUNCTION("""COMPUTED_VALUE"""),"DH")</f>
        <v>DH</v>
      </c>
      <c r="I321" s="118">
        <f ca="1">IFERROR(__xludf.DUMMYFUNCTION("""COMPUTED_VALUE"""),5)</f>
        <v>5</v>
      </c>
      <c r="J321" s="118">
        <f ca="1">IFERROR(__xludf.DUMMYFUNCTION("""COMPUTED_VALUE"""),4)</f>
        <v>4</v>
      </c>
      <c r="K321" s="120">
        <f ca="1">IFERROR(__xludf.DUMMYFUNCTION("""COMPUTED_VALUE"""),50.5)</f>
        <v>50.5</v>
      </c>
      <c r="L321" s="121"/>
      <c r="M321" s="120">
        <f ca="1">IFERROR(__xludf.DUMMYFUNCTION("""COMPUTED_VALUE"""),50.5)</f>
        <v>50.5</v>
      </c>
      <c r="N321" s="121"/>
      <c r="O321" s="120">
        <f ca="1">IFERROR(__xludf.DUMMYFUNCTION("""COMPUTED_VALUE"""),35.35)</f>
        <v>35.35</v>
      </c>
      <c r="P321" s="122"/>
      <c r="Q321" s="123" t="str">
        <f ca="1">IFERROR(__xludf.DUMMYFUNCTION("""COMPUTED_VALUE"""),"Emily Bracken")</f>
        <v>Emily Bracken</v>
      </c>
      <c r="R321" s="123" t="str">
        <f ca="1">IFERROR(__xludf.DUMMYFUNCTION("""COMPUTED_VALUE"""),"James Lake")</f>
        <v>James Lake</v>
      </c>
      <c r="S321" s="123" t="str">
        <f ca="1">IFERROR(__xludf.DUMMYFUNCTION("""COMPUTED_VALUE"""),"Dee Damjan")</f>
        <v>Dee Damjan</v>
      </c>
      <c r="T321" s="123" t="str">
        <f ca="1">IFERROR(__xludf.DUMMYFUNCTION("""COMPUTED_VALUE"""),"Fionn Cahill")</f>
        <v>Fionn Cahill</v>
      </c>
    </row>
    <row r="322" spans="1:20" ht="13.8">
      <c r="A322" s="118" t="str">
        <f ca="1">IFERROR(__xludf.DUMMYFUNCTION("""COMPUTED_VALUE"""),"DH")</f>
        <v>DH</v>
      </c>
      <c r="B322" s="119" t="str">
        <f ca="1">IFERROR(__xludf.DUMMYFUNCTION("""COMPUTED_VALUE"""),"Cormac Jackson")</f>
        <v>Cormac Jackson</v>
      </c>
      <c r="C322" s="118">
        <f ca="1">IFERROR(__xludf.DUMMYFUNCTION("""COMPUTED_VALUE"""),10)</f>
        <v>10</v>
      </c>
      <c r="D322" s="118" t="str">
        <f ca="1">IFERROR(__xludf.DUMMYFUNCTION("""COMPUTED_VALUE"""),"B")</f>
        <v>B</v>
      </c>
      <c r="E322" s="118" t="str">
        <f ca="1">IFERROR(__xludf.DUMMYFUNCTION("""COMPUTED_VALUE"""),"F")</f>
        <v>F</v>
      </c>
      <c r="F322" s="118" t="str">
        <f ca="1">IFERROR(__xludf.DUMMYFUNCTION("""COMPUTED_VALUE"""),"J")</f>
        <v>J</v>
      </c>
      <c r="G322" s="118">
        <f ca="1">IFERROR(__xludf.DUMMYFUNCTION("""COMPUTED_VALUE"""),2)</f>
        <v>2</v>
      </c>
      <c r="H322" s="118" t="str">
        <f ca="1">IFERROR(__xludf.DUMMYFUNCTION("""COMPUTED_VALUE"""),"DH")</f>
        <v>DH</v>
      </c>
      <c r="I322" s="118">
        <f ca="1">IFERROR(__xludf.DUMMYFUNCTION("""COMPUTED_VALUE"""),5)</f>
        <v>5</v>
      </c>
      <c r="J322" s="118">
        <f ca="1">IFERROR(__xludf.DUMMYFUNCTION("""COMPUTED_VALUE"""),0)</f>
        <v>0</v>
      </c>
      <c r="K322" s="120"/>
      <c r="L322" s="121"/>
      <c r="M322" s="120"/>
      <c r="N322" s="121"/>
      <c r="O322" s="120"/>
      <c r="P322" s="122"/>
      <c r="Q322" s="123" t="str">
        <f ca="1">IFERROR(__xludf.DUMMYFUNCTION("""COMPUTED_VALUE"""),"Emily Dunn")</f>
        <v>Emily Dunn</v>
      </c>
      <c r="R322" s="123" t="str">
        <f ca="1">IFERROR(__xludf.DUMMYFUNCTION("""COMPUTED_VALUE"""),"James Shrader")</f>
        <v>James Shrader</v>
      </c>
      <c r="S322" s="123" t="str">
        <f ca="1">IFERROR(__xludf.DUMMYFUNCTION("""COMPUTED_VALUE"""),"Deena Epstein")</f>
        <v>Deena Epstein</v>
      </c>
      <c r="T322" s="123" t="str">
        <f ca="1">IFERROR(__xludf.DUMMYFUNCTION("""COMPUTED_VALUE"""),"Fletcher Telleen")</f>
        <v>Fletcher Telleen</v>
      </c>
    </row>
    <row r="323" spans="1:20" ht="13.8">
      <c r="A323" s="118" t="str">
        <f ca="1">IFERROR(__xludf.DUMMYFUNCTION("""COMPUTED_VALUE"""),"DH")</f>
        <v>DH</v>
      </c>
      <c r="B323" s="119" t="str">
        <f ca="1">IFERROR(__xludf.DUMMYFUNCTION("""COMPUTED_VALUE"""),"Declan Jackson")</f>
        <v>Declan Jackson</v>
      </c>
      <c r="C323" s="118">
        <f ca="1">IFERROR(__xludf.DUMMYFUNCTION("""COMPUTED_VALUE"""),8)</f>
        <v>8</v>
      </c>
      <c r="D323" s="118" t="str">
        <f ca="1">IFERROR(__xludf.DUMMYFUNCTION("""COMPUTED_VALUE"""),"B")</f>
        <v>B</v>
      </c>
      <c r="E323" s="118" t="str">
        <f ca="1">IFERROR(__xludf.DUMMYFUNCTION("""COMPUTED_VALUE"""),"F")</f>
        <v>F</v>
      </c>
      <c r="F323" s="118" t="str">
        <f ca="1">IFERROR(__xludf.DUMMYFUNCTION("""COMPUTED_VALUE"""),"J")</f>
        <v>J</v>
      </c>
      <c r="G323" s="118">
        <f ca="1">IFERROR(__xludf.DUMMYFUNCTION("""COMPUTED_VALUE"""),2)</f>
        <v>2</v>
      </c>
      <c r="H323" s="118" t="str">
        <f ca="1">IFERROR(__xludf.DUMMYFUNCTION("""COMPUTED_VALUE"""),"DH")</f>
        <v>DH</v>
      </c>
      <c r="I323" s="118">
        <f ca="1">IFERROR(__xludf.DUMMYFUNCTION("""COMPUTED_VALUE"""),5)</f>
        <v>5</v>
      </c>
      <c r="J323" s="118">
        <f ca="1">IFERROR(__xludf.DUMMYFUNCTION("""COMPUTED_VALUE"""),0)</f>
        <v>0</v>
      </c>
      <c r="K323" s="120"/>
      <c r="L323" s="121"/>
      <c r="M323" s="120"/>
      <c r="N323" s="121"/>
      <c r="O323" s="120"/>
      <c r="P323" s="122"/>
      <c r="Q323" s="123" t="str">
        <f ca="1">IFERROR(__xludf.DUMMYFUNCTION("""COMPUTED_VALUE"""),"Emily Fay")</f>
        <v>Emily Fay</v>
      </c>
      <c r="R323" s="123" t="str">
        <f ca="1">IFERROR(__xludf.DUMMYFUNCTION("""COMPUTED_VALUE"""),"James Wittman")</f>
        <v>James Wittman</v>
      </c>
      <c r="S323" s="123" t="str">
        <f ca="1">IFERROR(__xludf.DUMMYFUNCTION("""COMPUTED_VALUE"""),"Delaney Weaver")</f>
        <v>Delaney Weaver</v>
      </c>
      <c r="T323" s="123" t="str">
        <f ca="1">IFERROR(__xludf.DUMMYFUNCTION("""COMPUTED_VALUE"""),"Flynn Miller")</f>
        <v>Flynn Miller</v>
      </c>
    </row>
    <row r="324" spans="1:20" ht="13.8">
      <c r="A324" s="118" t="str">
        <f ca="1">IFERROR(__xludf.DUMMYFUNCTION("""COMPUTED_VALUE"""),"DH")</f>
        <v>DH</v>
      </c>
      <c r="B324" s="119" t="str">
        <f ca="1">IFERROR(__xludf.DUMMYFUNCTION("""COMPUTED_VALUE"""),"Ethan Perkins")</f>
        <v>Ethan Perkins</v>
      </c>
      <c r="C324" s="118">
        <f ca="1">IFERROR(__xludf.DUMMYFUNCTION("""COMPUTED_VALUE"""),8)</f>
        <v>8</v>
      </c>
      <c r="D324" s="118" t="str">
        <f ca="1">IFERROR(__xludf.DUMMYFUNCTION("""COMPUTED_VALUE"""),"B")</f>
        <v>B</v>
      </c>
      <c r="E324" s="118" t="str">
        <f ca="1">IFERROR(__xludf.DUMMYFUNCTION("""COMPUTED_VALUE"""),"F")</f>
        <v>F</v>
      </c>
      <c r="F324" s="118" t="str">
        <f ca="1">IFERROR(__xludf.DUMMYFUNCTION("""COMPUTED_VALUE"""),"J")</f>
        <v>J</v>
      </c>
      <c r="G324" s="118">
        <f ca="1">IFERROR(__xludf.DUMMYFUNCTION("""COMPUTED_VALUE"""),2)</f>
        <v>2</v>
      </c>
      <c r="H324" s="118" t="str">
        <f ca="1">IFERROR(__xludf.DUMMYFUNCTION("""COMPUTED_VALUE"""),"DH")</f>
        <v>DH</v>
      </c>
      <c r="I324" s="118">
        <f ca="1">IFERROR(__xludf.DUMMYFUNCTION("""COMPUTED_VALUE"""),5)</f>
        <v>5</v>
      </c>
      <c r="J324" s="118">
        <f ca="1">IFERROR(__xludf.DUMMYFUNCTION("""COMPUTED_VALUE"""),4)</f>
        <v>4</v>
      </c>
      <c r="K324" s="120">
        <f ca="1">IFERROR(__xludf.DUMMYFUNCTION("""COMPUTED_VALUE"""),53.25)</f>
        <v>53.25</v>
      </c>
      <c r="L324" s="121"/>
      <c r="M324" s="120">
        <f ca="1">IFERROR(__xludf.DUMMYFUNCTION("""COMPUTED_VALUE"""),53.25)</f>
        <v>53.25</v>
      </c>
      <c r="N324" s="121"/>
      <c r="O324" s="120">
        <f ca="1">IFERROR(__xludf.DUMMYFUNCTION("""COMPUTED_VALUE"""),43.6)</f>
        <v>43.6</v>
      </c>
      <c r="P324" s="122"/>
      <c r="Q324" s="123" t="str">
        <f ca="1">IFERROR(__xludf.DUMMYFUNCTION("""COMPUTED_VALUE"""),"Emily Flach")</f>
        <v>Emily Flach</v>
      </c>
      <c r="R324" s="123" t="str">
        <f ca="1">IFERROR(__xludf.DUMMYFUNCTION("""COMPUTED_VALUE"""),"Jameson Ham")</f>
        <v>Jameson Ham</v>
      </c>
      <c r="S324" s="123" t="str">
        <f ca="1">IFERROR(__xludf.DUMMYFUNCTION("""COMPUTED_VALUE"""),"Delilah Copas")</f>
        <v>Delilah Copas</v>
      </c>
      <c r="T324" s="123" t="str">
        <f ca="1">IFERROR(__xludf.DUMMYFUNCTION("""COMPUTED_VALUE"""),"Foster Middendorf")</f>
        <v>Foster Middendorf</v>
      </c>
    </row>
    <row r="325" spans="1:20" ht="13.8">
      <c r="A325" s="118" t="str">
        <f ca="1">IFERROR(__xludf.DUMMYFUNCTION("""COMPUTED_VALUE"""),"DH")</f>
        <v>DH</v>
      </c>
      <c r="B325" s="119" t="str">
        <f ca="1">IFERROR(__xludf.DUMMYFUNCTION("""COMPUTED_VALUE"""),"Leonardo Hardin")</f>
        <v>Leonardo Hardin</v>
      </c>
      <c r="C325" s="118">
        <f ca="1">IFERROR(__xludf.DUMMYFUNCTION("""COMPUTED_VALUE"""),6)</f>
        <v>6</v>
      </c>
      <c r="D325" s="118" t="str">
        <f ca="1">IFERROR(__xludf.DUMMYFUNCTION("""COMPUTED_VALUE"""),"B")</f>
        <v>B</v>
      </c>
      <c r="E325" s="118" t="str">
        <f ca="1">IFERROR(__xludf.DUMMYFUNCTION("""COMPUTED_VALUE"""),"F")</f>
        <v>F</v>
      </c>
      <c r="F325" s="118" t="str">
        <f ca="1">IFERROR(__xludf.DUMMYFUNCTION("""COMPUTED_VALUE"""),"J")</f>
        <v>J</v>
      </c>
      <c r="G325" s="118">
        <f ca="1">IFERROR(__xludf.DUMMYFUNCTION("""COMPUTED_VALUE"""),2)</f>
        <v>2</v>
      </c>
      <c r="H325" s="118" t="str">
        <f ca="1">IFERROR(__xludf.DUMMYFUNCTION("""COMPUTED_VALUE"""),"DH")</f>
        <v>DH</v>
      </c>
      <c r="I325" s="118">
        <f ca="1">IFERROR(__xludf.DUMMYFUNCTION("""COMPUTED_VALUE"""),5)</f>
        <v>5</v>
      </c>
      <c r="J325" s="118">
        <f ca="1">IFERROR(__xludf.DUMMYFUNCTION("""COMPUTED_VALUE"""),0)</f>
        <v>0</v>
      </c>
      <c r="K325" s="120"/>
      <c r="L325" s="121"/>
      <c r="M325" s="120"/>
      <c r="N325" s="121"/>
      <c r="O325" s="120"/>
      <c r="P325" s="122"/>
      <c r="Q325" s="123" t="str">
        <f ca="1">IFERROR(__xludf.DUMMYFUNCTION("""COMPUTED_VALUE"""),"Emily Lauffer")</f>
        <v>Emily Lauffer</v>
      </c>
      <c r="R325" s="123" t="str">
        <f ca="1">IFERROR(__xludf.DUMMYFUNCTION("""COMPUTED_VALUE"""),"Jameson Miller")</f>
        <v>Jameson Miller</v>
      </c>
      <c r="S325" s="123" t="str">
        <f ca="1">IFERROR(__xludf.DUMMYFUNCTION("""COMPUTED_VALUE"""),"Devyn Telleen")</f>
        <v>Devyn Telleen</v>
      </c>
      <c r="T325" s="123" t="str">
        <f ca="1">IFERROR(__xludf.DUMMYFUNCTION("""COMPUTED_VALUE"""),"Francis Smith")</f>
        <v>Francis Smith</v>
      </c>
    </row>
    <row r="326" spans="1:20" ht="13.8">
      <c r="A326" s="118" t="str">
        <f ca="1">IFERROR(__xludf.DUMMYFUNCTION("""COMPUTED_VALUE"""),"DH")</f>
        <v>DH</v>
      </c>
      <c r="B326" s="119" t="str">
        <f ca="1">IFERROR(__xludf.DUMMYFUNCTION("""COMPUTED_VALUE"""),"Luca Hardin")</f>
        <v>Luca Hardin</v>
      </c>
      <c r="C326" s="118">
        <f ca="1">IFERROR(__xludf.DUMMYFUNCTION("""COMPUTED_VALUE"""),10)</f>
        <v>10</v>
      </c>
      <c r="D326" s="118" t="str">
        <f ca="1">IFERROR(__xludf.DUMMYFUNCTION("""COMPUTED_VALUE"""),"B")</f>
        <v>B</v>
      </c>
      <c r="E326" s="118" t="str">
        <f ca="1">IFERROR(__xludf.DUMMYFUNCTION("""COMPUTED_VALUE"""),"F")</f>
        <v>F</v>
      </c>
      <c r="F326" s="118" t="str">
        <f ca="1">IFERROR(__xludf.DUMMYFUNCTION("""COMPUTED_VALUE"""),"J")</f>
        <v>J</v>
      </c>
      <c r="G326" s="118">
        <f ca="1">IFERROR(__xludf.DUMMYFUNCTION("""COMPUTED_VALUE"""),2)</f>
        <v>2</v>
      </c>
      <c r="H326" s="118" t="str">
        <f ca="1">IFERROR(__xludf.DUMMYFUNCTION("""COMPUTED_VALUE"""),"DH")</f>
        <v>DH</v>
      </c>
      <c r="I326" s="118">
        <f ca="1">IFERROR(__xludf.DUMMYFUNCTION("""COMPUTED_VALUE"""),5)</f>
        <v>5</v>
      </c>
      <c r="J326" s="118">
        <f ca="1">IFERROR(__xludf.DUMMYFUNCTION("""COMPUTED_VALUE"""),0)</f>
        <v>0</v>
      </c>
      <c r="K326" s="120"/>
      <c r="L326" s="121"/>
      <c r="M326" s="120"/>
      <c r="N326" s="121"/>
      <c r="O326" s="120"/>
      <c r="P326" s="122"/>
      <c r="Q326" s="123" t="str">
        <f ca="1">IFERROR(__xludf.DUMMYFUNCTION("""COMPUTED_VALUE"""),"Emily McKinnon")</f>
        <v>Emily McKinnon</v>
      </c>
      <c r="R326" s="123" t="str">
        <f ca="1">IFERROR(__xludf.DUMMYFUNCTION("""COMPUTED_VALUE"""),"Jamie Herrick")</f>
        <v>Jamie Herrick</v>
      </c>
      <c r="S326" s="123" t="str">
        <f ca="1">IFERROR(__xludf.DUMMYFUNCTION("""COMPUTED_VALUE"""),"Deya Sidhu")</f>
        <v>Deya Sidhu</v>
      </c>
      <c r="T326" s="123" t="str">
        <f ca="1">IFERROR(__xludf.DUMMYFUNCTION("""COMPUTED_VALUE"""),"Franklin McShane")</f>
        <v>Franklin McShane</v>
      </c>
    </row>
    <row r="327" spans="1:20" ht="13.8">
      <c r="A327" s="118" t="str">
        <f ca="1">IFERROR(__xludf.DUMMYFUNCTION("""COMPUTED_VALUE"""),"DH")</f>
        <v>DH</v>
      </c>
      <c r="B327" s="119" t="str">
        <f ca="1">IFERROR(__xludf.DUMMYFUNCTION("""COMPUTED_VALUE"""),"Michael Bui")</f>
        <v>Michael Bui</v>
      </c>
      <c r="C327" s="118">
        <f ca="1">IFERROR(__xludf.DUMMYFUNCTION("""COMPUTED_VALUE"""),8)</f>
        <v>8</v>
      </c>
      <c r="D327" s="118" t="str">
        <f ca="1">IFERROR(__xludf.DUMMYFUNCTION("""COMPUTED_VALUE"""),"B")</f>
        <v>B</v>
      </c>
      <c r="E327" s="118" t="str">
        <f ca="1">IFERROR(__xludf.DUMMYFUNCTION("""COMPUTED_VALUE"""),"F")</f>
        <v>F</v>
      </c>
      <c r="F327" s="118" t="str">
        <f ca="1">IFERROR(__xludf.DUMMYFUNCTION("""COMPUTED_VALUE"""),"J")</f>
        <v>J</v>
      </c>
      <c r="G327" s="118">
        <f ca="1">IFERROR(__xludf.DUMMYFUNCTION("""COMPUTED_VALUE"""),2)</f>
        <v>2</v>
      </c>
      <c r="H327" s="118" t="str">
        <f ca="1">IFERROR(__xludf.DUMMYFUNCTION("""COMPUTED_VALUE"""),"DH")</f>
        <v>DH</v>
      </c>
      <c r="I327" s="118">
        <f ca="1">IFERROR(__xludf.DUMMYFUNCTION("""COMPUTED_VALUE"""),5)</f>
        <v>5</v>
      </c>
      <c r="J327" s="118">
        <f ca="1">IFERROR(__xludf.DUMMYFUNCTION("""COMPUTED_VALUE"""),3)</f>
        <v>3</v>
      </c>
      <c r="K327" s="120">
        <f ca="1">IFERROR(__xludf.DUMMYFUNCTION("""COMPUTED_VALUE"""),33.5)</f>
        <v>33.5</v>
      </c>
      <c r="L327" s="121"/>
      <c r="M327" s="120">
        <f ca="1">IFERROR(__xludf.DUMMYFUNCTION("""COMPUTED_VALUE"""),33.5)</f>
        <v>33.5</v>
      </c>
      <c r="N327" s="121"/>
      <c r="O327" s="120"/>
      <c r="P327" s="122"/>
      <c r="Q327" s="123" t="str">
        <f ca="1">IFERROR(__xludf.DUMMYFUNCTION("""COMPUTED_VALUE"""),"Emily Newton")</f>
        <v>Emily Newton</v>
      </c>
      <c r="R327" s="123" t="str">
        <f ca="1">IFERROR(__xludf.DUMMYFUNCTION("""COMPUTED_VALUE"""),"Jarlath Mahoney")</f>
        <v>Jarlath Mahoney</v>
      </c>
      <c r="S327" s="123" t="str">
        <f ca="1">IFERROR(__xludf.DUMMYFUNCTION("""COMPUTED_VALUE"""),"Divya Bharathan")</f>
        <v>Divya Bharathan</v>
      </c>
      <c r="T327" s="123" t="str">
        <f ca="1">IFERROR(__xludf.DUMMYFUNCTION("""COMPUTED_VALUE"""),"Freddy Xin")</f>
        <v>Freddy Xin</v>
      </c>
    </row>
    <row r="328" spans="1:20" ht="13.8">
      <c r="A328" s="118" t="str">
        <f ca="1">IFERROR(__xludf.DUMMYFUNCTION("""COMPUTED_VALUE"""),"DH")</f>
        <v>DH</v>
      </c>
      <c r="B328" s="119" t="str">
        <f ca="1">IFERROR(__xludf.DUMMYFUNCTION("""COMPUTED_VALUE"""),"Peter Goehring")</f>
        <v>Peter Goehring</v>
      </c>
      <c r="C328" s="118">
        <f ca="1">IFERROR(__xludf.DUMMYFUNCTION("""COMPUTED_VALUE"""),10)</f>
        <v>10</v>
      </c>
      <c r="D328" s="118" t="str">
        <f ca="1">IFERROR(__xludf.DUMMYFUNCTION("""COMPUTED_VALUE"""),"B")</f>
        <v>B</v>
      </c>
      <c r="E328" s="118" t="str">
        <f ca="1">IFERROR(__xludf.DUMMYFUNCTION("""COMPUTED_VALUE"""),"F")</f>
        <v>F</v>
      </c>
      <c r="F328" s="118" t="str">
        <f ca="1">IFERROR(__xludf.DUMMYFUNCTION("""COMPUTED_VALUE"""),"J")</f>
        <v>J</v>
      </c>
      <c r="G328" s="118">
        <f ca="1">IFERROR(__xludf.DUMMYFUNCTION("""COMPUTED_VALUE"""),2)</f>
        <v>2</v>
      </c>
      <c r="H328" s="118" t="str">
        <f ca="1">IFERROR(__xludf.DUMMYFUNCTION("""COMPUTED_VALUE"""),"DH")</f>
        <v>DH</v>
      </c>
      <c r="I328" s="118">
        <f ca="1">IFERROR(__xludf.DUMMYFUNCTION("""COMPUTED_VALUE"""),5)</f>
        <v>5</v>
      </c>
      <c r="J328" s="118">
        <f ca="1">IFERROR(__xludf.DUMMYFUNCTION("""COMPUTED_VALUE"""),3)</f>
        <v>3</v>
      </c>
      <c r="K328" s="120">
        <f ca="1">IFERROR(__xludf.DUMMYFUNCTION("""COMPUTED_VALUE"""),51.4)</f>
        <v>51.4</v>
      </c>
      <c r="L328" s="121"/>
      <c r="M328" s="120"/>
      <c r="N328" s="121"/>
      <c r="O328" s="120">
        <f ca="1">IFERROR(__xludf.DUMMYFUNCTION("""COMPUTED_VALUE"""),46.65)</f>
        <v>46.65</v>
      </c>
      <c r="P328" s="122"/>
      <c r="Q328" s="123" t="str">
        <f ca="1">IFERROR(__xludf.DUMMYFUNCTION("""COMPUTED_VALUE"""),"Emily Sander")</f>
        <v>Emily Sander</v>
      </c>
      <c r="R328" s="123" t="str">
        <f ca="1">IFERROR(__xludf.DUMMYFUNCTION("""COMPUTED_VALUE"""),"Jasper Albers")</f>
        <v>Jasper Albers</v>
      </c>
      <c r="S328" s="123" t="str">
        <f ca="1">IFERROR(__xludf.DUMMYFUNCTION("""COMPUTED_VALUE"""),"Dorothy Small")</f>
        <v>Dorothy Small</v>
      </c>
      <c r="T328" s="123" t="str">
        <f ca="1">IFERROR(__xludf.DUMMYFUNCTION("""COMPUTED_VALUE"""),"Gabe Newtson")</f>
        <v>Gabe Newtson</v>
      </c>
    </row>
    <row r="329" spans="1:20" ht="13.8">
      <c r="A329" s="118" t="str">
        <f ca="1">IFERROR(__xludf.DUMMYFUNCTION("""COMPUTED_VALUE"""),"DH")</f>
        <v>DH</v>
      </c>
      <c r="B329" s="119" t="str">
        <f ca="1">IFERROR(__xludf.DUMMYFUNCTION("""COMPUTED_VALUE"""),"Xavier Zelle James")</f>
        <v>Xavier Zelle James</v>
      </c>
      <c r="C329" s="118">
        <f ca="1">IFERROR(__xludf.DUMMYFUNCTION("""COMPUTED_VALUE"""),9)</f>
        <v>9</v>
      </c>
      <c r="D329" s="118" t="str">
        <f ca="1">IFERROR(__xludf.DUMMYFUNCTION("""COMPUTED_VALUE"""),"B")</f>
        <v>B</v>
      </c>
      <c r="E329" s="118" t="str">
        <f ca="1">IFERROR(__xludf.DUMMYFUNCTION("""COMPUTED_VALUE"""),"F")</f>
        <v>F</v>
      </c>
      <c r="F329" s="118" t="str">
        <f ca="1">IFERROR(__xludf.DUMMYFUNCTION("""COMPUTED_VALUE"""),"J")</f>
        <v>J</v>
      </c>
      <c r="G329" s="118">
        <f ca="1">IFERROR(__xludf.DUMMYFUNCTION("""COMPUTED_VALUE"""),2)</f>
        <v>2</v>
      </c>
      <c r="H329" s="118" t="str">
        <f ca="1">IFERROR(__xludf.DUMMYFUNCTION("""COMPUTED_VALUE"""),"DH")</f>
        <v>DH</v>
      </c>
      <c r="I329" s="118">
        <f ca="1">IFERROR(__xludf.DUMMYFUNCTION("""COMPUTED_VALUE"""),5)</f>
        <v>5</v>
      </c>
      <c r="J329" s="118">
        <f ca="1">IFERROR(__xludf.DUMMYFUNCTION("""COMPUTED_VALUE"""),0)</f>
        <v>0</v>
      </c>
      <c r="K329" s="120"/>
      <c r="L329" s="121"/>
      <c r="M329" s="120"/>
      <c r="N329" s="121"/>
      <c r="O329" s="120"/>
      <c r="P329" s="122"/>
      <c r="Q329" s="123" t="str">
        <f ca="1">IFERROR(__xludf.DUMMYFUNCTION("""COMPUTED_VALUE"""),"Emily Skolnitsky")</f>
        <v>Emily Skolnitsky</v>
      </c>
      <c r="R329" s="123" t="str">
        <f ca="1">IFERROR(__xludf.DUMMYFUNCTION("""COMPUTED_VALUE"""),"Jasper Carpenter")</f>
        <v>Jasper Carpenter</v>
      </c>
      <c r="S329" s="123" t="str">
        <f ca="1">IFERROR(__xludf.DUMMYFUNCTION("""COMPUTED_VALUE"""),"Eden Cogert")</f>
        <v>Eden Cogert</v>
      </c>
      <c r="T329" s="123" t="str">
        <f ca="1">IFERROR(__xludf.DUMMYFUNCTION("""COMPUTED_VALUE"""),"Gabe Wilson")</f>
        <v>Gabe Wilson</v>
      </c>
    </row>
    <row r="330" spans="1:20" ht="13.8">
      <c r="A330" s="118" t="str">
        <f ca="1">IFERROR(__xludf.DUMMYFUNCTION("""COMPUTED_VALUE"""),"DH")</f>
        <v>DH</v>
      </c>
      <c r="B330" s="119" t="str">
        <f ca="1">IFERROR(__xludf.DUMMYFUNCTION("""COMPUTED_VALUE"""),"Zach Ervin")</f>
        <v>Zach Ervin</v>
      </c>
      <c r="C330" s="118">
        <f ca="1">IFERROR(__xludf.DUMMYFUNCTION("""COMPUTED_VALUE"""),8)</f>
        <v>8</v>
      </c>
      <c r="D330" s="118" t="str">
        <f ca="1">IFERROR(__xludf.DUMMYFUNCTION("""COMPUTED_VALUE"""),"B")</f>
        <v>B</v>
      </c>
      <c r="E330" s="118" t="str">
        <f ca="1">IFERROR(__xludf.DUMMYFUNCTION("""COMPUTED_VALUE"""),"F")</f>
        <v>F</v>
      </c>
      <c r="F330" s="118" t="str">
        <f ca="1">IFERROR(__xludf.DUMMYFUNCTION("""COMPUTED_VALUE"""),"J")</f>
        <v>J</v>
      </c>
      <c r="G330" s="118">
        <f ca="1">IFERROR(__xludf.DUMMYFUNCTION("""COMPUTED_VALUE"""),2)</f>
        <v>2</v>
      </c>
      <c r="H330" s="118" t="str">
        <f ca="1">IFERROR(__xludf.DUMMYFUNCTION("""COMPUTED_VALUE"""),"DH")</f>
        <v>DH</v>
      </c>
      <c r="I330" s="118">
        <f ca="1">IFERROR(__xludf.DUMMYFUNCTION("""COMPUTED_VALUE"""),5)</f>
        <v>5</v>
      </c>
      <c r="J330" s="118">
        <f ca="1">IFERROR(__xludf.DUMMYFUNCTION("""COMPUTED_VALUE"""),3)</f>
        <v>3</v>
      </c>
      <c r="K330" s="120">
        <f ca="1">IFERROR(__xludf.DUMMYFUNCTION("""COMPUTED_VALUE"""),37.35)</f>
        <v>37.35</v>
      </c>
      <c r="L330" s="121"/>
      <c r="M330" s="120"/>
      <c r="N330" s="121"/>
      <c r="O330" s="120"/>
      <c r="P330" s="122"/>
      <c r="Q330" s="123" t="str">
        <f ca="1">IFERROR(__xludf.DUMMYFUNCTION("""COMPUTED_VALUE"""),"Emily Wills")</f>
        <v>Emily Wills</v>
      </c>
      <c r="R330" s="123" t="str">
        <f ca="1">IFERROR(__xludf.DUMMYFUNCTION("""COMPUTED_VALUE"""),"Jasper Figley")</f>
        <v>Jasper Figley</v>
      </c>
      <c r="S330" s="123" t="str">
        <f ca="1">IFERROR(__xludf.DUMMYFUNCTION("""COMPUTED_VALUE"""),"Edi Charboneau")</f>
        <v>Edi Charboneau</v>
      </c>
      <c r="T330" s="123" t="str">
        <f ca="1">IFERROR(__xludf.DUMMYFUNCTION("""COMPUTED_VALUE"""),"Gabriel Fernandez")</f>
        <v>Gabriel Fernandez</v>
      </c>
    </row>
    <row r="331" spans="1:20" ht="13.8">
      <c r="A331" s="118" t="str">
        <f ca="1">IFERROR(__xludf.DUMMYFUNCTION("""COMPUTED_VALUE"""),"DH")</f>
        <v>DH</v>
      </c>
      <c r="B331" s="119" t="str">
        <f ca="1">IFERROR(__xludf.DUMMYFUNCTION("""COMPUTED_VALUE"""),"Zach Mathieson")</f>
        <v>Zach Mathieson</v>
      </c>
      <c r="C331" s="118">
        <f ca="1">IFERROR(__xludf.DUMMYFUNCTION("""COMPUTED_VALUE"""),10)</f>
        <v>10</v>
      </c>
      <c r="D331" s="118" t="str">
        <f ca="1">IFERROR(__xludf.DUMMYFUNCTION("""COMPUTED_VALUE"""),"B")</f>
        <v>B</v>
      </c>
      <c r="E331" s="118" t="str">
        <f ca="1">IFERROR(__xludf.DUMMYFUNCTION("""COMPUTED_VALUE"""),"F")</f>
        <v>F</v>
      </c>
      <c r="F331" s="118" t="str">
        <f ca="1">IFERROR(__xludf.DUMMYFUNCTION("""COMPUTED_VALUE"""),"J")</f>
        <v>J</v>
      </c>
      <c r="G331" s="118">
        <f ca="1">IFERROR(__xludf.DUMMYFUNCTION("""COMPUTED_VALUE"""),2)</f>
        <v>2</v>
      </c>
      <c r="H331" s="118" t="str">
        <f ca="1">IFERROR(__xludf.DUMMYFUNCTION("""COMPUTED_VALUE"""),"DH")</f>
        <v>DH</v>
      </c>
      <c r="I331" s="118">
        <f ca="1">IFERROR(__xludf.DUMMYFUNCTION("""COMPUTED_VALUE"""),5)</f>
        <v>5</v>
      </c>
      <c r="J331" s="118">
        <f ca="1">IFERROR(__xludf.DUMMYFUNCTION("""COMPUTED_VALUE"""),4)</f>
        <v>4</v>
      </c>
      <c r="K331" s="120">
        <f ca="1">IFERROR(__xludf.DUMMYFUNCTION("""COMPUTED_VALUE"""),71)</f>
        <v>71</v>
      </c>
      <c r="L331" s="121"/>
      <c r="M331" s="120">
        <f ca="1">IFERROR(__xludf.DUMMYFUNCTION("""COMPUTED_VALUE"""),71)</f>
        <v>71</v>
      </c>
      <c r="N331" s="121"/>
      <c r="O331" s="120">
        <f ca="1">IFERROR(__xludf.DUMMYFUNCTION("""COMPUTED_VALUE"""),65.65)</f>
        <v>65.650000000000006</v>
      </c>
      <c r="P331" s="122"/>
      <c r="Q331" s="123" t="str">
        <f ca="1">IFERROR(__xludf.DUMMYFUNCTION("""COMPUTED_VALUE"""),"Emily Zahalsky")</f>
        <v>Emily Zahalsky</v>
      </c>
      <c r="R331" s="123" t="str">
        <f ca="1">IFERROR(__xludf.DUMMYFUNCTION("""COMPUTED_VALUE"""),"Jax Wallace")</f>
        <v>Jax Wallace</v>
      </c>
      <c r="S331" s="123" t="str">
        <f ca="1">IFERROR(__xludf.DUMMYFUNCTION("""COMPUTED_VALUE"""),"Edie Freeman")</f>
        <v>Edie Freeman</v>
      </c>
      <c r="T331" s="123" t="str">
        <f ca="1">IFERROR(__xludf.DUMMYFUNCTION("""COMPUTED_VALUE"""),"Gabriel Mesmer")</f>
        <v>Gabriel Mesmer</v>
      </c>
    </row>
    <row r="332" spans="1:20" ht="13.8">
      <c r="A332" s="118" t="str">
        <f ca="1">IFERROR(__xludf.DUMMYFUNCTION("""COMPUTED_VALUE"""),"DH")</f>
        <v>DH</v>
      </c>
      <c r="B332" s="119" t="str">
        <f ca="1">IFERROR(__xludf.DUMMYFUNCTION("""COMPUTED_VALUE"""),"Claire Villella")</f>
        <v>Claire Villella</v>
      </c>
      <c r="C332" s="118">
        <f ca="1">IFERROR(__xludf.DUMMYFUNCTION("""COMPUTED_VALUE"""),12)</f>
        <v>12</v>
      </c>
      <c r="D332" s="118" t="str">
        <f ca="1">IFERROR(__xludf.DUMMYFUNCTION("""COMPUTED_VALUE"""),"G")</f>
        <v>G</v>
      </c>
      <c r="E332" s="118" t="str">
        <f ca="1">IFERROR(__xludf.DUMMYFUNCTION("""COMPUTED_VALUE"""),"J")</f>
        <v>J</v>
      </c>
      <c r="F332" s="118" t="str">
        <f ca="1">IFERROR(__xludf.DUMMYFUNCTION("""COMPUTED_VALUE"""),"I")</f>
        <v>I</v>
      </c>
      <c r="G332" s="118">
        <f ca="1">IFERROR(__xludf.DUMMYFUNCTION("""COMPUTED_VALUE"""),2)</f>
        <v>2</v>
      </c>
      <c r="H332" s="118" t="str">
        <f ca="1">IFERROR(__xludf.DUMMYFUNCTION("""COMPUTED_VALUE"""),"DH")</f>
        <v>DH</v>
      </c>
      <c r="I332" s="118">
        <f ca="1">IFERROR(__xludf.DUMMYFUNCTION("""COMPUTED_VALUE"""),6)</f>
        <v>6</v>
      </c>
      <c r="J332" s="118">
        <f ca="1">IFERROR(__xludf.DUMMYFUNCTION("""COMPUTED_VALUE"""),0)</f>
        <v>0</v>
      </c>
      <c r="K332" s="120"/>
      <c r="L332" s="121"/>
      <c r="M332" s="120"/>
      <c r="N332" s="121"/>
      <c r="O332" s="120"/>
      <c r="P332" s="122"/>
      <c r="Q332" s="123" t="str">
        <f ca="1">IFERROR(__xludf.DUMMYFUNCTION("""COMPUTED_VALUE"""),"Emma Denardo")</f>
        <v>Emma Denardo</v>
      </c>
      <c r="R332" s="123" t="str">
        <f ca="1">IFERROR(__xludf.DUMMYFUNCTION("""COMPUTED_VALUE"""),"Jayan Penn")</f>
        <v>Jayan Penn</v>
      </c>
      <c r="S332" s="123" t="str">
        <f ca="1">IFERROR(__xludf.DUMMYFUNCTION("""COMPUTED_VALUE"""),"Effie Erwin")</f>
        <v>Effie Erwin</v>
      </c>
      <c r="T332" s="123" t="str">
        <f ca="1">IFERROR(__xludf.DUMMYFUNCTION("""COMPUTED_VALUE"""),"Gaius Roberts")</f>
        <v>Gaius Roberts</v>
      </c>
    </row>
    <row r="333" spans="1:20" ht="13.8">
      <c r="A333" s="118" t="str">
        <f ca="1">IFERROR(__xludf.DUMMYFUNCTION("""COMPUTED_VALUE"""),"DH")</f>
        <v>DH</v>
      </c>
      <c r="B333" s="119" t="str">
        <f ca="1">IFERROR(__xludf.DUMMYFUNCTION("""COMPUTED_VALUE"""),"Eleanor Goehring")</f>
        <v>Eleanor Goehring</v>
      </c>
      <c r="C333" s="118">
        <f ca="1">IFERROR(__xludf.DUMMYFUNCTION("""COMPUTED_VALUE"""),12)</f>
        <v>12</v>
      </c>
      <c r="D333" s="118" t="str">
        <f ca="1">IFERROR(__xludf.DUMMYFUNCTION("""COMPUTED_VALUE"""),"G")</f>
        <v>G</v>
      </c>
      <c r="E333" s="118" t="str">
        <f ca="1">IFERROR(__xludf.DUMMYFUNCTION("""COMPUTED_VALUE"""),"J")</f>
        <v>J</v>
      </c>
      <c r="F333" s="118" t="str">
        <f ca="1">IFERROR(__xludf.DUMMYFUNCTION("""COMPUTED_VALUE"""),"I")</f>
        <v>I</v>
      </c>
      <c r="G333" s="118">
        <f ca="1">IFERROR(__xludf.DUMMYFUNCTION("""COMPUTED_VALUE"""),2)</f>
        <v>2</v>
      </c>
      <c r="H333" s="118" t="str">
        <f ca="1">IFERROR(__xludf.DUMMYFUNCTION("""COMPUTED_VALUE"""),"DH")</f>
        <v>DH</v>
      </c>
      <c r="I333" s="118">
        <f ca="1">IFERROR(__xludf.DUMMYFUNCTION("""COMPUTED_VALUE"""),6)</f>
        <v>6</v>
      </c>
      <c r="J333" s="118">
        <f ca="1">IFERROR(__xludf.DUMMYFUNCTION("""COMPUTED_VALUE"""),3)</f>
        <v>3</v>
      </c>
      <c r="K333" s="120">
        <f ca="1">IFERROR(__xludf.DUMMYFUNCTION("""COMPUTED_VALUE"""),81.3)</f>
        <v>81.3</v>
      </c>
      <c r="L333" s="121"/>
      <c r="M333" s="120">
        <f ca="1">IFERROR(__xludf.DUMMYFUNCTION("""COMPUTED_VALUE"""),81.3)</f>
        <v>81.3</v>
      </c>
      <c r="N333" s="121"/>
      <c r="O333" s="120"/>
      <c r="P333" s="122"/>
      <c r="Q333" s="123" t="str">
        <f ca="1">IFERROR(__xludf.DUMMYFUNCTION("""COMPUTED_VALUE"""),"Emma Fricke")</f>
        <v>Emma Fricke</v>
      </c>
      <c r="R333" s="123" t="str">
        <f ca="1">IFERROR(__xludf.DUMMYFUNCTION("""COMPUTED_VALUE"""),"Jeremy Chen")</f>
        <v>Jeremy Chen</v>
      </c>
      <c r="S333" s="123" t="str">
        <f ca="1">IFERROR(__xludf.DUMMYFUNCTION("""COMPUTED_VALUE"""),"Eima Riekse")</f>
        <v>Eima Riekse</v>
      </c>
      <c r="T333" s="123" t="str">
        <f ca="1">IFERROR(__xludf.DUMMYFUNCTION("""COMPUTED_VALUE"""),"Gara Kashakhi")</f>
        <v>Gara Kashakhi</v>
      </c>
    </row>
    <row r="334" spans="1:20" ht="13.8">
      <c r="A334" s="118" t="str">
        <f ca="1">IFERROR(__xludf.DUMMYFUNCTION("""COMPUTED_VALUE"""),"DH")</f>
        <v>DH</v>
      </c>
      <c r="B334" s="119" t="str">
        <f ca="1">IFERROR(__xludf.DUMMYFUNCTION("""COMPUTED_VALUE"""),"Elsa Jackson")</f>
        <v>Elsa Jackson</v>
      </c>
      <c r="C334" s="118">
        <f ca="1">IFERROR(__xludf.DUMMYFUNCTION("""COMPUTED_VALUE"""),11)</f>
        <v>11</v>
      </c>
      <c r="D334" s="118" t="str">
        <f ca="1">IFERROR(__xludf.DUMMYFUNCTION("""COMPUTED_VALUE"""),"G")</f>
        <v>G</v>
      </c>
      <c r="E334" s="118" t="str">
        <f ca="1">IFERROR(__xludf.DUMMYFUNCTION("""COMPUTED_VALUE"""),"J")</f>
        <v>J</v>
      </c>
      <c r="F334" s="118" t="str">
        <f ca="1">IFERROR(__xludf.DUMMYFUNCTION("""COMPUTED_VALUE"""),"I")</f>
        <v>I</v>
      </c>
      <c r="G334" s="118">
        <f ca="1">IFERROR(__xludf.DUMMYFUNCTION("""COMPUTED_VALUE"""),2)</f>
        <v>2</v>
      </c>
      <c r="H334" s="118" t="str">
        <f ca="1">IFERROR(__xludf.DUMMYFUNCTION("""COMPUTED_VALUE"""),"DH")</f>
        <v>DH</v>
      </c>
      <c r="I334" s="118">
        <f ca="1">IFERROR(__xludf.DUMMYFUNCTION("""COMPUTED_VALUE"""),6)</f>
        <v>6</v>
      </c>
      <c r="J334" s="118">
        <f ca="1">IFERROR(__xludf.DUMMYFUNCTION("""COMPUTED_VALUE"""),0)</f>
        <v>0</v>
      </c>
      <c r="K334" s="120"/>
      <c r="L334" s="121"/>
      <c r="M334" s="120"/>
      <c r="N334" s="121"/>
      <c r="O334" s="120"/>
      <c r="P334" s="122"/>
      <c r="Q334" s="123" t="str">
        <f ca="1">IFERROR(__xludf.DUMMYFUNCTION("""COMPUTED_VALUE"""),"Emma Hsai")</f>
        <v>Emma Hsai</v>
      </c>
      <c r="R334" s="123" t="str">
        <f ca="1">IFERROR(__xludf.DUMMYFUNCTION("""COMPUTED_VALUE"""),"Jimmy Cameron")</f>
        <v>Jimmy Cameron</v>
      </c>
      <c r="S334" s="123" t="str">
        <f ca="1">IFERROR(__xludf.DUMMYFUNCTION("""COMPUTED_VALUE"""),"Elaina Ryan")</f>
        <v>Elaina Ryan</v>
      </c>
      <c r="T334" s="123" t="str">
        <f ca="1">IFERROR(__xludf.DUMMYFUNCTION("""COMPUTED_VALUE"""),"Garrett Mansuy")</f>
        <v>Garrett Mansuy</v>
      </c>
    </row>
    <row r="335" spans="1:20" ht="13.8">
      <c r="A335" s="118" t="str">
        <f ca="1">IFERROR(__xludf.DUMMYFUNCTION("""COMPUTED_VALUE"""),"DH")</f>
        <v>DH</v>
      </c>
      <c r="B335" s="119" t="str">
        <f ca="1">IFERROR(__xludf.DUMMYFUNCTION("""COMPUTED_VALUE"""),"Hannah Robbins")</f>
        <v>Hannah Robbins</v>
      </c>
      <c r="C335" s="118">
        <f ca="1">IFERROR(__xludf.DUMMYFUNCTION("""COMPUTED_VALUE"""),12)</f>
        <v>12</v>
      </c>
      <c r="D335" s="118" t="str">
        <f ca="1">IFERROR(__xludf.DUMMYFUNCTION("""COMPUTED_VALUE"""),"G")</f>
        <v>G</v>
      </c>
      <c r="E335" s="118" t="str">
        <f ca="1">IFERROR(__xludf.DUMMYFUNCTION("""COMPUTED_VALUE"""),"J")</f>
        <v>J</v>
      </c>
      <c r="F335" s="118" t="str">
        <f ca="1">IFERROR(__xludf.DUMMYFUNCTION("""COMPUTED_VALUE"""),"I")</f>
        <v>I</v>
      </c>
      <c r="G335" s="118">
        <f ca="1">IFERROR(__xludf.DUMMYFUNCTION("""COMPUTED_VALUE"""),2)</f>
        <v>2</v>
      </c>
      <c r="H335" s="118" t="str">
        <f ca="1">IFERROR(__xludf.DUMMYFUNCTION("""COMPUTED_VALUE"""),"DH")</f>
        <v>DH</v>
      </c>
      <c r="I335" s="118">
        <f ca="1">IFERROR(__xludf.DUMMYFUNCTION("""COMPUTED_VALUE"""),6)</f>
        <v>6</v>
      </c>
      <c r="J335" s="118">
        <f ca="1">IFERROR(__xludf.DUMMYFUNCTION("""COMPUTED_VALUE"""),0)</f>
        <v>0</v>
      </c>
      <c r="K335" s="120"/>
      <c r="L335" s="121"/>
      <c r="M335" s="120"/>
      <c r="N335" s="121"/>
      <c r="O335" s="120"/>
      <c r="P335" s="122"/>
      <c r="Q335" s="123" t="str">
        <f ca="1">IFERROR(__xludf.DUMMYFUNCTION("""COMPUTED_VALUE"""),"Emma Kalfus")</f>
        <v>Emma Kalfus</v>
      </c>
      <c r="R335" s="123" t="str">
        <f ca="1">IFERROR(__xludf.DUMMYFUNCTION("""COMPUTED_VALUE"""),"JJ Snyder")</f>
        <v>JJ Snyder</v>
      </c>
      <c r="S335" s="123" t="str">
        <f ca="1">IFERROR(__xludf.DUMMYFUNCTION("""COMPUTED_VALUE"""),"Elanor Fitzgerald")</f>
        <v>Elanor Fitzgerald</v>
      </c>
      <c r="T335" s="123" t="str">
        <f ca="1">IFERROR(__xludf.DUMMYFUNCTION("""COMPUTED_VALUE"""),"Garrett Simonsen")</f>
        <v>Garrett Simonsen</v>
      </c>
    </row>
    <row r="336" spans="1:20" ht="13.8">
      <c r="A336" s="118" t="str">
        <f ca="1">IFERROR(__xludf.DUMMYFUNCTION("""COMPUTED_VALUE"""),"DH")</f>
        <v>DH</v>
      </c>
      <c r="B336" s="119" t="str">
        <f ca="1">IFERROR(__xludf.DUMMYFUNCTION("""COMPUTED_VALUE"""),"Helen Butler")</f>
        <v>Helen Butler</v>
      </c>
      <c r="C336" s="118">
        <f ca="1">IFERROR(__xludf.DUMMYFUNCTION("""COMPUTED_VALUE"""),12)</f>
        <v>12</v>
      </c>
      <c r="D336" s="118" t="str">
        <f ca="1">IFERROR(__xludf.DUMMYFUNCTION("""COMPUTED_VALUE"""),"G")</f>
        <v>G</v>
      </c>
      <c r="E336" s="118" t="str">
        <f ca="1">IFERROR(__xludf.DUMMYFUNCTION("""COMPUTED_VALUE"""),"J")</f>
        <v>J</v>
      </c>
      <c r="F336" s="118" t="str">
        <f ca="1">IFERROR(__xludf.DUMMYFUNCTION("""COMPUTED_VALUE"""),"I")</f>
        <v>I</v>
      </c>
      <c r="G336" s="118">
        <f ca="1">IFERROR(__xludf.DUMMYFUNCTION("""COMPUTED_VALUE"""),2)</f>
        <v>2</v>
      </c>
      <c r="H336" s="118" t="str">
        <f ca="1">IFERROR(__xludf.DUMMYFUNCTION("""COMPUTED_VALUE"""),"DH")</f>
        <v>DH</v>
      </c>
      <c r="I336" s="118">
        <f ca="1">IFERROR(__xludf.DUMMYFUNCTION("""COMPUTED_VALUE"""),6)</f>
        <v>6</v>
      </c>
      <c r="J336" s="118">
        <f ca="1">IFERROR(__xludf.DUMMYFUNCTION("""COMPUTED_VALUE"""),3)</f>
        <v>3</v>
      </c>
      <c r="K336" s="120">
        <f ca="1">IFERROR(__xludf.DUMMYFUNCTION("""COMPUTED_VALUE"""),109.4)</f>
        <v>109.4</v>
      </c>
      <c r="L336" s="121"/>
      <c r="M336" s="120">
        <f ca="1">IFERROR(__xludf.DUMMYFUNCTION("""COMPUTED_VALUE"""),109.4)</f>
        <v>109.4</v>
      </c>
      <c r="N336" s="121"/>
      <c r="O336" s="120">
        <f ca="1">IFERROR(__xludf.DUMMYFUNCTION("""COMPUTED_VALUE"""),95.2)</f>
        <v>95.2</v>
      </c>
      <c r="P336" s="122"/>
      <c r="Q336" s="123" t="str">
        <f ca="1">IFERROR(__xludf.DUMMYFUNCTION("""COMPUTED_VALUE"""),"Emma Khuc")</f>
        <v>Emma Khuc</v>
      </c>
      <c r="R336" s="123" t="str">
        <f ca="1">IFERROR(__xludf.DUMMYFUNCTION("""COMPUTED_VALUE"""),"Joe Mathieson")</f>
        <v>Joe Mathieson</v>
      </c>
      <c r="S336" s="123" t="str">
        <f ca="1">IFERROR(__xludf.DUMMYFUNCTION("""COMPUTED_VALUE"""),"Elayna Cogert")</f>
        <v>Elayna Cogert</v>
      </c>
      <c r="T336" s="123" t="str">
        <f ca="1">IFERROR(__xludf.DUMMYFUNCTION("""COMPUTED_VALUE"""),"Garrison Glasford")</f>
        <v>Garrison Glasford</v>
      </c>
    </row>
    <row r="337" spans="1:20" ht="13.8">
      <c r="A337" s="118" t="str">
        <f ca="1">IFERROR(__xludf.DUMMYFUNCTION("""COMPUTED_VALUE"""),"DH")</f>
        <v>DH</v>
      </c>
      <c r="B337" s="119" t="str">
        <f ca="1">IFERROR(__xludf.DUMMYFUNCTION("""COMPUTED_VALUE"""),"Sofo Akiyama Sarmentero")</f>
        <v>Sofo Akiyama Sarmentero</v>
      </c>
      <c r="C337" s="118">
        <f ca="1">IFERROR(__xludf.DUMMYFUNCTION("""COMPUTED_VALUE"""),11)</f>
        <v>11</v>
      </c>
      <c r="D337" s="118" t="str">
        <f ca="1">IFERROR(__xludf.DUMMYFUNCTION("""COMPUTED_VALUE"""),"G")</f>
        <v>G</v>
      </c>
      <c r="E337" s="118" t="str">
        <f ca="1">IFERROR(__xludf.DUMMYFUNCTION("""COMPUTED_VALUE"""),"J")</f>
        <v>J</v>
      </c>
      <c r="F337" s="118" t="str">
        <f ca="1">IFERROR(__xludf.DUMMYFUNCTION("""COMPUTED_VALUE"""),"I")</f>
        <v>I</v>
      </c>
      <c r="G337" s="118">
        <f ca="1">IFERROR(__xludf.DUMMYFUNCTION("""COMPUTED_VALUE"""),2)</f>
        <v>2</v>
      </c>
      <c r="H337" s="118" t="str">
        <f ca="1">IFERROR(__xludf.DUMMYFUNCTION("""COMPUTED_VALUE"""),"DH")</f>
        <v>DH</v>
      </c>
      <c r="I337" s="118">
        <f ca="1">IFERROR(__xludf.DUMMYFUNCTION("""COMPUTED_VALUE"""),6)</f>
        <v>6</v>
      </c>
      <c r="J337" s="118">
        <f ca="1">IFERROR(__xludf.DUMMYFUNCTION("""COMPUTED_VALUE"""),0)</f>
        <v>0</v>
      </c>
      <c r="K337" s="120"/>
      <c r="L337" s="121"/>
      <c r="M337" s="120"/>
      <c r="N337" s="121"/>
      <c r="O337" s="120"/>
      <c r="P337" s="122"/>
      <c r="Q337" s="123" t="str">
        <f ca="1">IFERROR(__xludf.DUMMYFUNCTION("""COMPUTED_VALUE"""),"Emma Magness")</f>
        <v>Emma Magness</v>
      </c>
      <c r="R337" s="123" t="str">
        <f ca="1">IFERROR(__xludf.DUMMYFUNCTION("""COMPUTED_VALUE"""),"John Ahern")</f>
        <v>John Ahern</v>
      </c>
      <c r="S337" s="123" t="str">
        <f ca="1">IFERROR(__xludf.DUMMYFUNCTION("""COMPUTED_VALUE"""),"Eleanor Bermingham")</f>
        <v>Eleanor Bermingham</v>
      </c>
      <c r="T337" s="123" t="str">
        <f ca="1">IFERROR(__xludf.DUMMYFUNCTION("""COMPUTED_VALUE"""),"Gavan Nasr")</f>
        <v>Gavan Nasr</v>
      </c>
    </row>
    <row r="338" spans="1:20" ht="13.8">
      <c r="A338" s="118" t="str">
        <f ca="1">IFERROR(__xludf.DUMMYFUNCTION("""COMPUTED_VALUE"""),"DH")</f>
        <v>DH</v>
      </c>
      <c r="B338" s="119" t="str">
        <f ca="1">IFERROR(__xludf.DUMMYFUNCTION("""COMPUTED_VALUE"""),"Ben Panko")</f>
        <v>Ben Panko</v>
      </c>
      <c r="C338" s="118">
        <f ca="1">IFERROR(__xludf.DUMMYFUNCTION("""COMPUTED_VALUE"""),12)</f>
        <v>12</v>
      </c>
      <c r="D338" s="118" t="str">
        <f ca="1">IFERROR(__xludf.DUMMYFUNCTION("""COMPUTED_VALUE"""),"B")</f>
        <v>B</v>
      </c>
      <c r="E338" s="118" t="str">
        <f ca="1">IFERROR(__xludf.DUMMYFUNCTION("""COMPUTED_VALUE"""),"J")</f>
        <v>J</v>
      </c>
      <c r="F338" s="118" t="str">
        <f ca="1">IFERROR(__xludf.DUMMYFUNCTION("""COMPUTED_VALUE"""),"I")</f>
        <v>I</v>
      </c>
      <c r="G338" s="118">
        <f ca="1">IFERROR(__xludf.DUMMYFUNCTION("""COMPUTED_VALUE"""),2)</f>
        <v>2</v>
      </c>
      <c r="H338" s="118" t="str">
        <f ca="1">IFERROR(__xludf.DUMMYFUNCTION("""COMPUTED_VALUE"""),"DH")</f>
        <v>DH</v>
      </c>
      <c r="I338" s="118">
        <f ca="1">IFERROR(__xludf.DUMMYFUNCTION("""COMPUTED_VALUE"""),7)</f>
        <v>7</v>
      </c>
      <c r="J338" s="118">
        <f ca="1">IFERROR(__xludf.DUMMYFUNCTION("""COMPUTED_VALUE"""),4)</f>
        <v>4</v>
      </c>
      <c r="K338" s="120">
        <f ca="1">IFERROR(__xludf.DUMMYFUNCTION("""COMPUTED_VALUE"""),71.15)</f>
        <v>71.150000000000006</v>
      </c>
      <c r="L338" s="121"/>
      <c r="M338" s="120">
        <f ca="1">IFERROR(__xludf.DUMMYFUNCTION("""COMPUTED_VALUE"""),64.85)</f>
        <v>64.849999999999994</v>
      </c>
      <c r="N338" s="121"/>
      <c r="O338" s="120"/>
      <c r="P338" s="122"/>
      <c r="Q338" s="123" t="str">
        <f ca="1">IFERROR(__xludf.DUMMYFUNCTION("""COMPUTED_VALUE"""),"Emma Perkins")</f>
        <v>Emma Perkins</v>
      </c>
      <c r="R338" s="123" t="str">
        <f ca="1">IFERROR(__xludf.DUMMYFUNCTION("""COMPUTED_VALUE"""),"John Bentson")</f>
        <v>John Bentson</v>
      </c>
      <c r="S338" s="123" t="str">
        <f ca="1">IFERROR(__xludf.DUMMYFUNCTION("""COMPUTED_VALUE"""),"Eleanor Brown")</f>
        <v>Eleanor Brown</v>
      </c>
      <c r="T338" s="123" t="str">
        <f ca="1">IFERROR(__xludf.DUMMYFUNCTION("""COMPUTED_VALUE"""),"Gavin Benone")</f>
        <v>Gavin Benone</v>
      </c>
    </row>
    <row r="339" spans="1:20" ht="13.8">
      <c r="A339" s="118" t="str">
        <f ca="1">IFERROR(__xludf.DUMMYFUNCTION("""COMPUTED_VALUE"""),"DH")</f>
        <v>DH</v>
      </c>
      <c r="B339" s="119" t="str">
        <f ca="1">IFERROR(__xludf.DUMMYFUNCTION("""COMPUTED_VALUE"""),"Eammon Bownas")</f>
        <v>Eammon Bownas</v>
      </c>
      <c r="C339" s="118">
        <f ca="1">IFERROR(__xludf.DUMMYFUNCTION("""COMPUTED_VALUE"""),11)</f>
        <v>11</v>
      </c>
      <c r="D339" s="118" t="str">
        <f ca="1">IFERROR(__xludf.DUMMYFUNCTION("""COMPUTED_VALUE"""),"B")</f>
        <v>B</v>
      </c>
      <c r="E339" s="118" t="str">
        <f ca="1">IFERROR(__xludf.DUMMYFUNCTION("""COMPUTED_VALUE"""),"J")</f>
        <v>J</v>
      </c>
      <c r="F339" s="118" t="str">
        <f ca="1">IFERROR(__xludf.DUMMYFUNCTION("""COMPUTED_VALUE"""),"I")</f>
        <v>I</v>
      </c>
      <c r="G339" s="118">
        <f ca="1">IFERROR(__xludf.DUMMYFUNCTION("""COMPUTED_VALUE"""),2)</f>
        <v>2</v>
      </c>
      <c r="H339" s="118" t="str">
        <f ca="1">IFERROR(__xludf.DUMMYFUNCTION("""COMPUTED_VALUE"""),"DH")</f>
        <v>DH</v>
      </c>
      <c r="I339" s="118">
        <f ca="1">IFERROR(__xludf.DUMMYFUNCTION("""COMPUTED_VALUE"""),7)</f>
        <v>7</v>
      </c>
      <c r="J339" s="118">
        <f ca="1">IFERROR(__xludf.DUMMYFUNCTION("""COMPUTED_VALUE"""),2)</f>
        <v>2</v>
      </c>
      <c r="K339" s="120">
        <f ca="1">IFERROR(__xludf.DUMMYFUNCTION("""COMPUTED_VALUE"""),61.2)</f>
        <v>61.2</v>
      </c>
      <c r="L339" s="121"/>
      <c r="M339" s="120">
        <f ca="1">IFERROR(__xludf.DUMMYFUNCTION("""COMPUTED_VALUE"""),61.2)</f>
        <v>61.2</v>
      </c>
      <c r="N339" s="121"/>
      <c r="O339" s="120">
        <f ca="1">IFERROR(__xludf.DUMMYFUNCTION("""COMPUTED_VALUE"""),49.55)</f>
        <v>49.55</v>
      </c>
      <c r="P339" s="122"/>
      <c r="Q339" s="123" t="str">
        <f ca="1">IFERROR(__xludf.DUMMYFUNCTION("""COMPUTED_VALUE"""),"Emma Phillips")</f>
        <v>Emma Phillips</v>
      </c>
      <c r="R339" s="123" t="str">
        <f ca="1">IFERROR(__xludf.DUMMYFUNCTION("""COMPUTED_VALUE"""),"John Berik")</f>
        <v>John Berik</v>
      </c>
      <c r="S339" s="123" t="str">
        <f ca="1">IFERROR(__xludf.DUMMYFUNCTION("""COMPUTED_VALUE"""),"Eleanor Chang")</f>
        <v>Eleanor Chang</v>
      </c>
      <c r="T339" s="123" t="str">
        <f ca="1">IFERROR(__xludf.DUMMYFUNCTION("""COMPUTED_VALUE"""),"Gavin Stiens")</f>
        <v>Gavin Stiens</v>
      </c>
    </row>
    <row r="340" spans="1:20" ht="13.8">
      <c r="A340" s="118" t="str">
        <f ca="1">IFERROR(__xludf.DUMMYFUNCTION("""COMPUTED_VALUE"""),"DH")</f>
        <v>DH</v>
      </c>
      <c r="B340" s="119" t="str">
        <f ca="1">IFERROR(__xludf.DUMMYFUNCTION("""COMPUTED_VALUE"""),"Franklin McShane")</f>
        <v>Franklin McShane</v>
      </c>
      <c r="C340" s="118">
        <f ca="1">IFERROR(__xludf.DUMMYFUNCTION("""COMPUTED_VALUE"""),11)</f>
        <v>11</v>
      </c>
      <c r="D340" s="118" t="str">
        <f ca="1">IFERROR(__xludf.DUMMYFUNCTION("""COMPUTED_VALUE"""),"B")</f>
        <v>B</v>
      </c>
      <c r="E340" s="118" t="str">
        <f ca="1">IFERROR(__xludf.DUMMYFUNCTION("""COMPUTED_VALUE"""),"J")</f>
        <v>J</v>
      </c>
      <c r="F340" s="118" t="str">
        <f ca="1">IFERROR(__xludf.DUMMYFUNCTION("""COMPUTED_VALUE"""),"I")</f>
        <v>I</v>
      </c>
      <c r="G340" s="118">
        <f ca="1">IFERROR(__xludf.DUMMYFUNCTION("""COMPUTED_VALUE"""),2)</f>
        <v>2</v>
      </c>
      <c r="H340" s="118" t="str">
        <f ca="1">IFERROR(__xludf.DUMMYFUNCTION("""COMPUTED_VALUE"""),"DH")</f>
        <v>DH</v>
      </c>
      <c r="I340" s="118">
        <f ca="1">IFERROR(__xludf.DUMMYFUNCTION("""COMPUTED_VALUE"""),7)</f>
        <v>7</v>
      </c>
      <c r="J340" s="118">
        <f ca="1">IFERROR(__xludf.DUMMYFUNCTION("""COMPUTED_VALUE"""),0)</f>
        <v>0</v>
      </c>
      <c r="K340" s="120"/>
      <c r="L340" s="121"/>
      <c r="M340" s="120"/>
      <c r="N340" s="121"/>
      <c r="O340" s="120"/>
      <c r="P340" s="122"/>
      <c r="Q340" s="123" t="str">
        <f ca="1">IFERROR(__xludf.DUMMYFUNCTION("""COMPUTED_VALUE"""),"Emma Radich")</f>
        <v>Emma Radich</v>
      </c>
      <c r="R340" s="123" t="str">
        <f ca="1">IFERROR(__xludf.DUMMYFUNCTION("""COMPUTED_VALUE"""),"John McKenzie")</f>
        <v>John McKenzie</v>
      </c>
      <c r="S340" s="123" t="str">
        <f ca="1">IFERROR(__xludf.DUMMYFUNCTION("""COMPUTED_VALUE"""),"Eleanor Connolly")</f>
        <v>Eleanor Connolly</v>
      </c>
      <c r="T340" s="123" t="str">
        <f ca="1">IFERROR(__xludf.DUMMYFUNCTION("""COMPUTED_VALUE"""),"George Broido")</f>
        <v>George Broido</v>
      </c>
    </row>
    <row r="341" spans="1:20" ht="13.8">
      <c r="A341" s="118" t="str">
        <f ca="1">IFERROR(__xludf.DUMMYFUNCTION("""COMPUTED_VALUE"""),"DH")</f>
        <v>DH</v>
      </c>
      <c r="B341" s="119" t="str">
        <f ca="1">IFERROR(__xludf.DUMMYFUNCTION("""COMPUTED_VALUE"""),"Ian Bradley")</f>
        <v>Ian Bradley</v>
      </c>
      <c r="C341" s="118">
        <f ca="1">IFERROR(__xludf.DUMMYFUNCTION("""COMPUTED_VALUE"""),12)</f>
        <v>12</v>
      </c>
      <c r="D341" s="118" t="str">
        <f ca="1">IFERROR(__xludf.DUMMYFUNCTION("""COMPUTED_VALUE"""),"B")</f>
        <v>B</v>
      </c>
      <c r="E341" s="118" t="str">
        <f ca="1">IFERROR(__xludf.DUMMYFUNCTION("""COMPUTED_VALUE"""),"J")</f>
        <v>J</v>
      </c>
      <c r="F341" s="118" t="str">
        <f ca="1">IFERROR(__xludf.DUMMYFUNCTION("""COMPUTED_VALUE"""),"I")</f>
        <v>I</v>
      </c>
      <c r="G341" s="118">
        <f ca="1">IFERROR(__xludf.DUMMYFUNCTION("""COMPUTED_VALUE"""),2)</f>
        <v>2</v>
      </c>
      <c r="H341" s="118" t="str">
        <f ca="1">IFERROR(__xludf.DUMMYFUNCTION("""COMPUTED_VALUE"""),"DH")</f>
        <v>DH</v>
      </c>
      <c r="I341" s="118">
        <f ca="1">IFERROR(__xludf.DUMMYFUNCTION("""COMPUTED_VALUE"""),7)</f>
        <v>7</v>
      </c>
      <c r="J341" s="118">
        <f ca="1">IFERROR(__xludf.DUMMYFUNCTION("""COMPUTED_VALUE"""),5)</f>
        <v>5</v>
      </c>
      <c r="K341" s="120">
        <f ca="1">IFERROR(__xludf.DUMMYFUNCTION("""COMPUTED_VALUE"""),72.85)</f>
        <v>72.849999999999994</v>
      </c>
      <c r="L341" s="121"/>
      <c r="M341" s="120">
        <f ca="1">IFERROR(__xludf.DUMMYFUNCTION("""COMPUTED_VALUE"""),48.75)</f>
        <v>48.75</v>
      </c>
      <c r="N341" s="121"/>
      <c r="O341" s="120">
        <f ca="1">IFERROR(__xludf.DUMMYFUNCTION("""COMPUTED_VALUE"""),55.65)</f>
        <v>55.65</v>
      </c>
      <c r="P341" s="122"/>
      <c r="Q341" s="123" t="str">
        <f ca="1">IFERROR(__xludf.DUMMYFUNCTION("""COMPUTED_VALUE"""),"Emma Richard")</f>
        <v>Emma Richard</v>
      </c>
      <c r="R341" s="123" t="str">
        <f ca="1">IFERROR(__xludf.DUMMYFUNCTION("""COMPUTED_VALUE"""),"John Nguyen")</f>
        <v>John Nguyen</v>
      </c>
      <c r="S341" s="123" t="str">
        <f ca="1">IFERROR(__xludf.DUMMYFUNCTION("""COMPUTED_VALUE"""),"Eleanor Dannen")</f>
        <v>Eleanor Dannen</v>
      </c>
      <c r="T341" s="123" t="str">
        <f ca="1">IFERROR(__xludf.DUMMYFUNCTION("""COMPUTED_VALUE"""),"George Janicke")</f>
        <v>George Janicke</v>
      </c>
    </row>
    <row r="342" spans="1:20" ht="13.8">
      <c r="A342" s="118" t="str">
        <f ca="1">IFERROR(__xludf.DUMMYFUNCTION("""COMPUTED_VALUE"""),"DH")</f>
        <v>DH</v>
      </c>
      <c r="B342" s="119" t="str">
        <f ca="1">IFERROR(__xludf.DUMMYFUNCTION("""COMPUTED_VALUE"""),"Jack Ferrill")</f>
        <v>Jack Ferrill</v>
      </c>
      <c r="C342" s="118">
        <f ca="1">IFERROR(__xludf.DUMMYFUNCTION("""COMPUTED_VALUE"""),12)</f>
        <v>12</v>
      </c>
      <c r="D342" s="118" t="str">
        <f ca="1">IFERROR(__xludf.DUMMYFUNCTION("""COMPUTED_VALUE"""),"B")</f>
        <v>B</v>
      </c>
      <c r="E342" s="118" t="str">
        <f ca="1">IFERROR(__xludf.DUMMYFUNCTION("""COMPUTED_VALUE"""),"J")</f>
        <v>J</v>
      </c>
      <c r="F342" s="118" t="str">
        <f ca="1">IFERROR(__xludf.DUMMYFUNCTION("""COMPUTED_VALUE"""),"I")</f>
        <v>I</v>
      </c>
      <c r="G342" s="118">
        <f ca="1">IFERROR(__xludf.DUMMYFUNCTION("""COMPUTED_VALUE"""),2)</f>
        <v>2</v>
      </c>
      <c r="H342" s="118" t="str">
        <f ca="1">IFERROR(__xludf.DUMMYFUNCTION("""COMPUTED_VALUE"""),"DH")</f>
        <v>DH</v>
      </c>
      <c r="I342" s="118">
        <f ca="1">IFERROR(__xludf.DUMMYFUNCTION("""COMPUTED_VALUE"""),7)</f>
        <v>7</v>
      </c>
      <c r="J342" s="118">
        <f ca="1">IFERROR(__xludf.DUMMYFUNCTION("""COMPUTED_VALUE"""),0)</f>
        <v>0</v>
      </c>
      <c r="K342" s="120"/>
      <c r="L342" s="121"/>
      <c r="M342" s="120"/>
      <c r="N342" s="121"/>
      <c r="O342" s="120"/>
      <c r="P342" s="122"/>
      <c r="Q342" s="123" t="str">
        <f ca="1">IFERROR(__xludf.DUMMYFUNCTION("""COMPUTED_VALUE"""),"Emma Strano")</f>
        <v>Emma Strano</v>
      </c>
      <c r="R342" s="123" t="str">
        <f ca="1">IFERROR(__xludf.DUMMYFUNCTION("""COMPUTED_VALUE"""),"John Richard")</f>
        <v>John Richard</v>
      </c>
      <c r="S342" s="123" t="str">
        <f ca="1">IFERROR(__xludf.DUMMYFUNCTION("""COMPUTED_VALUE"""),"Eleanor Edwards")</f>
        <v>Eleanor Edwards</v>
      </c>
      <c r="T342" s="123" t="str">
        <f ca="1">IFERROR(__xludf.DUMMYFUNCTION("""COMPUTED_VALUE"""),"George Miller")</f>
        <v>George Miller</v>
      </c>
    </row>
    <row r="343" spans="1:20" ht="13.8">
      <c r="A343" s="118" t="str">
        <f ca="1">IFERROR(__xludf.DUMMYFUNCTION("""COMPUTED_VALUE"""),"DH")</f>
        <v>DH</v>
      </c>
      <c r="B343" s="119" t="str">
        <f ca="1">IFERROR(__xludf.DUMMYFUNCTION("""COMPUTED_VALUE"""),"Joe Mathieson")</f>
        <v>Joe Mathieson</v>
      </c>
      <c r="C343" s="118">
        <f ca="1">IFERROR(__xludf.DUMMYFUNCTION("""COMPUTED_VALUE"""),12)</f>
        <v>12</v>
      </c>
      <c r="D343" s="118" t="str">
        <f ca="1">IFERROR(__xludf.DUMMYFUNCTION("""COMPUTED_VALUE"""),"B")</f>
        <v>B</v>
      </c>
      <c r="E343" s="118" t="str">
        <f ca="1">IFERROR(__xludf.DUMMYFUNCTION("""COMPUTED_VALUE"""),"J")</f>
        <v>J</v>
      </c>
      <c r="F343" s="118" t="str">
        <f ca="1">IFERROR(__xludf.DUMMYFUNCTION("""COMPUTED_VALUE"""),"I")</f>
        <v>I</v>
      </c>
      <c r="G343" s="118">
        <f ca="1">IFERROR(__xludf.DUMMYFUNCTION("""COMPUTED_VALUE"""),2)</f>
        <v>2</v>
      </c>
      <c r="H343" s="118" t="str">
        <f ca="1">IFERROR(__xludf.DUMMYFUNCTION("""COMPUTED_VALUE"""),"DH")</f>
        <v>DH</v>
      </c>
      <c r="I343" s="118">
        <f ca="1">IFERROR(__xludf.DUMMYFUNCTION("""COMPUTED_VALUE"""),7)</f>
        <v>7</v>
      </c>
      <c r="J343" s="118">
        <f ca="1">IFERROR(__xludf.DUMMYFUNCTION("""COMPUTED_VALUE"""),3)</f>
        <v>3</v>
      </c>
      <c r="K343" s="120">
        <f ca="1">IFERROR(__xludf.DUMMYFUNCTION("""COMPUTED_VALUE"""),91.45)</f>
        <v>91.45</v>
      </c>
      <c r="L343" s="121"/>
      <c r="M343" s="120"/>
      <c r="N343" s="121"/>
      <c r="O343" s="120">
        <f ca="1">IFERROR(__xludf.DUMMYFUNCTION("""COMPUTED_VALUE"""),-99.55)</f>
        <v>-99.55</v>
      </c>
      <c r="P343" s="122"/>
      <c r="Q343" s="123" t="str">
        <f ca="1">IFERROR(__xludf.DUMMYFUNCTION("""COMPUTED_VALUE"""),"Emma Tkacz")</f>
        <v>Emma Tkacz</v>
      </c>
      <c r="R343" s="123" t="str">
        <f ca="1">IFERROR(__xludf.DUMMYFUNCTION("""COMPUTED_VALUE"""),"John Tarr")</f>
        <v>John Tarr</v>
      </c>
      <c r="S343" s="123" t="str">
        <f ca="1">IFERROR(__xludf.DUMMYFUNCTION("""COMPUTED_VALUE"""),"Eleanor Goehring")</f>
        <v>Eleanor Goehring</v>
      </c>
      <c r="T343" s="123" t="str">
        <f ca="1">IFERROR(__xludf.DUMMYFUNCTION("""COMPUTED_VALUE"""),"George Root")</f>
        <v>George Root</v>
      </c>
    </row>
    <row r="344" spans="1:20" ht="13.8">
      <c r="A344" s="118" t="str">
        <f ca="1">IFERROR(__xludf.DUMMYFUNCTION("""COMPUTED_VALUE"""),"DH")</f>
        <v>DH</v>
      </c>
      <c r="B344" s="119" t="str">
        <f ca="1">IFERROR(__xludf.DUMMYFUNCTION("""COMPUTED_VALUE"""),"John Bentson")</f>
        <v>John Bentson</v>
      </c>
      <c r="C344" s="118">
        <f ca="1">IFERROR(__xludf.DUMMYFUNCTION("""COMPUTED_VALUE"""),11)</f>
        <v>11</v>
      </c>
      <c r="D344" s="118" t="str">
        <f ca="1">IFERROR(__xludf.DUMMYFUNCTION("""COMPUTED_VALUE"""),"B")</f>
        <v>B</v>
      </c>
      <c r="E344" s="118" t="str">
        <f ca="1">IFERROR(__xludf.DUMMYFUNCTION("""COMPUTED_VALUE"""),"J")</f>
        <v>J</v>
      </c>
      <c r="F344" s="118" t="str">
        <f ca="1">IFERROR(__xludf.DUMMYFUNCTION("""COMPUTED_VALUE"""),"I")</f>
        <v>I</v>
      </c>
      <c r="G344" s="118">
        <f ca="1">IFERROR(__xludf.DUMMYFUNCTION("""COMPUTED_VALUE"""),2)</f>
        <v>2</v>
      </c>
      <c r="H344" s="118" t="str">
        <f ca="1">IFERROR(__xludf.DUMMYFUNCTION("""COMPUTED_VALUE"""),"DH")</f>
        <v>DH</v>
      </c>
      <c r="I344" s="118">
        <f ca="1">IFERROR(__xludf.DUMMYFUNCTION("""COMPUTED_VALUE"""),7)</f>
        <v>7</v>
      </c>
      <c r="J344" s="118">
        <f ca="1">IFERROR(__xludf.DUMMYFUNCTION("""COMPUTED_VALUE"""),0)</f>
        <v>0</v>
      </c>
      <c r="K344" s="120"/>
      <c r="L344" s="121"/>
      <c r="M344" s="120"/>
      <c r="N344" s="121"/>
      <c r="O344" s="120"/>
      <c r="P344" s="122"/>
      <c r="Q344" s="123" t="str">
        <f ca="1">IFERROR(__xludf.DUMMYFUNCTION("""COMPUTED_VALUE"""),"Emma Whaley")</f>
        <v>Emma Whaley</v>
      </c>
      <c r="R344" s="123" t="str">
        <f ca="1">IFERROR(__xludf.DUMMYFUNCTION("""COMPUTED_VALUE"""),"Jonah Engle")</f>
        <v>Jonah Engle</v>
      </c>
      <c r="S344" s="123" t="str">
        <f ca="1">IFERROR(__xludf.DUMMYFUNCTION("""COMPUTED_VALUE"""),"Eleanor Howell")</f>
        <v>Eleanor Howell</v>
      </c>
      <c r="T344" s="123" t="str">
        <f ca="1">IFERROR(__xludf.DUMMYFUNCTION("""COMPUTED_VALUE"""),"Gianluca Bucelli")</f>
        <v>Gianluca Bucelli</v>
      </c>
    </row>
    <row r="345" spans="1:20" ht="13.8">
      <c r="A345" s="118" t="str">
        <f ca="1">IFERROR(__xludf.DUMMYFUNCTION("""COMPUTED_VALUE"""),"DH")</f>
        <v>DH</v>
      </c>
      <c r="B345" s="119" t="str">
        <f ca="1">IFERROR(__xludf.DUMMYFUNCTION("""COMPUTED_VALUE"""),"John Richard")</f>
        <v>John Richard</v>
      </c>
      <c r="C345" s="118">
        <f ca="1">IFERROR(__xludf.DUMMYFUNCTION("""COMPUTED_VALUE"""),11)</f>
        <v>11</v>
      </c>
      <c r="D345" s="118" t="str">
        <f ca="1">IFERROR(__xludf.DUMMYFUNCTION("""COMPUTED_VALUE"""),"B")</f>
        <v>B</v>
      </c>
      <c r="E345" s="118" t="str">
        <f ca="1">IFERROR(__xludf.DUMMYFUNCTION("""COMPUTED_VALUE"""),"J")</f>
        <v>J</v>
      </c>
      <c r="F345" s="118" t="str">
        <f ca="1">IFERROR(__xludf.DUMMYFUNCTION("""COMPUTED_VALUE"""),"I")</f>
        <v>I</v>
      </c>
      <c r="G345" s="118">
        <f ca="1">IFERROR(__xludf.DUMMYFUNCTION("""COMPUTED_VALUE"""),2)</f>
        <v>2</v>
      </c>
      <c r="H345" s="118" t="str">
        <f ca="1">IFERROR(__xludf.DUMMYFUNCTION("""COMPUTED_VALUE"""),"DH")</f>
        <v>DH</v>
      </c>
      <c r="I345" s="118">
        <f ca="1">IFERROR(__xludf.DUMMYFUNCTION("""COMPUTED_VALUE"""),7)</f>
        <v>7</v>
      </c>
      <c r="J345" s="118">
        <f ca="1">IFERROR(__xludf.DUMMYFUNCTION("""COMPUTED_VALUE"""),3)</f>
        <v>3</v>
      </c>
      <c r="K345" s="120">
        <f ca="1">IFERROR(__xludf.DUMMYFUNCTION("""COMPUTED_VALUE"""),80.35)</f>
        <v>80.349999999999994</v>
      </c>
      <c r="L345" s="121"/>
      <c r="M345" s="120"/>
      <c r="N345" s="121"/>
      <c r="O345" s="120"/>
      <c r="P345" s="122"/>
      <c r="Q345" s="123" t="str">
        <f ca="1">IFERROR(__xludf.DUMMYFUNCTION("""COMPUTED_VALUE"""),"Emma Wiedemann")</f>
        <v>Emma Wiedemann</v>
      </c>
      <c r="R345" s="123" t="str">
        <f ca="1">IFERROR(__xludf.DUMMYFUNCTION("""COMPUTED_VALUE"""),"Joseph Anderson")</f>
        <v>Joseph Anderson</v>
      </c>
      <c r="S345" s="123" t="str">
        <f ca="1">IFERROR(__xludf.DUMMYFUNCTION("""COMPUTED_VALUE"""),"Elena Johnson")</f>
        <v>Elena Johnson</v>
      </c>
      <c r="T345" s="123" t="str">
        <f ca="1">IFERROR(__xludf.DUMMYFUNCTION("""COMPUTED_VALUE"""),"Gibson Cagianesa")</f>
        <v>Gibson Cagianesa</v>
      </c>
    </row>
    <row r="346" spans="1:20" ht="13.8">
      <c r="A346" s="118" t="str">
        <f ca="1">IFERROR(__xludf.DUMMYFUNCTION("""COMPUTED_VALUE"""),"DH")</f>
        <v>DH</v>
      </c>
      <c r="B346" s="119" t="str">
        <f ca="1">IFERROR(__xludf.DUMMYFUNCTION("""COMPUTED_VALUE"""),"Jude Erickson")</f>
        <v>Jude Erickson</v>
      </c>
      <c r="C346" s="118">
        <f ca="1">IFERROR(__xludf.DUMMYFUNCTION("""COMPUTED_VALUE"""),12)</f>
        <v>12</v>
      </c>
      <c r="D346" s="118" t="str">
        <f ca="1">IFERROR(__xludf.DUMMYFUNCTION("""COMPUTED_VALUE"""),"B")</f>
        <v>B</v>
      </c>
      <c r="E346" s="118" t="str">
        <f ca="1">IFERROR(__xludf.DUMMYFUNCTION("""COMPUTED_VALUE"""),"J")</f>
        <v>J</v>
      </c>
      <c r="F346" s="118" t="str">
        <f ca="1">IFERROR(__xludf.DUMMYFUNCTION("""COMPUTED_VALUE"""),"I")</f>
        <v>I</v>
      </c>
      <c r="G346" s="118">
        <f ca="1">IFERROR(__xludf.DUMMYFUNCTION("""COMPUTED_VALUE"""),2)</f>
        <v>2</v>
      </c>
      <c r="H346" s="118" t="str">
        <f ca="1">IFERROR(__xludf.DUMMYFUNCTION("""COMPUTED_VALUE"""),"DH")</f>
        <v>DH</v>
      </c>
      <c r="I346" s="118">
        <f ca="1">IFERROR(__xludf.DUMMYFUNCTION("""COMPUTED_VALUE"""),7)</f>
        <v>7</v>
      </c>
      <c r="J346" s="118">
        <f ca="1">IFERROR(__xludf.DUMMYFUNCTION("""COMPUTED_VALUE"""),2)</f>
        <v>2</v>
      </c>
      <c r="K346" s="120">
        <f ca="1">IFERROR(__xludf.DUMMYFUNCTION("""COMPUTED_VALUE"""),55.5)</f>
        <v>55.5</v>
      </c>
      <c r="L346" s="121"/>
      <c r="M346" s="120"/>
      <c r="N346" s="121"/>
      <c r="O346" s="120"/>
      <c r="P346" s="122"/>
      <c r="Q346" s="123" t="str">
        <f ca="1">IFERROR(__xludf.DUMMYFUNCTION("""COMPUTED_VALUE"""),"Emme Bryce")</f>
        <v>Emme Bryce</v>
      </c>
      <c r="R346" s="123" t="str">
        <f ca="1">IFERROR(__xludf.DUMMYFUNCTION("""COMPUTED_VALUE"""),"Joseph Mosinski")</f>
        <v>Joseph Mosinski</v>
      </c>
      <c r="S346" s="123" t="str">
        <f ca="1">IFERROR(__xludf.DUMMYFUNCTION("""COMPUTED_VALUE"""),"Elena Scott")</f>
        <v>Elena Scott</v>
      </c>
      <c r="T346" s="123" t="str">
        <f ca="1">IFERROR(__xludf.DUMMYFUNCTION("""COMPUTED_VALUE"""),"Gio Flores")</f>
        <v>Gio Flores</v>
      </c>
    </row>
    <row r="347" spans="1:20" ht="13.8">
      <c r="A347" s="118" t="str">
        <f ca="1">IFERROR(__xludf.DUMMYFUNCTION("""COMPUTED_VALUE"""),"DH")</f>
        <v>DH</v>
      </c>
      <c r="B347" s="119" t="str">
        <f ca="1">IFERROR(__xludf.DUMMYFUNCTION("""COMPUTED_VALUE"""),"Lorenzo Hardin")</f>
        <v>Lorenzo Hardin</v>
      </c>
      <c r="C347" s="118">
        <f ca="1">IFERROR(__xludf.DUMMYFUNCTION("""COMPUTED_VALUE"""),12)</f>
        <v>12</v>
      </c>
      <c r="D347" s="118" t="str">
        <f ca="1">IFERROR(__xludf.DUMMYFUNCTION("""COMPUTED_VALUE"""),"B")</f>
        <v>B</v>
      </c>
      <c r="E347" s="118" t="str">
        <f ca="1">IFERROR(__xludf.DUMMYFUNCTION("""COMPUTED_VALUE"""),"J")</f>
        <v>J</v>
      </c>
      <c r="F347" s="118" t="str">
        <f ca="1">IFERROR(__xludf.DUMMYFUNCTION("""COMPUTED_VALUE"""),"I")</f>
        <v>I</v>
      </c>
      <c r="G347" s="118">
        <f ca="1">IFERROR(__xludf.DUMMYFUNCTION("""COMPUTED_VALUE"""),2)</f>
        <v>2</v>
      </c>
      <c r="H347" s="118" t="str">
        <f ca="1">IFERROR(__xludf.DUMMYFUNCTION("""COMPUTED_VALUE"""),"DH")</f>
        <v>DH</v>
      </c>
      <c r="I347" s="118">
        <f ca="1">IFERROR(__xludf.DUMMYFUNCTION("""COMPUTED_VALUE"""),7)</f>
        <v>7</v>
      </c>
      <c r="J347" s="118">
        <f ca="1">IFERROR(__xludf.DUMMYFUNCTION("""COMPUTED_VALUE"""),0)</f>
        <v>0</v>
      </c>
      <c r="K347" s="120"/>
      <c r="L347" s="121"/>
      <c r="M347" s="120"/>
      <c r="N347" s="121"/>
      <c r="O347" s="120"/>
      <c r="P347" s="122"/>
      <c r="Q347" s="123" t="str">
        <f ca="1">IFERROR(__xludf.DUMMYFUNCTION("""COMPUTED_VALUE"""),"Emme Guy")</f>
        <v>Emme Guy</v>
      </c>
      <c r="R347" s="123" t="str">
        <f ca="1">IFERROR(__xludf.DUMMYFUNCTION("""COMPUTED_VALUE"""),"Joseph Neumann")</f>
        <v>Joseph Neumann</v>
      </c>
      <c r="S347" s="123" t="str">
        <f ca="1">IFERROR(__xludf.DUMMYFUNCTION("""COMPUTED_VALUE"""),"Elia Mazerolle")</f>
        <v>Elia Mazerolle</v>
      </c>
      <c r="T347" s="123" t="str">
        <f ca="1">IFERROR(__xludf.DUMMYFUNCTION("""COMPUTED_VALUE"""),"Gordon Anderson")</f>
        <v>Gordon Anderson</v>
      </c>
    </row>
    <row r="348" spans="1:20" ht="13.8">
      <c r="A348" s="118" t="str">
        <f ca="1">IFERROR(__xludf.DUMMYFUNCTION("""COMPUTED_VALUE"""),"DH")</f>
        <v>DH</v>
      </c>
      <c r="B348" s="119" t="str">
        <f ca="1">IFERROR(__xludf.DUMMYFUNCTION("""COMPUTED_VALUE"""),"Toby Chen")</f>
        <v>Toby Chen</v>
      </c>
      <c r="C348" s="118">
        <f ca="1">IFERROR(__xludf.DUMMYFUNCTION("""COMPUTED_VALUE"""),11)</f>
        <v>11</v>
      </c>
      <c r="D348" s="118" t="str">
        <f ca="1">IFERROR(__xludf.DUMMYFUNCTION("""COMPUTED_VALUE"""),"B")</f>
        <v>B</v>
      </c>
      <c r="E348" s="118" t="str">
        <f ca="1">IFERROR(__xludf.DUMMYFUNCTION("""COMPUTED_VALUE"""),"J")</f>
        <v>J</v>
      </c>
      <c r="F348" s="118" t="str">
        <f ca="1">IFERROR(__xludf.DUMMYFUNCTION("""COMPUTED_VALUE"""),"I")</f>
        <v>I</v>
      </c>
      <c r="G348" s="118">
        <f ca="1">IFERROR(__xludf.DUMMYFUNCTION("""COMPUTED_VALUE"""),2)</f>
        <v>2</v>
      </c>
      <c r="H348" s="118" t="str">
        <f ca="1">IFERROR(__xludf.DUMMYFUNCTION("""COMPUTED_VALUE"""),"DH")</f>
        <v>DH</v>
      </c>
      <c r="I348" s="118">
        <f ca="1">IFERROR(__xludf.DUMMYFUNCTION("""COMPUTED_VALUE"""),7)</f>
        <v>7</v>
      </c>
      <c r="J348" s="118">
        <f ca="1">IFERROR(__xludf.DUMMYFUNCTION("""COMPUTED_VALUE"""),4)</f>
        <v>4</v>
      </c>
      <c r="K348" s="120">
        <f ca="1">IFERROR(__xludf.DUMMYFUNCTION("""COMPUTED_VALUE"""),102.4)</f>
        <v>102.4</v>
      </c>
      <c r="L348" s="121"/>
      <c r="M348" s="120">
        <f ca="1">IFERROR(__xludf.DUMMYFUNCTION("""COMPUTED_VALUE"""),102.4)</f>
        <v>102.4</v>
      </c>
      <c r="N348" s="121"/>
      <c r="O348" s="120">
        <f ca="1">IFERROR(__xludf.DUMMYFUNCTION("""COMPUTED_VALUE"""),89.65)</f>
        <v>89.65</v>
      </c>
      <c r="P348" s="122"/>
      <c r="Q348" s="123" t="str">
        <f ca="1">IFERROR(__xludf.DUMMYFUNCTION("""COMPUTED_VALUE"""),"Emme Waltrup")</f>
        <v>Emme Waltrup</v>
      </c>
      <c r="R348" s="123" t="str">
        <f ca="1">IFERROR(__xludf.DUMMYFUNCTION("""COMPUTED_VALUE"""),"Joseph Shlesinger")</f>
        <v>Joseph Shlesinger</v>
      </c>
      <c r="S348" s="123" t="str">
        <f ca="1">IFERROR(__xludf.DUMMYFUNCTION("""COMPUTED_VALUE"""),"Eliana Betteley")</f>
        <v>Eliana Betteley</v>
      </c>
      <c r="T348" s="123" t="str">
        <f ca="1">IFERROR(__xludf.DUMMYFUNCTION("""COMPUTED_VALUE"""),"Grady Kight")</f>
        <v>Grady Kight</v>
      </c>
    </row>
    <row r="349" spans="1:20" ht="13.8">
      <c r="A349" s="118" t="str">
        <f ca="1">IFERROR(__xludf.DUMMYFUNCTION("""COMPUTED_VALUE"""),"DH")</f>
        <v>DH</v>
      </c>
      <c r="B349" s="119" t="str">
        <f ca="1">IFERROR(__xludf.DUMMYFUNCTION("""COMPUTED_VALUE"""),"Clara Zelle James")</f>
        <v>Clara Zelle James</v>
      </c>
      <c r="C349" s="118">
        <f ca="1">IFERROR(__xludf.DUMMYFUNCTION("""COMPUTED_VALUE"""),14)</f>
        <v>14</v>
      </c>
      <c r="D349" s="118" t="str">
        <f ca="1">IFERROR(__xludf.DUMMYFUNCTION("""COMPUTED_VALUE"""),"G")</f>
        <v>G</v>
      </c>
      <c r="E349" s="118" t="str">
        <f ca="1">IFERROR(__xludf.DUMMYFUNCTION("""COMPUTED_VALUE"""),"I")</f>
        <v>I</v>
      </c>
      <c r="F349" s="118" t="str">
        <f ca="1">IFERROR(__xludf.DUMMYFUNCTION("""COMPUTED_VALUE"""),"S")</f>
        <v>S</v>
      </c>
      <c r="G349" s="118">
        <f ca="1">IFERROR(__xludf.DUMMYFUNCTION("""COMPUTED_VALUE"""),2)</f>
        <v>2</v>
      </c>
      <c r="H349" s="118" t="str">
        <f ca="1">IFERROR(__xludf.DUMMYFUNCTION("""COMPUTED_VALUE"""),"DH")</f>
        <v>DH</v>
      </c>
      <c r="I349" s="118">
        <f ca="1">IFERROR(__xludf.DUMMYFUNCTION("""COMPUTED_VALUE"""),8)</f>
        <v>8</v>
      </c>
      <c r="J349" s="118">
        <f ca="1">IFERROR(__xludf.DUMMYFUNCTION("""COMPUTED_VALUE"""),0)</f>
        <v>0</v>
      </c>
      <c r="K349" s="120"/>
      <c r="L349" s="121"/>
      <c r="M349" s="120"/>
      <c r="N349" s="121"/>
      <c r="O349" s="120"/>
      <c r="P349" s="122"/>
      <c r="Q349" s="123" t="str">
        <f ca="1">IFERROR(__xludf.DUMMYFUNCTION("""COMPUTED_VALUE"""),"Emmeline Boateng")</f>
        <v>Emmeline Boateng</v>
      </c>
      <c r="R349" s="123" t="str">
        <f ca="1">IFERROR(__xludf.DUMMYFUNCTION("""COMPUTED_VALUE"""),"Joseph Smith")</f>
        <v>Joseph Smith</v>
      </c>
      <c r="S349" s="123" t="str">
        <f ca="1">IFERROR(__xludf.DUMMYFUNCTION("""COMPUTED_VALUE"""),"Eliana Smith")</f>
        <v>Eliana Smith</v>
      </c>
      <c r="T349" s="123" t="str">
        <f ca="1">IFERROR(__xludf.DUMMYFUNCTION("""COMPUTED_VALUE"""),"Graham Benson")</f>
        <v>Graham Benson</v>
      </c>
    </row>
    <row r="350" spans="1:20" ht="13.8">
      <c r="A350" s="118" t="str">
        <f ca="1">IFERROR(__xludf.DUMMYFUNCTION("""COMPUTED_VALUE"""),"DH")</f>
        <v>DH</v>
      </c>
      <c r="B350" s="119" t="str">
        <f ca="1">IFERROR(__xludf.DUMMYFUNCTION("""COMPUTED_VALUE"""),"Hannah Ax")</f>
        <v>Hannah Ax</v>
      </c>
      <c r="C350" s="118">
        <f ca="1">IFERROR(__xludf.DUMMYFUNCTION("""COMPUTED_VALUE"""),14)</f>
        <v>14</v>
      </c>
      <c r="D350" s="118" t="str">
        <f ca="1">IFERROR(__xludf.DUMMYFUNCTION("""COMPUTED_VALUE"""),"G")</f>
        <v>G</v>
      </c>
      <c r="E350" s="118" t="str">
        <f ca="1">IFERROR(__xludf.DUMMYFUNCTION("""COMPUTED_VALUE"""),"I")</f>
        <v>I</v>
      </c>
      <c r="F350" s="118" t="str">
        <f ca="1">IFERROR(__xludf.DUMMYFUNCTION("""COMPUTED_VALUE"""),"S")</f>
        <v>S</v>
      </c>
      <c r="G350" s="118">
        <f ca="1">IFERROR(__xludf.DUMMYFUNCTION("""COMPUTED_VALUE"""),2)</f>
        <v>2</v>
      </c>
      <c r="H350" s="118" t="str">
        <f ca="1">IFERROR(__xludf.DUMMYFUNCTION("""COMPUTED_VALUE"""),"DH")</f>
        <v>DH</v>
      </c>
      <c r="I350" s="118">
        <f ca="1">IFERROR(__xludf.DUMMYFUNCTION("""COMPUTED_VALUE"""),8)</f>
        <v>8</v>
      </c>
      <c r="J350" s="118">
        <f ca="1">IFERROR(__xludf.DUMMYFUNCTION("""COMPUTED_VALUE"""),5)</f>
        <v>5</v>
      </c>
      <c r="K350" s="120">
        <f ca="1">IFERROR(__xludf.DUMMYFUNCTION("""COMPUTED_VALUE"""),131.3)</f>
        <v>131.30000000000001</v>
      </c>
      <c r="L350" s="121"/>
      <c r="M350" s="120">
        <f ca="1">IFERROR(__xludf.DUMMYFUNCTION("""COMPUTED_VALUE"""),130.75)</f>
        <v>130.75</v>
      </c>
      <c r="N350" s="121"/>
      <c r="O350" s="120">
        <f ca="1">IFERROR(__xludf.DUMMYFUNCTION("""COMPUTED_VALUE"""),120.8)</f>
        <v>120.8</v>
      </c>
      <c r="P350" s="122"/>
      <c r="Q350" s="123" t="str">
        <f ca="1">IFERROR(__xludf.DUMMYFUNCTION("""COMPUTED_VALUE"""),"Erin Dougherty")</f>
        <v>Erin Dougherty</v>
      </c>
      <c r="R350" s="123" t="str">
        <f ca="1">IFERROR(__xludf.DUMMYFUNCTION("""COMPUTED_VALUE"""),"Joseph Wright")</f>
        <v>Joseph Wright</v>
      </c>
      <c r="S350" s="123" t="str">
        <f ca="1">IFERROR(__xludf.DUMMYFUNCTION("""COMPUTED_VALUE"""),"Elin Geraghty")</f>
        <v>Elin Geraghty</v>
      </c>
      <c r="T350" s="123" t="str">
        <f ca="1">IFERROR(__xludf.DUMMYFUNCTION("""COMPUTED_VALUE"""),"Graham Evans")</f>
        <v>Graham Evans</v>
      </c>
    </row>
    <row r="351" spans="1:20" ht="13.8">
      <c r="A351" s="118" t="str">
        <f ca="1">IFERROR(__xludf.DUMMYFUNCTION("""COMPUTED_VALUE"""),"DH")</f>
        <v>DH</v>
      </c>
      <c r="B351" s="119" t="str">
        <f ca="1">IFERROR(__xludf.DUMMYFUNCTION("""COMPUTED_VALUE"""),"Hayden Shelton")</f>
        <v>Hayden Shelton</v>
      </c>
      <c r="C351" s="118">
        <f ca="1">IFERROR(__xludf.DUMMYFUNCTION("""COMPUTED_VALUE"""),14)</f>
        <v>14</v>
      </c>
      <c r="D351" s="118" t="str">
        <f ca="1">IFERROR(__xludf.DUMMYFUNCTION("""COMPUTED_VALUE"""),"G")</f>
        <v>G</v>
      </c>
      <c r="E351" s="118" t="str">
        <f ca="1">IFERROR(__xludf.DUMMYFUNCTION("""COMPUTED_VALUE"""),"I")</f>
        <v>I</v>
      </c>
      <c r="F351" s="118" t="str">
        <f ca="1">IFERROR(__xludf.DUMMYFUNCTION("""COMPUTED_VALUE"""),"S")</f>
        <v>S</v>
      </c>
      <c r="G351" s="118">
        <f ca="1">IFERROR(__xludf.DUMMYFUNCTION("""COMPUTED_VALUE"""),2)</f>
        <v>2</v>
      </c>
      <c r="H351" s="118" t="str">
        <f ca="1">IFERROR(__xludf.DUMMYFUNCTION("""COMPUTED_VALUE"""),"DH")</f>
        <v>DH</v>
      </c>
      <c r="I351" s="118">
        <f ca="1">IFERROR(__xludf.DUMMYFUNCTION("""COMPUTED_VALUE"""),8)</f>
        <v>8</v>
      </c>
      <c r="J351" s="118">
        <f ca="1">IFERROR(__xludf.DUMMYFUNCTION("""COMPUTED_VALUE"""),4)</f>
        <v>4</v>
      </c>
      <c r="K351" s="120">
        <f ca="1">IFERROR(__xludf.DUMMYFUNCTION("""COMPUTED_VALUE"""),78.7)</f>
        <v>78.7</v>
      </c>
      <c r="L351" s="121"/>
      <c r="M351" s="120"/>
      <c r="N351" s="121"/>
      <c r="O351" s="120">
        <f ca="1">IFERROR(__xludf.DUMMYFUNCTION("""COMPUTED_VALUE"""),58.6)</f>
        <v>58.6</v>
      </c>
      <c r="P351" s="122"/>
      <c r="Q351" s="123" t="str">
        <f ca="1">IFERROR(__xludf.DUMMYFUNCTION("""COMPUTED_VALUE"""),"Erin Edwards")</f>
        <v>Erin Edwards</v>
      </c>
      <c r="R351" s="123" t="str">
        <f ca="1">IFERROR(__xludf.DUMMYFUNCTION("""COMPUTED_VALUE"""),"Josh Hirsch")</f>
        <v>Josh Hirsch</v>
      </c>
      <c r="S351" s="123" t="str">
        <f ca="1">IFERROR(__xludf.DUMMYFUNCTION("""COMPUTED_VALUE"""),"Elin Temme")</f>
        <v>Elin Temme</v>
      </c>
      <c r="T351" s="123" t="str">
        <f ca="1">IFERROR(__xludf.DUMMYFUNCTION("""COMPUTED_VALUE"""),"Graham Smith")</f>
        <v>Graham Smith</v>
      </c>
    </row>
    <row r="352" spans="1:20" ht="13.8">
      <c r="A352" s="118" t="str">
        <f ca="1">IFERROR(__xludf.DUMMYFUNCTION("""COMPUTED_VALUE"""),"DH")</f>
        <v>DH</v>
      </c>
      <c r="B352" s="119" t="str">
        <f ca="1">IFERROR(__xludf.DUMMYFUNCTION("""COMPUTED_VALUE"""),"Shea Erickson")</f>
        <v>Shea Erickson</v>
      </c>
      <c r="C352" s="118">
        <f ca="1">IFERROR(__xludf.DUMMYFUNCTION("""COMPUTED_VALUE"""),13)</f>
        <v>13</v>
      </c>
      <c r="D352" s="118" t="str">
        <f ca="1">IFERROR(__xludf.DUMMYFUNCTION("""COMPUTED_VALUE"""),"G")</f>
        <v>G</v>
      </c>
      <c r="E352" s="118" t="str">
        <f ca="1">IFERROR(__xludf.DUMMYFUNCTION("""COMPUTED_VALUE"""),"I")</f>
        <v>I</v>
      </c>
      <c r="F352" s="118" t="str">
        <f ca="1">IFERROR(__xludf.DUMMYFUNCTION("""COMPUTED_VALUE"""),"S")</f>
        <v>S</v>
      </c>
      <c r="G352" s="118">
        <f ca="1">IFERROR(__xludf.DUMMYFUNCTION("""COMPUTED_VALUE"""),2)</f>
        <v>2</v>
      </c>
      <c r="H352" s="118" t="str">
        <f ca="1">IFERROR(__xludf.DUMMYFUNCTION("""COMPUTED_VALUE"""),"DH")</f>
        <v>DH</v>
      </c>
      <c r="I352" s="118">
        <f ca="1">IFERROR(__xludf.DUMMYFUNCTION("""COMPUTED_VALUE"""),8)</f>
        <v>8</v>
      </c>
      <c r="J352" s="118">
        <f ca="1">IFERROR(__xludf.DUMMYFUNCTION("""COMPUTED_VALUE"""),0)</f>
        <v>0</v>
      </c>
      <c r="K352" s="120"/>
      <c r="L352" s="121"/>
      <c r="M352" s="120"/>
      <c r="N352" s="121"/>
      <c r="O352" s="120"/>
      <c r="P352" s="122"/>
      <c r="Q352" s="123" t="str">
        <f ca="1">IFERROR(__xludf.DUMMYFUNCTION("""COMPUTED_VALUE"""),"Erin Lee")</f>
        <v>Erin Lee</v>
      </c>
      <c r="R352" s="123" t="str">
        <f ca="1">IFERROR(__xludf.DUMMYFUNCTION("""COMPUTED_VALUE"""),"Josh Themely")</f>
        <v>Josh Themely</v>
      </c>
      <c r="S352" s="123" t="str">
        <f ca="1">IFERROR(__xludf.DUMMYFUNCTION("""COMPUTED_VALUE"""),"Elisa Olson")</f>
        <v>Elisa Olson</v>
      </c>
      <c r="T352" s="123" t="str">
        <f ca="1">IFERROR(__xludf.DUMMYFUNCTION("""COMPUTED_VALUE"""),"Grant Burgess")</f>
        <v>Grant Burgess</v>
      </c>
    </row>
    <row r="353" spans="1:20" ht="13.8">
      <c r="A353" s="118" t="str">
        <f ca="1">IFERROR(__xludf.DUMMYFUNCTION("""COMPUTED_VALUE"""),"DH")</f>
        <v>DH</v>
      </c>
      <c r="B353" s="119" t="str">
        <f ca="1">IFERROR(__xludf.DUMMYFUNCTION("""COMPUTED_VALUE"""),"Charlie Morrison")</f>
        <v>Charlie Morrison</v>
      </c>
      <c r="C353" s="118">
        <f ca="1">IFERROR(__xludf.DUMMYFUNCTION("""COMPUTED_VALUE"""),14)</f>
        <v>14</v>
      </c>
      <c r="D353" s="118" t="str">
        <f ca="1">IFERROR(__xludf.DUMMYFUNCTION("""COMPUTED_VALUE"""),"B")</f>
        <v>B</v>
      </c>
      <c r="E353" s="118" t="str">
        <f ca="1">IFERROR(__xludf.DUMMYFUNCTION("""COMPUTED_VALUE"""),"I")</f>
        <v>I</v>
      </c>
      <c r="F353" s="118" t="str">
        <f ca="1">IFERROR(__xludf.DUMMYFUNCTION("""COMPUTED_VALUE"""),"S")</f>
        <v>S</v>
      </c>
      <c r="G353" s="118">
        <f ca="1">IFERROR(__xludf.DUMMYFUNCTION("""COMPUTED_VALUE"""),2)</f>
        <v>2</v>
      </c>
      <c r="H353" s="118" t="str">
        <f ca="1">IFERROR(__xludf.DUMMYFUNCTION("""COMPUTED_VALUE"""),"DH")</f>
        <v>DH</v>
      </c>
      <c r="I353" s="118">
        <f ca="1">IFERROR(__xludf.DUMMYFUNCTION("""COMPUTED_VALUE"""),9)</f>
        <v>9</v>
      </c>
      <c r="J353" s="118">
        <f ca="1">IFERROR(__xludf.DUMMYFUNCTION("""COMPUTED_VALUE"""),4)</f>
        <v>4</v>
      </c>
      <c r="K353" s="120">
        <f ca="1">IFERROR(__xludf.DUMMYFUNCTION("""COMPUTED_VALUE"""),180.9)</f>
        <v>180.9</v>
      </c>
      <c r="L353" s="121"/>
      <c r="M353" s="120">
        <f ca="1">IFERROR(__xludf.DUMMYFUNCTION("""COMPUTED_VALUE"""),180.9)</f>
        <v>180.9</v>
      </c>
      <c r="N353" s="121"/>
      <c r="O353" s="120"/>
      <c r="P353" s="122"/>
      <c r="Q353" s="123" t="str">
        <f ca="1">IFERROR(__xludf.DUMMYFUNCTION("""COMPUTED_VALUE"""),"Erin Martonik")</f>
        <v>Erin Martonik</v>
      </c>
      <c r="R353" s="123" t="str">
        <f ca="1">IFERROR(__xludf.DUMMYFUNCTION("""COMPUTED_VALUE"""),"JP Kissinger")</f>
        <v>JP Kissinger</v>
      </c>
      <c r="S353" s="123" t="str">
        <f ca="1">IFERROR(__xludf.DUMMYFUNCTION("""COMPUTED_VALUE"""),"Elise Esquivel")</f>
        <v>Elise Esquivel</v>
      </c>
      <c r="T353" s="123" t="str">
        <f ca="1">IFERROR(__xludf.DUMMYFUNCTION("""COMPUTED_VALUE"""),"Grant McClure")</f>
        <v>Grant McClure</v>
      </c>
    </row>
    <row r="354" spans="1:20" ht="13.8">
      <c r="A354" s="118" t="str">
        <f ca="1">IFERROR(__xludf.DUMMYFUNCTION("""COMPUTED_VALUE"""),"DH")</f>
        <v>DH</v>
      </c>
      <c r="B354" s="119" t="str">
        <f ca="1">IFERROR(__xludf.DUMMYFUNCTION("""COMPUTED_VALUE"""),"Christopher Crepeau")</f>
        <v>Christopher Crepeau</v>
      </c>
      <c r="C354" s="118">
        <f ca="1">IFERROR(__xludf.DUMMYFUNCTION("""COMPUTED_VALUE"""),13)</f>
        <v>13</v>
      </c>
      <c r="D354" s="118" t="str">
        <f ca="1">IFERROR(__xludf.DUMMYFUNCTION("""COMPUTED_VALUE"""),"B")</f>
        <v>B</v>
      </c>
      <c r="E354" s="118" t="str">
        <f ca="1">IFERROR(__xludf.DUMMYFUNCTION("""COMPUTED_VALUE"""),"I")</f>
        <v>I</v>
      </c>
      <c r="F354" s="118" t="str">
        <f ca="1">IFERROR(__xludf.DUMMYFUNCTION("""COMPUTED_VALUE"""),"S")</f>
        <v>S</v>
      </c>
      <c r="G354" s="118">
        <f ca="1">IFERROR(__xludf.DUMMYFUNCTION("""COMPUTED_VALUE"""),2)</f>
        <v>2</v>
      </c>
      <c r="H354" s="118" t="str">
        <f ca="1">IFERROR(__xludf.DUMMYFUNCTION("""COMPUTED_VALUE"""),"DH")</f>
        <v>DH</v>
      </c>
      <c r="I354" s="118">
        <f ca="1">IFERROR(__xludf.DUMMYFUNCTION("""COMPUTED_VALUE"""),9)</f>
        <v>9</v>
      </c>
      <c r="J354" s="118">
        <f ca="1">IFERROR(__xludf.DUMMYFUNCTION("""COMPUTED_VALUE"""),2)</f>
        <v>2</v>
      </c>
      <c r="K354" s="120">
        <f ca="1">IFERROR(__xludf.DUMMYFUNCTION("""COMPUTED_VALUE"""),81.1)</f>
        <v>81.099999999999994</v>
      </c>
      <c r="L354" s="121"/>
      <c r="M354" s="120"/>
      <c r="N354" s="121"/>
      <c r="O354" s="120"/>
      <c r="P354" s="122"/>
      <c r="Q354" s="123" t="str">
        <f ca="1">IFERROR(__xludf.DUMMYFUNCTION("""COMPUTED_VALUE"""),"Erin Pinchas")</f>
        <v>Erin Pinchas</v>
      </c>
      <c r="R354" s="123" t="str">
        <f ca="1">IFERROR(__xludf.DUMMYFUNCTION("""COMPUTED_VALUE"""),"Judah Stoltz")</f>
        <v>Judah Stoltz</v>
      </c>
      <c r="S354" s="123" t="str">
        <f ca="1">IFERROR(__xludf.DUMMYFUNCTION("""COMPUTED_VALUE"""),"Elise Wise")</f>
        <v>Elise Wise</v>
      </c>
      <c r="T354" s="123" t="str">
        <f ca="1">IFERROR(__xludf.DUMMYFUNCTION("""COMPUTED_VALUE"""),"Grant Mitchell")</f>
        <v>Grant Mitchell</v>
      </c>
    </row>
    <row r="355" spans="1:20" ht="13.8">
      <c r="A355" s="118" t="str">
        <f ca="1">IFERROR(__xludf.DUMMYFUNCTION("""COMPUTED_VALUE"""),"DH")</f>
        <v>DH</v>
      </c>
      <c r="B355" s="119" t="str">
        <f ca="1">IFERROR(__xludf.DUMMYFUNCTION("""COMPUTED_VALUE"""),"Logan DiBenigno")</f>
        <v>Logan DiBenigno</v>
      </c>
      <c r="C355" s="118">
        <f ca="1">IFERROR(__xludf.DUMMYFUNCTION("""COMPUTED_VALUE"""),13)</f>
        <v>13</v>
      </c>
      <c r="D355" s="118" t="str">
        <f ca="1">IFERROR(__xludf.DUMMYFUNCTION("""COMPUTED_VALUE"""),"B")</f>
        <v>B</v>
      </c>
      <c r="E355" s="118" t="str">
        <f ca="1">IFERROR(__xludf.DUMMYFUNCTION("""COMPUTED_VALUE"""),"I")</f>
        <v>I</v>
      </c>
      <c r="F355" s="118" t="str">
        <f ca="1">IFERROR(__xludf.DUMMYFUNCTION("""COMPUTED_VALUE"""),"S")</f>
        <v>S</v>
      </c>
      <c r="G355" s="118">
        <f ca="1">IFERROR(__xludf.DUMMYFUNCTION("""COMPUTED_VALUE"""),2)</f>
        <v>2</v>
      </c>
      <c r="H355" s="118" t="str">
        <f ca="1">IFERROR(__xludf.DUMMYFUNCTION("""COMPUTED_VALUE"""),"DH")</f>
        <v>DH</v>
      </c>
      <c r="I355" s="118">
        <f ca="1">IFERROR(__xludf.DUMMYFUNCTION("""COMPUTED_VALUE"""),9)</f>
        <v>9</v>
      </c>
      <c r="J355" s="118">
        <f ca="1">IFERROR(__xludf.DUMMYFUNCTION("""COMPUTED_VALUE"""),2)</f>
        <v>2</v>
      </c>
      <c r="K355" s="120">
        <f ca="1">IFERROR(__xludf.DUMMYFUNCTION("""COMPUTED_VALUE"""),105.35)</f>
        <v>105.35</v>
      </c>
      <c r="L355" s="121"/>
      <c r="M355" s="120"/>
      <c r="N355" s="121"/>
      <c r="O355" s="120"/>
      <c r="P355" s="122"/>
      <c r="Q355" s="123" t="str">
        <f ca="1">IFERROR(__xludf.DUMMYFUNCTION("""COMPUTED_VALUE"""),"Eris Carney")</f>
        <v>Eris Carney</v>
      </c>
      <c r="R355" s="123" t="str">
        <f ca="1">IFERROR(__xludf.DUMMYFUNCTION("""COMPUTED_VALUE"""),"Jude Erickson")</f>
        <v>Jude Erickson</v>
      </c>
      <c r="S355" s="123" t="str">
        <f ca="1">IFERROR(__xludf.DUMMYFUNCTION("""COMPUTED_VALUE"""),"Eliska Brown")</f>
        <v>Eliska Brown</v>
      </c>
      <c r="T355" s="123" t="str">
        <f ca="1">IFERROR(__xludf.DUMMYFUNCTION("""COMPUTED_VALUE"""),"Grant Scialpi")</f>
        <v>Grant Scialpi</v>
      </c>
    </row>
    <row r="356" spans="1:20" ht="13.8">
      <c r="A356" s="118" t="str">
        <f ca="1">IFERROR(__xludf.DUMMYFUNCTION("""COMPUTED_VALUE"""),"DH")</f>
        <v>DH</v>
      </c>
      <c r="B356" s="119" t="str">
        <f ca="1">IFERROR(__xludf.DUMMYFUNCTION("""COMPUTED_VALUE"""),"Ellie Joyce")</f>
        <v>Ellie Joyce</v>
      </c>
      <c r="C356" s="118">
        <f ca="1">IFERROR(__xludf.DUMMYFUNCTION("""COMPUTED_VALUE"""),18)</f>
        <v>18</v>
      </c>
      <c r="D356" s="118" t="str">
        <f ca="1">IFERROR(__xludf.DUMMYFUNCTION("""COMPUTED_VALUE"""),"G")</f>
        <v>G</v>
      </c>
      <c r="E356" s="118" t="str">
        <f ca="1">IFERROR(__xludf.DUMMYFUNCTION("""COMPUTED_VALUE"""),"S")</f>
        <v>S</v>
      </c>
      <c r="F356" s="118" t="str">
        <f ca="1">IFERROR(__xludf.DUMMYFUNCTION("""COMPUTED_VALUE"""),"S")</f>
        <v>S</v>
      </c>
      <c r="G356" s="118">
        <f ca="1">IFERROR(__xludf.DUMMYFUNCTION("""COMPUTED_VALUE"""),2)</f>
        <v>2</v>
      </c>
      <c r="H356" s="118" t="str">
        <f ca="1">IFERROR(__xludf.DUMMYFUNCTION("""COMPUTED_VALUE"""),"DH")</f>
        <v>DH</v>
      </c>
      <c r="I356" s="118">
        <f ca="1">IFERROR(__xludf.DUMMYFUNCTION("""COMPUTED_VALUE"""),10)</f>
        <v>10</v>
      </c>
      <c r="J356" s="118">
        <f ca="1">IFERROR(__xludf.DUMMYFUNCTION("""COMPUTED_VALUE"""),4)</f>
        <v>4</v>
      </c>
      <c r="K356" s="120">
        <f ca="1">IFERROR(__xludf.DUMMYFUNCTION("""COMPUTED_VALUE"""),234.55)</f>
        <v>234.55</v>
      </c>
      <c r="L356" s="121"/>
      <c r="M356" s="120"/>
      <c r="N356" s="121"/>
      <c r="O356" s="120">
        <f ca="1">IFERROR(__xludf.DUMMYFUNCTION("""COMPUTED_VALUE"""),225.1)</f>
        <v>225.1</v>
      </c>
      <c r="P356" s="122"/>
      <c r="Q356" s="123" t="str">
        <f ca="1">IFERROR(__xludf.DUMMYFUNCTION("""COMPUTED_VALUE"""),"Estelle Gianoli")</f>
        <v>Estelle Gianoli</v>
      </c>
      <c r="R356" s="123" t="str">
        <f ca="1">IFERROR(__xludf.DUMMYFUNCTION("""COMPUTED_VALUE"""),"Julian Brown")</f>
        <v>Julian Brown</v>
      </c>
      <c r="S356" s="123" t="str">
        <f ca="1">IFERROR(__xludf.DUMMYFUNCTION("""COMPUTED_VALUE"""),"Eliza Miller")</f>
        <v>Eliza Miller</v>
      </c>
      <c r="T356" s="123" t="str">
        <f ca="1">IFERROR(__xludf.DUMMYFUNCTION("""COMPUTED_VALUE"""),"Grant Thornton")</f>
        <v>Grant Thornton</v>
      </c>
    </row>
    <row r="357" spans="1:20" ht="13.8">
      <c r="A357" s="118" t="str">
        <f ca="1">IFERROR(__xludf.DUMMYFUNCTION("""COMPUTED_VALUE"""),"DH")</f>
        <v>DH</v>
      </c>
      <c r="B357" s="119" t="str">
        <f ca="1">IFERROR(__xludf.DUMMYFUNCTION("""COMPUTED_VALUE"""),"Leah Robbins")</f>
        <v>Leah Robbins</v>
      </c>
      <c r="C357" s="118">
        <f ca="1">IFERROR(__xludf.DUMMYFUNCTION("""COMPUTED_VALUE"""),16)</f>
        <v>16</v>
      </c>
      <c r="D357" s="118" t="str">
        <f ca="1">IFERROR(__xludf.DUMMYFUNCTION("""COMPUTED_VALUE"""),"G")</f>
        <v>G</v>
      </c>
      <c r="E357" s="118" t="str">
        <f ca="1">IFERROR(__xludf.DUMMYFUNCTION("""COMPUTED_VALUE"""),"S")</f>
        <v>S</v>
      </c>
      <c r="F357" s="118" t="str">
        <f ca="1">IFERROR(__xludf.DUMMYFUNCTION("""COMPUTED_VALUE"""),"S")</f>
        <v>S</v>
      </c>
      <c r="G357" s="118">
        <f ca="1">IFERROR(__xludf.DUMMYFUNCTION("""COMPUTED_VALUE"""),2)</f>
        <v>2</v>
      </c>
      <c r="H357" s="118" t="str">
        <f ca="1">IFERROR(__xludf.DUMMYFUNCTION("""COMPUTED_VALUE"""),"DH")</f>
        <v>DH</v>
      </c>
      <c r="I357" s="118">
        <f ca="1">IFERROR(__xludf.DUMMYFUNCTION("""COMPUTED_VALUE"""),10)</f>
        <v>10</v>
      </c>
      <c r="J357" s="118">
        <f ca="1">IFERROR(__xludf.DUMMYFUNCTION("""COMPUTED_VALUE"""),4)</f>
        <v>4</v>
      </c>
      <c r="K357" s="120">
        <f ca="1">IFERROR(__xludf.DUMMYFUNCTION("""COMPUTED_VALUE"""),134.5)</f>
        <v>134.5</v>
      </c>
      <c r="L357" s="121"/>
      <c r="M357" s="120"/>
      <c r="N357" s="121"/>
      <c r="O357" s="120">
        <f ca="1">IFERROR(__xludf.DUMMYFUNCTION("""COMPUTED_VALUE"""),84.35)</f>
        <v>84.35</v>
      </c>
      <c r="P357" s="122"/>
      <c r="Q357" s="123" t="str">
        <f ca="1">IFERROR(__xludf.DUMMYFUNCTION("""COMPUTED_VALUE"""),"Esther Dewhirst")</f>
        <v>Esther Dewhirst</v>
      </c>
      <c r="R357" s="123" t="str">
        <f ca="1">IFERROR(__xludf.DUMMYFUNCTION("""COMPUTED_VALUE"""),"Julian Castro")</f>
        <v>Julian Castro</v>
      </c>
      <c r="S357" s="123" t="str">
        <f ca="1">IFERROR(__xludf.DUMMYFUNCTION("""COMPUTED_VALUE"""),"Eliza Pollack")</f>
        <v>Eliza Pollack</v>
      </c>
      <c r="T357" s="123" t="str">
        <f ca="1">IFERROR(__xludf.DUMMYFUNCTION("""COMPUTED_VALUE"""),"Graysen Loftis")</f>
        <v>Graysen Loftis</v>
      </c>
    </row>
    <row r="358" spans="1:20" ht="13.8">
      <c r="A358" s="118" t="str">
        <f ca="1">IFERROR(__xludf.DUMMYFUNCTION("""COMPUTED_VALUE"""),"DH")</f>
        <v>DH</v>
      </c>
      <c r="B358" s="119" t="str">
        <f ca="1">IFERROR(__xludf.DUMMYFUNCTION("""COMPUTED_VALUE"""),"Morgan Shelton")</f>
        <v>Morgan Shelton</v>
      </c>
      <c r="C358" s="118">
        <f ca="1">IFERROR(__xludf.DUMMYFUNCTION("""COMPUTED_VALUE"""),16)</f>
        <v>16</v>
      </c>
      <c r="D358" s="118" t="str">
        <f ca="1">IFERROR(__xludf.DUMMYFUNCTION("""COMPUTED_VALUE"""),"G")</f>
        <v>G</v>
      </c>
      <c r="E358" s="118" t="str">
        <f ca="1">IFERROR(__xludf.DUMMYFUNCTION("""COMPUTED_VALUE"""),"S")</f>
        <v>S</v>
      </c>
      <c r="F358" s="118" t="str">
        <f ca="1">IFERROR(__xludf.DUMMYFUNCTION("""COMPUTED_VALUE"""),"S")</f>
        <v>S</v>
      </c>
      <c r="G358" s="118">
        <f ca="1">IFERROR(__xludf.DUMMYFUNCTION("""COMPUTED_VALUE"""),2)</f>
        <v>2</v>
      </c>
      <c r="H358" s="118" t="str">
        <f ca="1">IFERROR(__xludf.DUMMYFUNCTION("""COMPUTED_VALUE"""),"DH")</f>
        <v>DH</v>
      </c>
      <c r="I358" s="118">
        <f ca="1">IFERROR(__xludf.DUMMYFUNCTION("""COMPUTED_VALUE"""),10)</f>
        <v>10</v>
      </c>
      <c r="J358" s="118">
        <f ca="1">IFERROR(__xludf.DUMMYFUNCTION("""COMPUTED_VALUE"""),4)</f>
        <v>4</v>
      </c>
      <c r="K358" s="120">
        <f ca="1">IFERROR(__xludf.DUMMYFUNCTION("""COMPUTED_VALUE"""),122.7)</f>
        <v>122.7</v>
      </c>
      <c r="L358" s="121"/>
      <c r="M358" s="120">
        <f ca="1">IFERROR(__xludf.DUMMYFUNCTION("""COMPUTED_VALUE"""),113.95)</f>
        <v>113.95</v>
      </c>
      <c r="N358" s="121"/>
      <c r="O358" s="120">
        <f ca="1">IFERROR(__xludf.DUMMYFUNCTION("""COMPUTED_VALUE"""),100.4)</f>
        <v>100.4</v>
      </c>
      <c r="P358" s="122"/>
      <c r="Q358" s="123" t="str">
        <f ca="1">IFERROR(__xludf.DUMMYFUNCTION("""COMPUTED_VALUE"""),"Esther Nobles")</f>
        <v>Esther Nobles</v>
      </c>
      <c r="R358" s="123" t="str">
        <f ca="1">IFERROR(__xludf.DUMMYFUNCTION("""COMPUTED_VALUE"""),"Julian Medina-Keith")</f>
        <v>Julian Medina-Keith</v>
      </c>
      <c r="S358" s="123" t="str">
        <f ca="1">IFERROR(__xludf.DUMMYFUNCTION("""COMPUTED_VALUE"""),"Eliza Reece")</f>
        <v>Eliza Reece</v>
      </c>
      <c r="T358" s="123" t="str">
        <f ca="1">IFERROR(__xludf.DUMMYFUNCTION("""COMPUTED_VALUE"""),"Grayson DeMark")</f>
        <v>Grayson DeMark</v>
      </c>
    </row>
    <row r="359" spans="1:20" ht="13.8">
      <c r="A359" s="118" t="str">
        <f ca="1">IFERROR(__xludf.DUMMYFUNCTION("""COMPUTED_VALUE"""),"DH")</f>
        <v>DH</v>
      </c>
      <c r="B359" s="119" t="str">
        <f ca="1">IFERROR(__xludf.DUMMYFUNCTION("""COMPUTED_VALUE"""),"Olivia Tighe")</f>
        <v>Olivia Tighe</v>
      </c>
      <c r="C359" s="118">
        <f ca="1">IFERROR(__xludf.DUMMYFUNCTION("""COMPUTED_VALUE"""),15)</f>
        <v>15</v>
      </c>
      <c r="D359" s="118" t="str">
        <f ca="1">IFERROR(__xludf.DUMMYFUNCTION("""COMPUTED_VALUE"""),"G")</f>
        <v>G</v>
      </c>
      <c r="E359" s="118" t="str">
        <f ca="1">IFERROR(__xludf.DUMMYFUNCTION("""COMPUTED_VALUE"""),"S")</f>
        <v>S</v>
      </c>
      <c r="F359" s="118" t="str">
        <f ca="1">IFERROR(__xludf.DUMMYFUNCTION("""COMPUTED_VALUE"""),"S")</f>
        <v>S</v>
      </c>
      <c r="G359" s="118">
        <f ca="1">IFERROR(__xludf.DUMMYFUNCTION("""COMPUTED_VALUE"""),2)</f>
        <v>2</v>
      </c>
      <c r="H359" s="118" t="str">
        <f ca="1">IFERROR(__xludf.DUMMYFUNCTION("""COMPUTED_VALUE"""),"DH")</f>
        <v>DH</v>
      </c>
      <c r="I359" s="118">
        <f ca="1">IFERROR(__xludf.DUMMYFUNCTION("""COMPUTED_VALUE"""),10)</f>
        <v>10</v>
      </c>
      <c r="J359" s="118">
        <f ca="1">IFERROR(__xludf.DUMMYFUNCTION("""COMPUTED_VALUE"""),0)</f>
        <v>0</v>
      </c>
      <c r="K359" s="120"/>
      <c r="L359" s="121"/>
      <c r="M359" s="120"/>
      <c r="N359" s="121"/>
      <c r="O359" s="120"/>
      <c r="P359" s="122"/>
      <c r="Q359" s="123" t="str">
        <f ca="1">IFERROR(__xludf.DUMMYFUNCTION("""COMPUTED_VALUE"""),"Etain Heron")</f>
        <v>Etain Heron</v>
      </c>
      <c r="R359" s="123" t="str">
        <f ca="1">IFERROR(__xludf.DUMMYFUNCTION("""COMPUTED_VALUE"""),"Justin Jair")</f>
        <v>Justin Jair</v>
      </c>
      <c r="S359" s="123" t="str">
        <f ca="1">IFERROR(__xludf.DUMMYFUNCTION("""COMPUTED_VALUE"""),"Eliza Simms")</f>
        <v>Eliza Simms</v>
      </c>
      <c r="T359" s="123" t="str">
        <f ca="1">IFERROR(__xludf.DUMMYFUNCTION("""COMPUTED_VALUE"""),"Grayson Garcia")</f>
        <v>Grayson Garcia</v>
      </c>
    </row>
    <row r="360" spans="1:20" ht="13.8">
      <c r="A360" s="118" t="str">
        <f ca="1">IFERROR(__xludf.DUMMYFUNCTION("""COMPUTED_VALUE"""),"DH")</f>
        <v>DH</v>
      </c>
      <c r="B360" s="119" t="str">
        <f ca="1">IFERROR(__xludf.DUMMYFUNCTION("""COMPUTED_VALUE"""),"Paige Shelton")</f>
        <v>Paige Shelton</v>
      </c>
      <c r="C360" s="118">
        <f ca="1">IFERROR(__xludf.DUMMYFUNCTION("""COMPUTED_VALUE"""),17)</f>
        <v>17</v>
      </c>
      <c r="D360" s="118" t="str">
        <f ca="1">IFERROR(__xludf.DUMMYFUNCTION("""COMPUTED_VALUE"""),"G")</f>
        <v>G</v>
      </c>
      <c r="E360" s="118" t="str">
        <f ca="1">IFERROR(__xludf.DUMMYFUNCTION("""COMPUTED_VALUE"""),"S")</f>
        <v>S</v>
      </c>
      <c r="F360" s="118" t="str">
        <f ca="1">IFERROR(__xludf.DUMMYFUNCTION("""COMPUTED_VALUE"""),"S")</f>
        <v>S</v>
      </c>
      <c r="G360" s="118">
        <f ca="1">IFERROR(__xludf.DUMMYFUNCTION("""COMPUTED_VALUE"""),2)</f>
        <v>2</v>
      </c>
      <c r="H360" s="118" t="str">
        <f ca="1">IFERROR(__xludf.DUMMYFUNCTION("""COMPUTED_VALUE"""),"DH")</f>
        <v>DH</v>
      </c>
      <c r="I360" s="118">
        <f ca="1">IFERROR(__xludf.DUMMYFUNCTION("""COMPUTED_VALUE"""),10)</f>
        <v>10</v>
      </c>
      <c r="J360" s="118">
        <f ca="1">IFERROR(__xludf.DUMMYFUNCTION("""COMPUTED_VALUE"""),5)</f>
        <v>5</v>
      </c>
      <c r="K360" s="120">
        <f ca="1">IFERROR(__xludf.DUMMYFUNCTION("""COMPUTED_VALUE"""),126.9)</f>
        <v>126.9</v>
      </c>
      <c r="L360" s="121"/>
      <c r="M360" s="120">
        <f ca="1">IFERROR(__xludf.DUMMYFUNCTION("""COMPUTED_VALUE"""),120.15)</f>
        <v>120.15</v>
      </c>
      <c r="N360" s="121"/>
      <c r="O360" s="120">
        <f ca="1">IFERROR(__xludf.DUMMYFUNCTION("""COMPUTED_VALUE"""),92.9)</f>
        <v>92.9</v>
      </c>
      <c r="P360" s="122"/>
      <c r="Q360" s="123" t="str">
        <f ca="1">IFERROR(__xludf.DUMMYFUNCTION("""COMPUTED_VALUE"""),"Eva Buonforte")</f>
        <v>Eva Buonforte</v>
      </c>
      <c r="R360" s="123" t="str">
        <f ca="1">IFERROR(__xludf.DUMMYFUNCTION("""COMPUTED_VALUE"""),"Justin Kroopnick")</f>
        <v>Justin Kroopnick</v>
      </c>
      <c r="S360" s="123" t="str">
        <f ca="1">IFERROR(__xludf.DUMMYFUNCTION("""COMPUTED_VALUE"""),"Elizabeth Abels")</f>
        <v>Elizabeth Abels</v>
      </c>
      <c r="T360" s="123" t="str">
        <f ca="1">IFERROR(__xludf.DUMMYFUNCTION("""COMPUTED_VALUE"""),"Grayson Marsh")</f>
        <v>Grayson Marsh</v>
      </c>
    </row>
    <row r="361" spans="1:20" ht="13.8">
      <c r="A361" s="118" t="str">
        <f ca="1">IFERROR(__xludf.DUMMYFUNCTION("""COMPUTED_VALUE"""),"DH")</f>
        <v>DH</v>
      </c>
      <c r="B361" s="119" t="str">
        <f ca="1">IFERROR(__xludf.DUMMYFUNCTION("""COMPUTED_VALUE"""),"Charlie Gent")</f>
        <v>Charlie Gent</v>
      </c>
      <c r="C361" s="118">
        <f ca="1">IFERROR(__xludf.DUMMYFUNCTION("""COMPUTED_VALUE"""),16)</f>
        <v>16</v>
      </c>
      <c r="D361" s="118" t="str">
        <f ca="1">IFERROR(__xludf.DUMMYFUNCTION("""COMPUTED_VALUE"""),"B")</f>
        <v>B</v>
      </c>
      <c r="E361" s="118" t="str">
        <f ca="1">IFERROR(__xludf.DUMMYFUNCTION("""COMPUTED_VALUE"""),"S")</f>
        <v>S</v>
      </c>
      <c r="F361" s="118" t="str">
        <f ca="1">IFERROR(__xludf.DUMMYFUNCTION("""COMPUTED_VALUE"""),"S")</f>
        <v>S</v>
      </c>
      <c r="G361" s="118">
        <f ca="1">IFERROR(__xludf.DUMMYFUNCTION("""COMPUTED_VALUE"""),2)</f>
        <v>2</v>
      </c>
      <c r="H361" s="118" t="str">
        <f ca="1">IFERROR(__xludf.DUMMYFUNCTION("""COMPUTED_VALUE"""),"DH")</f>
        <v>DH</v>
      </c>
      <c r="I361" s="118">
        <f ca="1">IFERROR(__xludf.DUMMYFUNCTION("""COMPUTED_VALUE"""),11)</f>
        <v>11</v>
      </c>
      <c r="J361" s="118">
        <f ca="1">IFERROR(__xludf.DUMMYFUNCTION("""COMPUTED_VALUE"""),2)</f>
        <v>2</v>
      </c>
      <c r="K361" s="120">
        <f ca="1">IFERROR(__xludf.DUMMYFUNCTION("""COMPUTED_VALUE"""),161.4)</f>
        <v>161.4</v>
      </c>
      <c r="L361" s="121"/>
      <c r="M361" s="120">
        <f ca="1">IFERROR(__xludf.DUMMYFUNCTION("""COMPUTED_VALUE"""),161.4)</f>
        <v>161.4</v>
      </c>
      <c r="N361" s="121"/>
      <c r="O361" s="120"/>
      <c r="P361" s="122"/>
      <c r="Q361" s="123" t="str">
        <f ca="1">IFERROR(__xludf.DUMMYFUNCTION("""COMPUTED_VALUE"""),"Eva Negrelli")</f>
        <v>Eva Negrelli</v>
      </c>
      <c r="R361" s="123" t="str">
        <f ca="1">IFERROR(__xludf.DUMMYFUNCTION("""COMPUTED_VALUE"""),"Kai Boulter")</f>
        <v>Kai Boulter</v>
      </c>
      <c r="S361" s="123" t="str">
        <f ca="1">IFERROR(__xludf.DUMMYFUNCTION("""COMPUTED_VALUE"""),"Elizabeth Andrews")</f>
        <v>Elizabeth Andrews</v>
      </c>
      <c r="T361" s="123" t="str">
        <f ca="1">IFERROR(__xludf.DUMMYFUNCTION("""COMPUTED_VALUE"""),"Griffin Brown")</f>
        <v>Griffin Brown</v>
      </c>
    </row>
    <row r="362" spans="1:20" ht="13.8">
      <c r="A362" s="118" t="str">
        <f ca="1">IFERROR(__xludf.DUMMYFUNCTION("""COMPUTED_VALUE"""),"DH")</f>
        <v>DH</v>
      </c>
      <c r="B362" s="119" t="str">
        <f ca="1">IFERROR(__xludf.DUMMYFUNCTION("""COMPUTED_VALUE"""),"Joseph Nixon")</f>
        <v>Joseph Nixon</v>
      </c>
      <c r="C362" s="118">
        <f ca="1">IFERROR(__xludf.DUMMYFUNCTION("""COMPUTED_VALUE"""),18)</f>
        <v>18</v>
      </c>
      <c r="D362" s="118" t="str">
        <f ca="1">IFERROR(__xludf.DUMMYFUNCTION("""COMPUTED_VALUE"""),"B")</f>
        <v>B</v>
      </c>
      <c r="E362" s="118" t="str">
        <f ca="1">IFERROR(__xludf.DUMMYFUNCTION("""COMPUTED_VALUE"""),"S")</f>
        <v>S</v>
      </c>
      <c r="F362" s="118" t="str">
        <f ca="1">IFERROR(__xludf.DUMMYFUNCTION("""COMPUTED_VALUE"""),"S")</f>
        <v>S</v>
      </c>
      <c r="G362" s="118">
        <f ca="1">IFERROR(__xludf.DUMMYFUNCTION("""COMPUTED_VALUE"""),2)</f>
        <v>2</v>
      </c>
      <c r="H362" s="118" t="str">
        <f ca="1">IFERROR(__xludf.DUMMYFUNCTION("""COMPUTED_VALUE"""),"DH")</f>
        <v>DH</v>
      </c>
      <c r="I362" s="118">
        <f ca="1">IFERROR(__xludf.DUMMYFUNCTION("""COMPUTED_VALUE"""),11)</f>
        <v>11</v>
      </c>
      <c r="J362" s="118">
        <f ca="1">IFERROR(__xludf.DUMMYFUNCTION("""COMPUTED_VALUE"""),5)</f>
        <v>5</v>
      </c>
      <c r="K362" s="120">
        <f ca="1">IFERROR(__xludf.DUMMYFUNCTION("""COMPUTED_VALUE"""),147.35)</f>
        <v>147.35</v>
      </c>
      <c r="L362" s="121"/>
      <c r="M362" s="120">
        <f ca="1">IFERROR(__xludf.DUMMYFUNCTION("""COMPUTED_VALUE"""),142.65)</f>
        <v>142.65</v>
      </c>
      <c r="N362" s="121"/>
      <c r="O362" s="120">
        <f ca="1">IFERROR(__xludf.DUMMYFUNCTION("""COMPUTED_VALUE"""),104.5)</f>
        <v>104.5</v>
      </c>
      <c r="P362" s="122"/>
      <c r="Q362" s="123" t="str">
        <f ca="1">IFERROR(__xludf.DUMMYFUNCTION("""COMPUTED_VALUE"""),"Eva Pereira")</f>
        <v>Eva Pereira</v>
      </c>
      <c r="R362" s="123" t="str">
        <f ca="1">IFERROR(__xludf.DUMMYFUNCTION("""COMPUTED_VALUE"""),"Kai Cannon")</f>
        <v>Kai Cannon</v>
      </c>
      <c r="S362" s="123" t="str">
        <f ca="1">IFERROR(__xludf.DUMMYFUNCTION("""COMPUTED_VALUE"""),"Elizabeth Bell")</f>
        <v>Elizabeth Bell</v>
      </c>
      <c r="T362" s="123" t="str">
        <f ca="1">IFERROR(__xludf.DUMMYFUNCTION("""COMPUTED_VALUE"""),"Griffin Mitchell")</f>
        <v>Griffin Mitchell</v>
      </c>
    </row>
    <row r="363" spans="1:20" ht="13.8">
      <c r="A363" s="118" t="str">
        <f ca="1">IFERROR(__xludf.DUMMYFUNCTION("""COMPUTED_VALUE"""),"DL")</f>
        <v>DL</v>
      </c>
      <c r="B363" s="119" t="str">
        <f ca="1">IFERROR(__xludf.DUMMYFUNCTION("""COMPUTED_VALUE"""),"Alessandra Falsone")</f>
        <v>Alessandra Falsone</v>
      </c>
      <c r="C363" s="118">
        <f ca="1">IFERROR(__xludf.DUMMYFUNCTION("""COMPUTED_VALUE"""),7)</f>
        <v>7</v>
      </c>
      <c r="D363" s="118" t="str">
        <f ca="1">IFERROR(__xludf.DUMMYFUNCTION("""COMPUTED_VALUE"""),"G")</f>
        <v>G</v>
      </c>
      <c r="E363" s="118" t="str">
        <f ca="1">IFERROR(__xludf.DUMMYFUNCTION("""COMPUTED_VALUE"""),"F")</f>
        <v>F</v>
      </c>
      <c r="F363" s="118" t="str">
        <f ca="1">IFERROR(__xludf.DUMMYFUNCTION("""COMPUTED_VALUE"""),"J")</f>
        <v>J</v>
      </c>
      <c r="G363" s="118">
        <f ca="1">IFERROR(__xludf.DUMMYFUNCTION("""COMPUTED_VALUE"""),3)</f>
        <v>3</v>
      </c>
      <c r="H363" s="118" t="str">
        <f ca="1">IFERROR(__xludf.DUMMYFUNCTION("""COMPUTED_VALUE"""),"DL")</f>
        <v>DL</v>
      </c>
      <c r="I363" s="118">
        <f ca="1">IFERROR(__xludf.DUMMYFUNCTION("""COMPUTED_VALUE"""),4)</f>
        <v>4</v>
      </c>
      <c r="J363" s="118">
        <f ca="1">IFERROR(__xludf.DUMMYFUNCTION("""COMPUTED_VALUE"""),3)</f>
        <v>3</v>
      </c>
      <c r="K363" s="120">
        <f ca="1">IFERROR(__xludf.DUMMYFUNCTION("""COMPUTED_VALUE"""),46.25)</f>
        <v>46.25</v>
      </c>
      <c r="L363" s="121"/>
      <c r="M363" s="120"/>
      <c r="N363" s="121"/>
      <c r="O363" s="120">
        <f ca="1">IFERROR(__xludf.DUMMYFUNCTION("""COMPUTED_VALUE"""),44.6)</f>
        <v>44.6</v>
      </c>
      <c r="P363" s="122"/>
      <c r="Q363" s="123" t="str">
        <f ca="1">IFERROR(__xludf.DUMMYFUNCTION("""COMPUTED_VALUE"""),"Evah Pho")</f>
        <v>Evah Pho</v>
      </c>
      <c r="R363" s="123" t="str">
        <f ca="1">IFERROR(__xludf.DUMMYFUNCTION("""COMPUTED_VALUE"""),"Kai Sheriff")</f>
        <v>Kai Sheriff</v>
      </c>
      <c r="S363" s="123" t="str">
        <f ca="1">IFERROR(__xludf.DUMMYFUNCTION("""COMPUTED_VALUE"""),"Elizabeth DiVincenzo")</f>
        <v>Elizabeth DiVincenzo</v>
      </c>
      <c r="T363" s="123" t="str">
        <f ca="1">IFERROR(__xludf.DUMMYFUNCTION("""COMPUTED_VALUE"""),"Griffin Wagner")</f>
        <v>Griffin Wagner</v>
      </c>
    </row>
    <row r="364" spans="1:20" ht="13.8">
      <c r="A364" s="118" t="str">
        <f ca="1">IFERROR(__xludf.DUMMYFUNCTION("""COMPUTED_VALUE"""),"DL")</f>
        <v>DL</v>
      </c>
      <c r="B364" s="119" t="str">
        <f ca="1">IFERROR(__xludf.DUMMYFUNCTION("""COMPUTED_VALUE"""),"Bella DeSando")</f>
        <v>Bella DeSando</v>
      </c>
      <c r="C364" s="118">
        <f ca="1">IFERROR(__xludf.DUMMYFUNCTION("""COMPUTED_VALUE"""),9)</f>
        <v>9</v>
      </c>
      <c r="D364" s="118" t="str">
        <f ca="1">IFERROR(__xludf.DUMMYFUNCTION("""COMPUTED_VALUE"""),"G")</f>
        <v>G</v>
      </c>
      <c r="E364" s="118" t="str">
        <f ca="1">IFERROR(__xludf.DUMMYFUNCTION("""COMPUTED_VALUE"""),"F")</f>
        <v>F</v>
      </c>
      <c r="F364" s="118" t="str">
        <f ca="1">IFERROR(__xludf.DUMMYFUNCTION("""COMPUTED_VALUE"""),"J")</f>
        <v>J</v>
      </c>
      <c r="G364" s="118">
        <f ca="1">IFERROR(__xludf.DUMMYFUNCTION("""COMPUTED_VALUE"""),3)</f>
        <v>3</v>
      </c>
      <c r="H364" s="118" t="str">
        <f ca="1">IFERROR(__xludf.DUMMYFUNCTION("""COMPUTED_VALUE"""),"DL")</f>
        <v>DL</v>
      </c>
      <c r="I364" s="118">
        <f ca="1">IFERROR(__xludf.DUMMYFUNCTION("""COMPUTED_VALUE"""),4)</f>
        <v>4</v>
      </c>
      <c r="J364" s="118">
        <f ca="1">IFERROR(__xludf.DUMMYFUNCTION("""COMPUTED_VALUE"""),4)</f>
        <v>4</v>
      </c>
      <c r="K364" s="120">
        <f ca="1">IFERROR(__xludf.DUMMYFUNCTION("""COMPUTED_VALUE"""),79.75)</f>
        <v>79.75</v>
      </c>
      <c r="L364" s="121"/>
      <c r="M364" s="120">
        <f ca="1">IFERROR(__xludf.DUMMYFUNCTION("""COMPUTED_VALUE"""),64.9)</f>
        <v>64.900000000000006</v>
      </c>
      <c r="N364" s="121"/>
      <c r="O364" s="120">
        <f ca="1">IFERROR(__xludf.DUMMYFUNCTION("""COMPUTED_VALUE"""),79.75)</f>
        <v>79.75</v>
      </c>
      <c r="P364" s="122"/>
      <c r="Q364" s="123" t="str">
        <f ca="1">IFERROR(__xludf.DUMMYFUNCTION("""COMPUTED_VALUE"""),"Evan Ringle")</f>
        <v>Evan Ringle</v>
      </c>
      <c r="R364" s="123" t="str">
        <f ca="1">IFERROR(__xludf.DUMMYFUNCTION("""COMPUTED_VALUE"""),"Kalyan Williams")</f>
        <v>Kalyan Williams</v>
      </c>
      <c r="S364" s="123" t="str">
        <f ca="1">IFERROR(__xludf.DUMMYFUNCTION("""COMPUTED_VALUE"""),"Elizabeth Heim")</f>
        <v>Elizabeth Heim</v>
      </c>
      <c r="T364" s="123" t="str">
        <f ca="1">IFERROR(__xludf.DUMMYFUNCTION("""COMPUTED_VALUE"""),"Guayo Flores")</f>
        <v>Guayo Flores</v>
      </c>
    </row>
    <row r="365" spans="1:20" ht="13.8">
      <c r="A365" s="118" t="str">
        <f ca="1">IFERROR(__xludf.DUMMYFUNCTION("""COMPUTED_VALUE"""),"DL")</f>
        <v>DL</v>
      </c>
      <c r="B365" s="119" t="str">
        <f ca="1">IFERROR(__xludf.DUMMYFUNCTION("""COMPUTED_VALUE"""),"Carina Bosco")</f>
        <v>Carina Bosco</v>
      </c>
      <c r="C365" s="118">
        <f ca="1">IFERROR(__xludf.DUMMYFUNCTION("""COMPUTED_VALUE"""),9)</f>
        <v>9</v>
      </c>
      <c r="D365" s="118" t="str">
        <f ca="1">IFERROR(__xludf.DUMMYFUNCTION("""COMPUTED_VALUE"""),"G")</f>
        <v>G</v>
      </c>
      <c r="E365" s="118" t="str">
        <f ca="1">IFERROR(__xludf.DUMMYFUNCTION("""COMPUTED_VALUE"""),"F")</f>
        <v>F</v>
      </c>
      <c r="F365" s="118" t="str">
        <f ca="1">IFERROR(__xludf.DUMMYFUNCTION("""COMPUTED_VALUE"""),"J")</f>
        <v>J</v>
      </c>
      <c r="G365" s="118">
        <f ca="1">IFERROR(__xludf.DUMMYFUNCTION("""COMPUTED_VALUE"""),3)</f>
        <v>3</v>
      </c>
      <c r="H365" s="118" t="str">
        <f ca="1">IFERROR(__xludf.DUMMYFUNCTION("""COMPUTED_VALUE"""),"DL")</f>
        <v>DL</v>
      </c>
      <c r="I365" s="118">
        <f ca="1">IFERROR(__xludf.DUMMYFUNCTION("""COMPUTED_VALUE"""),4)</f>
        <v>4</v>
      </c>
      <c r="J365" s="118">
        <f ca="1">IFERROR(__xludf.DUMMYFUNCTION("""COMPUTED_VALUE"""),4)</f>
        <v>4</v>
      </c>
      <c r="K365" s="120">
        <f ca="1">IFERROR(__xludf.DUMMYFUNCTION("""COMPUTED_VALUE"""),59.75)</f>
        <v>59.75</v>
      </c>
      <c r="L365" s="121"/>
      <c r="M365" s="120">
        <f ca="1">IFERROR(__xludf.DUMMYFUNCTION("""COMPUTED_VALUE"""),49.45)</f>
        <v>49.45</v>
      </c>
      <c r="N365" s="121"/>
      <c r="O365" s="120">
        <f ca="1">IFERROR(__xludf.DUMMYFUNCTION("""COMPUTED_VALUE"""),59.75)</f>
        <v>59.75</v>
      </c>
      <c r="P365" s="122"/>
      <c r="Q365" s="123" t="str">
        <f ca="1">IFERROR(__xludf.DUMMYFUNCTION("""COMPUTED_VALUE"""),"Evangeline Thome")</f>
        <v>Evangeline Thome</v>
      </c>
      <c r="R365" s="123" t="str">
        <f ca="1">IFERROR(__xludf.DUMMYFUNCTION("""COMPUTED_VALUE"""),"Kamran Martin")</f>
        <v>Kamran Martin</v>
      </c>
      <c r="S365" s="123" t="str">
        <f ca="1">IFERROR(__xludf.DUMMYFUNCTION("""COMPUTED_VALUE"""),"Elizabeth Pidgeon")</f>
        <v>Elizabeth Pidgeon</v>
      </c>
      <c r="T365" s="123" t="str">
        <f ca="1">IFERROR(__xludf.DUMMYFUNCTION("""COMPUTED_VALUE"""),"Gunner Larson")</f>
        <v>Gunner Larson</v>
      </c>
    </row>
    <row r="366" spans="1:20" ht="13.8">
      <c r="A366" s="118" t="str">
        <f ca="1">IFERROR(__xludf.DUMMYFUNCTION("""COMPUTED_VALUE"""),"DL")</f>
        <v>DL</v>
      </c>
      <c r="B366" s="119" t="str">
        <f ca="1">IFERROR(__xludf.DUMMYFUNCTION("""COMPUTED_VALUE"""),"Charlotte Kluttz")</f>
        <v>Charlotte Kluttz</v>
      </c>
      <c r="C366" s="118">
        <f ca="1">IFERROR(__xludf.DUMMYFUNCTION("""COMPUTED_VALUE"""),6)</f>
        <v>6</v>
      </c>
      <c r="D366" s="118" t="str">
        <f ca="1">IFERROR(__xludf.DUMMYFUNCTION("""COMPUTED_VALUE"""),"G")</f>
        <v>G</v>
      </c>
      <c r="E366" s="118" t="str">
        <f ca="1">IFERROR(__xludf.DUMMYFUNCTION("""COMPUTED_VALUE"""),"F")</f>
        <v>F</v>
      </c>
      <c r="F366" s="118" t="str">
        <f ca="1">IFERROR(__xludf.DUMMYFUNCTION("""COMPUTED_VALUE"""),"J")</f>
        <v>J</v>
      </c>
      <c r="G366" s="118">
        <f ca="1">IFERROR(__xludf.DUMMYFUNCTION("""COMPUTED_VALUE"""),3)</f>
        <v>3</v>
      </c>
      <c r="H366" s="118" t="str">
        <f ca="1">IFERROR(__xludf.DUMMYFUNCTION("""COMPUTED_VALUE"""),"DL")</f>
        <v>DL</v>
      </c>
      <c r="I366" s="118">
        <f ca="1">IFERROR(__xludf.DUMMYFUNCTION("""COMPUTED_VALUE"""),4)</f>
        <v>4</v>
      </c>
      <c r="J366" s="118">
        <f ca="1">IFERROR(__xludf.DUMMYFUNCTION("""COMPUTED_VALUE"""),3)</f>
        <v>3</v>
      </c>
      <c r="K366" s="120">
        <f ca="1">IFERROR(__xludf.DUMMYFUNCTION("""COMPUTED_VALUE"""),33.1)</f>
        <v>33.1</v>
      </c>
      <c r="L366" s="121"/>
      <c r="M366" s="120">
        <f ca="1">IFERROR(__xludf.DUMMYFUNCTION("""COMPUTED_VALUE"""),33.1)</f>
        <v>33.1</v>
      </c>
      <c r="N366" s="121"/>
      <c r="O366" s="120">
        <f ca="1">IFERROR(__xludf.DUMMYFUNCTION("""COMPUTED_VALUE"""),31.85)</f>
        <v>31.85</v>
      </c>
      <c r="P366" s="122"/>
      <c r="Q366" s="123" t="str">
        <f ca="1">IFERROR(__xludf.DUMMYFUNCTION("""COMPUTED_VALUE"""),"Evelyn Banko")</f>
        <v>Evelyn Banko</v>
      </c>
      <c r="R366" s="123" t="str">
        <f ca="1">IFERROR(__xludf.DUMMYFUNCTION("""COMPUTED_VALUE"""),"Karmvir Sidhu")</f>
        <v>Karmvir Sidhu</v>
      </c>
      <c r="S366" s="123" t="str">
        <f ca="1">IFERROR(__xludf.DUMMYFUNCTION("""COMPUTED_VALUE"""),"Elizabeth Rodenbeck")</f>
        <v>Elizabeth Rodenbeck</v>
      </c>
      <c r="T366" s="123" t="str">
        <f ca="1">IFERROR(__xludf.DUMMYFUNCTION("""COMPUTED_VALUE"""),"Gus Medina-Keith")</f>
        <v>Gus Medina-Keith</v>
      </c>
    </row>
    <row r="367" spans="1:20" ht="13.8">
      <c r="A367" s="118" t="str">
        <f ca="1">IFERROR(__xludf.DUMMYFUNCTION("""COMPUTED_VALUE"""),"DL")</f>
        <v>DL</v>
      </c>
      <c r="B367" s="119" t="str">
        <f ca="1">IFERROR(__xludf.DUMMYFUNCTION("""COMPUTED_VALUE"""),"Elise Esquivel")</f>
        <v>Elise Esquivel</v>
      </c>
      <c r="C367" s="118">
        <f ca="1">IFERROR(__xludf.DUMMYFUNCTION("""COMPUTED_VALUE"""),10)</f>
        <v>10</v>
      </c>
      <c r="D367" s="118" t="str">
        <f ca="1">IFERROR(__xludf.DUMMYFUNCTION("""COMPUTED_VALUE"""),"G")</f>
        <v>G</v>
      </c>
      <c r="E367" s="118" t="str">
        <f ca="1">IFERROR(__xludf.DUMMYFUNCTION("""COMPUTED_VALUE"""),"F")</f>
        <v>F</v>
      </c>
      <c r="F367" s="118" t="str">
        <f ca="1">IFERROR(__xludf.DUMMYFUNCTION("""COMPUTED_VALUE"""),"J")</f>
        <v>J</v>
      </c>
      <c r="G367" s="118">
        <f ca="1">IFERROR(__xludf.DUMMYFUNCTION("""COMPUTED_VALUE"""),3)</f>
        <v>3</v>
      </c>
      <c r="H367" s="118" t="str">
        <f ca="1">IFERROR(__xludf.DUMMYFUNCTION("""COMPUTED_VALUE"""),"DL")</f>
        <v>DL</v>
      </c>
      <c r="I367" s="118">
        <f ca="1">IFERROR(__xludf.DUMMYFUNCTION("""COMPUTED_VALUE"""),4)</f>
        <v>4</v>
      </c>
      <c r="J367" s="118">
        <f ca="1">IFERROR(__xludf.DUMMYFUNCTION("""COMPUTED_VALUE"""),5)</f>
        <v>5</v>
      </c>
      <c r="K367" s="120">
        <f ca="1">IFERROR(__xludf.DUMMYFUNCTION("""COMPUTED_VALUE"""),65.35)</f>
        <v>65.349999999999994</v>
      </c>
      <c r="L367" s="121"/>
      <c r="M367" s="120">
        <f ca="1">IFERROR(__xludf.DUMMYFUNCTION("""COMPUTED_VALUE"""),55.45)</f>
        <v>55.45</v>
      </c>
      <c r="N367" s="121"/>
      <c r="O367" s="120">
        <f ca="1">IFERROR(__xludf.DUMMYFUNCTION("""COMPUTED_VALUE"""),65.35)</f>
        <v>65.349999999999994</v>
      </c>
      <c r="P367" s="122"/>
      <c r="Q367" s="123" t="str">
        <f ca="1">IFERROR(__xludf.DUMMYFUNCTION("""COMPUTED_VALUE"""),"Evelyn Emmert")</f>
        <v>Evelyn Emmert</v>
      </c>
      <c r="R367" s="123" t="str">
        <f ca="1">IFERROR(__xludf.DUMMYFUNCTION("""COMPUTED_VALUE"""),"Kasra Gongola")</f>
        <v>Kasra Gongola</v>
      </c>
      <c r="S367" s="123" t="str">
        <f ca="1">IFERROR(__xludf.DUMMYFUNCTION("""COMPUTED_VALUE"""),"Elizabeth Shartzer")</f>
        <v>Elizabeth Shartzer</v>
      </c>
      <c r="T367" s="123" t="str">
        <f ca="1">IFERROR(__xludf.DUMMYFUNCTION("""COMPUTED_VALUE"""),"Hans Imer")</f>
        <v>Hans Imer</v>
      </c>
    </row>
    <row r="368" spans="1:20" ht="13.8">
      <c r="A368" s="118" t="str">
        <f ca="1">IFERROR(__xludf.DUMMYFUNCTION("""COMPUTED_VALUE"""),"DL")</f>
        <v>DL</v>
      </c>
      <c r="B368" s="119" t="str">
        <f ca="1">IFERROR(__xludf.DUMMYFUNCTION("""COMPUTED_VALUE"""),"Elizabeth Andrews")</f>
        <v>Elizabeth Andrews</v>
      </c>
      <c r="C368" s="118">
        <f ca="1">IFERROR(__xludf.DUMMYFUNCTION("""COMPUTED_VALUE"""),8)</f>
        <v>8</v>
      </c>
      <c r="D368" s="118" t="str">
        <f ca="1">IFERROR(__xludf.DUMMYFUNCTION("""COMPUTED_VALUE"""),"G")</f>
        <v>G</v>
      </c>
      <c r="E368" s="118" t="str">
        <f ca="1">IFERROR(__xludf.DUMMYFUNCTION("""COMPUTED_VALUE"""),"F")</f>
        <v>F</v>
      </c>
      <c r="F368" s="118" t="str">
        <f ca="1">IFERROR(__xludf.DUMMYFUNCTION("""COMPUTED_VALUE"""),"J")</f>
        <v>J</v>
      </c>
      <c r="G368" s="118">
        <f ca="1">IFERROR(__xludf.DUMMYFUNCTION("""COMPUTED_VALUE"""),3)</f>
        <v>3</v>
      </c>
      <c r="H368" s="118" t="str">
        <f ca="1">IFERROR(__xludf.DUMMYFUNCTION("""COMPUTED_VALUE"""),"DL")</f>
        <v>DL</v>
      </c>
      <c r="I368" s="118">
        <f ca="1">IFERROR(__xludf.DUMMYFUNCTION("""COMPUTED_VALUE"""),4)</f>
        <v>4</v>
      </c>
      <c r="J368" s="118">
        <f ca="1">IFERROR(__xludf.DUMMYFUNCTION("""COMPUTED_VALUE"""),0)</f>
        <v>0</v>
      </c>
      <c r="K368" s="120"/>
      <c r="L368" s="121"/>
      <c r="M368" s="120"/>
      <c r="N368" s="121"/>
      <c r="O368" s="120"/>
      <c r="P368" s="122"/>
      <c r="Q368" s="123" t="str">
        <f ca="1">IFERROR(__xludf.DUMMYFUNCTION("""COMPUTED_VALUE"""),"Evelyn Sanders")</f>
        <v>Evelyn Sanders</v>
      </c>
      <c r="R368" s="123" t="str">
        <f ca="1">IFERROR(__xludf.DUMMYFUNCTION("""COMPUTED_VALUE"""),"Keaton Allard")</f>
        <v>Keaton Allard</v>
      </c>
      <c r="S368" s="123" t="str">
        <f ca="1">IFERROR(__xludf.DUMMYFUNCTION("""COMPUTED_VALUE"""),"Ella Aldonas")</f>
        <v>Ella Aldonas</v>
      </c>
      <c r="T368" s="123" t="str">
        <f ca="1">IFERROR(__xludf.DUMMYFUNCTION("""COMPUTED_VALUE"""),"Harrison Crosby")</f>
        <v>Harrison Crosby</v>
      </c>
    </row>
    <row r="369" spans="1:20" ht="13.8">
      <c r="A369" s="118" t="str">
        <f ca="1">IFERROR(__xludf.DUMMYFUNCTION("""COMPUTED_VALUE"""),"DL")</f>
        <v>DL</v>
      </c>
      <c r="B369" s="119" t="str">
        <f ca="1">IFERROR(__xludf.DUMMYFUNCTION("""COMPUTED_VALUE"""),"Isabella Falsone")</f>
        <v>Isabella Falsone</v>
      </c>
      <c r="C369" s="118">
        <f ca="1">IFERROR(__xludf.DUMMYFUNCTION("""COMPUTED_VALUE"""),9)</f>
        <v>9</v>
      </c>
      <c r="D369" s="118" t="str">
        <f ca="1">IFERROR(__xludf.DUMMYFUNCTION("""COMPUTED_VALUE"""),"G")</f>
        <v>G</v>
      </c>
      <c r="E369" s="118" t="str">
        <f ca="1">IFERROR(__xludf.DUMMYFUNCTION("""COMPUTED_VALUE"""),"F")</f>
        <v>F</v>
      </c>
      <c r="F369" s="118" t="str">
        <f ca="1">IFERROR(__xludf.DUMMYFUNCTION("""COMPUTED_VALUE"""),"J")</f>
        <v>J</v>
      </c>
      <c r="G369" s="118">
        <f ca="1">IFERROR(__xludf.DUMMYFUNCTION("""COMPUTED_VALUE"""),3)</f>
        <v>3</v>
      </c>
      <c r="H369" s="118" t="str">
        <f ca="1">IFERROR(__xludf.DUMMYFUNCTION("""COMPUTED_VALUE"""),"DL")</f>
        <v>DL</v>
      </c>
      <c r="I369" s="118">
        <f ca="1">IFERROR(__xludf.DUMMYFUNCTION("""COMPUTED_VALUE"""),4)</f>
        <v>4</v>
      </c>
      <c r="J369" s="118">
        <f ca="1">IFERROR(__xludf.DUMMYFUNCTION("""COMPUTED_VALUE"""),4)</f>
        <v>4</v>
      </c>
      <c r="K369" s="120">
        <f ca="1">IFERROR(__xludf.DUMMYFUNCTION("""COMPUTED_VALUE"""),57.8)</f>
        <v>57.8</v>
      </c>
      <c r="L369" s="121"/>
      <c r="M369" s="120"/>
      <c r="N369" s="121"/>
      <c r="O369" s="120">
        <f ca="1">IFERROR(__xludf.DUMMYFUNCTION("""COMPUTED_VALUE"""),44.9)</f>
        <v>44.9</v>
      </c>
      <c r="P369" s="122"/>
      <c r="Q369" s="123" t="str">
        <f ca="1">IFERROR(__xludf.DUMMYFUNCTION("""COMPUTED_VALUE"""),"Evelyn Uhl")</f>
        <v>Evelyn Uhl</v>
      </c>
      <c r="R369" s="123" t="str">
        <f ca="1">IFERROR(__xludf.DUMMYFUNCTION("""COMPUTED_VALUE"""),"Keegan Donnelly")</f>
        <v>Keegan Donnelly</v>
      </c>
      <c r="S369" s="123" t="str">
        <f ca="1">IFERROR(__xludf.DUMMYFUNCTION("""COMPUTED_VALUE"""),"Ella Henderson")</f>
        <v>Ella Henderson</v>
      </c>
      <c r="T369" s="123" t="str">
        <f ca="1">IFERROR(__xludf.DUMMYFUNCTION("""COMPUTED_VALUE"""),"Harrison Gulotta")</f>
        <v>Harrison Gulotta</v>
      </c>
    </row>
    <row r="370" spans="1:20" ht="13.8">
      <c r="A370" s="118" t="str">
        <f ca="1">IFERROR(__xludf.DUMMYFUNCTION("""COMPUTED_VALUE"""),"DL")</f>
        <v>DL</v>
      </c>
      <c r="B370" s="119" t="str">
        <f ca="1">IFERROR(__xludf.DUMMYFUNCTION("""COMPUTED_VALUE"""),"Mariella Oelrich")</f>
        <v>Mariella Oelrich</v>
      </c>
      <c r="C370" s="118">
        <f ca="1">IFERROR(__xludf.DUMMYFUNCTION("""COMPUTED_VALUE"""),9)</f>
        <v>9</v>
      </c>
      <c r="D370" s="118" t="str">
        <f ca="1">IFERROR(__xludf.DUMMYFUNCTION("""COMPUTED_VALUE"""),"G")</f>
        <v>G</v>
      </c>
      <c r="E370" s="118" t="str">
        <f ca="1">IFERROR(__xludf.DUMMYFUNCTION("""COMPUTED_VALUE"""),"F")</f>
        <v>F</v>
      </c>
      <c r="F370" s="118" t="str">
        <f ca="1">IFERROR(__xludf.DUMMYFUNCTION("""COMPUTED_VALUE"""),"J")</f>
        <v>J</v>
      </c>
      <c r="G370" s="118">
        <f ca="1">IFERROR(__xludf.DUMMYFUNCTION("""COMPUTED_VALUE"""),3)</f>
        <v>3</v>
      </c>
      <c r="H370" s="118" t="str">
        <f ca="1">IFERROR(__xludf.DUMMYFUNCTION("""COMPUTED_VALUE"""),"DL")</f>
        <v>DL</v>
      </c>
      <c r="I370" s="118">
        <f ca="1">IFERROR(__xludf.DUMMYFUNCTION("""COMPUTED_VALUE"""),4)</f>
        <v>4</v>
      </c>
      <c r="J370" s="118">
        <f ca="1">IFERROR(__xludf.DUMMYFUNCTION("""COMPUTED_VALUE"""),0)</f>
        <v>0</v>
      </c>
      <c r="K370" s="120"/>
      <c r="L370" s="121"/>
      <c r="M370" s="120"/>
      <c r="N370" s="121"/>
      <c r="O370" s="120"/>
      <c r="P370" s="122"/>
      <c r="Q370" s="123" t="str">
        <f ca="1">IFERROR(__xludf.DUMMYFUNCTION("""COMPUTED_VALUE"""),"Everly McCormick")</f>
        <v>Everly McCormick</v>
      </c>
      <c r="R370" s="123" t="str">
        <f ca="1">IFERROR(__xludf.DUMMYFUNCTION("""COMPUTED_VALUE"""),"Kenzo Bills")</f>
        <v>Kenzo Bills</v>
      </c>
      <c r="S370" s="123" t="str">
        <f ca="1">IFERROR(__xludf.DUMMYFUNCTION("""COMPUTED_VALUE"""),"Ella Hudes")</f>
        <v>Ella Hudes</v>
      </c>
      <c r="T370" s="123" t="str">
        <f ca="1">IFERROR(__xludf.DUMMYFUNCTION("""COMPUTED_VALUE"""),"Harrison Kwak")</f>
        <v>Harrison Kwak</v>
      </c>
    </row>
    <row r="371" spans="1:20" ht="13.8">
      <c r="A371" s="118" t="str">
        <f ca="1">IFERROR(__xludf.DUMMYFUNCTION("""COMPUTED_VALUE"""),"DL")</f>
        <v>DL</v>
      </c>
      <c r="B371" s="119" t="str">
        <f ca="1">IFERROR(__xludf.DUMMYFUNCTION("""COMPUTED_VALUE"""),"Maya Weidner")</f>
        <v>Maya Weidner</v>
      </c>
      <c r="C371" s="118">
        <f ca="1">IFERROR(__xludf.DUMMYFUNCTION("""COMPUTED_VALUE"""),8)</f>
        <v>8</v>
      </c>
      <c r="D371" s="118" t="str">
        <f ca="1">IFERROR(__xludf.DUMMYFUNCTION("""COMPUTED_VALUE"""),"G")</f>
        <v>G</v>
      </c>
      <c r="E371" s="118" t="str">
        <f ca="1">IFERROR(__xludf.DUMMYFUNCTION("""COMPUTED_VALUE"""),"F")</f>
        <v>F</v>
      </c>
      <c r="F371" s="118" t="str">
        <f ca="1">IFERROR(__xludf.DUMMYFUNCTION("""COMPUTED_VALUE"""),"J")</f>
        <v>J</v>
      </c>
      <c r="G371" s="118">
        <f ca="1">IFERROR(__xludf.DUMMYFUNCTION("""COMPUTED_VALUE"""),3)</f>
        <v>3</v>
      </c>
      <c r="H371" s="118" t="str">
        <f ca="1">IFERROR(__xludf.DUMMYFUNCTION("""COMPUTED_VALUE"""),"DL")</f>
        <v>DL</v>
      </c>
      <c r="I371" s="118">
        <f ca="1">IFERROR(__xludf.DUMMYFUNCTION("""COMPUTED_VALUE"""),4)</f>
        <v>4</v>
      </c>
      <c r="J371" s="118">
        <f ca="1">IFERROR(__xludf.DUMMYFUNCTION("""COMPUTED_VALUE"""),0)</f>
        <v>0</v>
      </c>
      <c r="K371" s="120"/>
      <c r="L371" s="121"/>
      <c r="M371" s="120"/>
      <c r="N371" s="121"/>
      <c r="O371" s="120"/>
      <c r="P371" s="122"/>
      <c r="Q371" s="123" t="str">
        <f ca="1">IFERROR(__xludf.DUMMYFUNCTION("""COMPUTED_VALUE"""),"Evie Jeschke")</f>
        <v>Evie Jeschke</v>
      </c>
      <c r="R371" s="123" t="str">
        <f ca="1">IFERROR(__xludf.DUMMYFUNCTION("""COMPUTED_VALUE"""),"Keone Sheriff")</f>
        <v>Keone Sheriff</v>
      </c>
      <c r="S371" s="123" t="str">
        <f ca="1">IFERROR(__xludf.DUMMYFUNCTION("""COMPUTED_VALUE"""),"Ella Pace")</f>
        <v>Ella Pace</v>
      </c>
      <c r="T371" s="123" t="str">
        <f ca="1">IFERROR(__xludf.DUMMYFUNCTION("""COMPUTED_VALUE"""),"Harrison Morgan")</f>
        <v>Harrison Morgan</v>
      </c>
    </row>
    <row r="372" spans="1:20" ht="13.8">
      <c r="A372" s="118" t="str">
        <f ca="1">IFERROR(__xludf.DUMMYFUNCTION("""COMPUTED_VALUE"""),"DL")</f>
        <v>DL</v>
      </c>
      <c r="B372" s="119" t="str">
        <f ca="1">IFERROR(__xludf.DUMMYFUNCTION("""COMPUTED_VALUE"""),"Mia Mroz")</f>
        <v>Mia Mroz</v>
      </c>
      <c r="C372" s="118">
        <f ca="1">IFERROR(__xludf.DUMMYFUNCTION("""COMPUTED_VALUE"""),5)</f>
        <v>5</v>
      </c>
      <c r="D372" s="118" t="str">
        <f ca="1">IFERROR(__xludf.DUMMYFUNCTION("""COMPUTED_VALUE"""),"G")</f>
        <v>G</v>
      </c>
      <c r="E372" s="118" t="str">
        <f ca="1">IFERROR(__xludf.DUMMYFUNCTION("""COMPUTED_VALUE"""),"F")</f>
        <v>F</v>
      </c>
      <c r="F372" s="118" t="str">
        <f ca="1">IFERROR(__xludf.DUMMYFUNCTION("""COMPUTED_VALUE"""),"J")</f>
        <v>J</v>
      </c>
      <c r="G372" s="118">
        <f ca="1">IFERROR(__xludf.DUMMYFUNCTION("""COMPUTED_VALUE"""),3)</f>
        <v>3</v>
      </c>
      <c r="H372" s="118" t="str">
        <f ca="1">IFERROR(__xludf.DUMMYFUNCTION("""COMPUTED_VALUE"""),"DL")</f>
        <v>DL</v>
      </c>
      <c r="I372" s="118">
        <f ca="1">IFERROR(__xludf.DUMMYFUNCTION("""COMPUTED_VALUE"""),4)</f>
        <v>4</v>
      </c>
      <c r="J372" s="118">
        <f ca="1">IFERROR(__xludf.DUMMYFUNCTION("""COMPUTED_VALUE"""),0)</f>
        <v>0</v>
      </c>
      <c r="K372" s="120"/>
      <c r="L372" s="121"/>
      <c r="M372" s="120"/>
      <c r="N372" s="121"/>
      <c r="O372" s="120"/>
      <c r="P372" s="122"/>
      <c r="Q372" s="123" t="str">
        <f ca="1">IFERROR(__xludf.DUMMYFUNCTION("""COMPUTED_VALUE"""),"Evie Lynch")</f>
        <v>Evie Lynch</v>
      </c>
      <c r="R372" s="123" t="str">
        <f ca="1">IFERROR(__xludf.DUMMYFUNCTION("""COMPUTED_VALUE"""),"Kepler Vu")</f>
        <v>Kepler Vu</v>
      </c>
      <c r="S372" s="123" t="str">
        <f ca="1">IFERROR(__xludf.DUMMYFUNCTION("""COMPUTED_VALUE"""),"Ella Packard")</f>
        <v>Ella Packard</v>
      </c>
      <c r="T372" s="123" t="str">
        <f ca="1">IFERROR(__xludf.DUMMYFUNCTION("""COMPUTED_VALUE"""),"Harrison Niday")</f>
        <v>Harrison Niday</v>
      </c>
    </row>
    <row r="373" spans="1:20" ht="13.8">
      <c r="A373" s="118" t="str">
        <f ca="1">IFERROR(__xludf.DUMMYFUNCTION("""COMPUTED_VALUE"""),"DL")</f>
        <v>DL</v>
      </c>
      <c r="B373" s="119" t="str">
        <f ca="1">IFERROR(__xludf.DUMMYFUNCTION("""COMPUTED_VALUE"""),"Sawyer Palmby")</f>
        <v>Sawyer Palmby</v>
      </c>
      <c r="C373" s="118">
        <f ca="1">IFERROR(__xludf.DUMMYFUNCTION("""COMPUTED_VALUE"""),9)</f>
        <v>9</v>
      </c>
      <c r="D373" s="118" t="str">
        <f ca="1">IFERROR(__xludf.DUMMYFUNCTION("""COMPUTED_VALUE"""),"G")</f>
        <v>G</v>
      </c>
      <c r="E373" s="118" t="str">
        <f ca="1">IFERROR(__xludf.DUMMYFUNCTION("""COMPUTED_VALUE"""),"F")</f>
        <v>F</v>
      </c>
      <c r="F373" s="118" t="str">
        <f ca="1">IFERROR(__xludf.DUMMYFUNCTION("""COMPUTED_VALUE"""),"J")</f>
        <v>J</v>
      </c>
      <c r="G373" s="118">
        <f ca="1">IFERROR(__xludf.DUMMYFUNCTION("""COMPUTED_VALUE"""),3)</f>
        <v>3</v>
      </c>
      <c r="H373" s="118" t="str">
        <f ca="1">IFERROR(__xludf.DUMMYFUNCTION("""COMPUTED_VALUE"""),"DL")</f>
        <v>DL</v>
      </c>
      <c r="I373" s="118">
        <f ca="1">IFERROR(__xludf.DUMMYFUNCTION("""COMPUTED_VALUE"""),4)</f>
        <v>4</v>
      </c>
      <c r="J373" s="118">
        <f ca="1">IFERROR(__xludf.DUMMYFUNCTION("""COMPUTED_VALUE"""),0)</f>
        <v>0</v>
      </c>
      <c r="K373" s="120"/>
      <c r="L373" s="121"/>
      <c r="M373" s="120"/>
      <c r="N373" s="121"/>
      <c r="O373" s="120"/>
      <c r="P373" s="122"/>
      <c r="Q373" s="123" t="str">
        <f ca="1">IFERROR(__xludf.DUMMYFUNCTION("""COMPUTED_VALUE"""),"Evie Reilly")</f>
        <v>Evie Reilly</v>
      </c>
      <c r="R373" s="123" t="str">
        <f ca="1">IFERROR(__xludf.DUMMYFUNCTION("""COMPUTED_VALUE"""),"Kidus Yared")</f>
        <v>Kidus Yared</v>
      </c>
      <c r="S373" s="123" t="str">
        <f ca="1">IFERROR(__xludf.DUMMYFUNCTION("""COMPUTED_VALUE"""),"Ella Scharre")</f>
        <v>Ella Scharre</v>
      </c>
      <c r="T373" s="123" t="str">
        <f ca="1">IFERROR(__xludf.DUMMYFUNCTION("""COMPUTED_VALUE"""),"Hayden Klein")</f>
        <v>Hayden Klein</v>
      </c>
    </row>
    <row r="374" spans="1:20" ht="13.8">
      <c r="A374" s="118" t="str">
        <f ca="1">IFERROR(__xludf.DUMMYFUNCTION("""COMPUTED_VALUE"""),"DL")</f>
        <v>DL</v>
      </c>
      <c r="B374" s="119" t="str">
        <f ca="1">IFERROR(__xludf.DUMMYFUNCTION("""COMPUTED_VALUE"""),"Stella Baldeon Masturzo")</f>
        <v>Stella Baldeon Masturzo</v>
      </c>
      <c r="C374" s="118">
        <f ca="1">IFERROR(__xludf.DUMMYFUNCTION("""COMPUTED_VALUE"""),10)</f>
        <v>10</v>
      </c>
      <c r="D374" s="118" t="str">
        <f ca="1">IFERROR(__xludf.DUMMYFUNCTION("""COMPUTED_VALUE"""),"G")</f>
        <v>G</v>
      </c>
      <c r="E374" s="118" t="str">
        <f ca="1">IFERROR(__xludf.DUMMYFUNCTION("""COMPUTED_VALUE"""),"F")</f>
        <v>F</v>
      </c>
      <c r="F374" s="118" t="str">
        <f ca="1">IFERROR(__xludf.DUMMYFUNCTION("""COMPUTED_VALUE"""),"J")</f>
        <v>J</v>
      </c>
      <c r="G374" s="118">
        <f ca="1">IFERROR(__xludf.DUMMYFUNCTION("""COMPUTED_VALUE"""),3)</f>
        <v>3</v>
      </c>
      <c r="H374" s="118" t="str">
        <f ca="1">IFERROR(__xludf.DUMMYFUNCTION("""COMPUTED_VALUE"""),"DL")</f>
        <v>DL</v>
      </c>
      <c r="I374" s="118">
        <f ca="1">IFERROR(__xludf.DUMMYFUNCTION("""COMPUTED_VALUE"""),4)</f>
        <v>4</v>
      </c>
      <c r="J374" s="118">
        <f ca="1">IFERROR(__xludf.DUMMYFUNCTION("""COMPUTED_VALUE"""),5)</f>
        <v>5</v>
      </c>
      <c r="K374" s="120">
        <f ca="1">IFERROR(__xludf.DUMMYFUNCTION("""COMPUTED_VALUE"""),75.8)</f>
        <v>75.8</v>
      </c>
      <c r="L374" s="121"/>
      <c r="M374" s="120">
        <f ca="1">IFERROR(__xludf.DUMMYFUNCTION("""COMPUTED_VALUE"""),68.55)</f>
        <v>68.55</v>
      </c>
      <c r="N374" s="121"/>
      <c r="O374" s="120">
        <f ca="1">IFERROR(__xludf.DUMMYFUNCTION("""COMPUTED_VALUE"""),75.8)</f>
        <v>75.8</v>
      </c>
      <c r="P374" s="122"/>
      <c r="Q374" s="123" t="str">
        <f ca="1">IFERROR(__xludf.DUMMYFUNCTION("""COMPUTED_VALUE"""),"Evie Spickelmier")</f>
        <v>Evie Spickelmier</v>
      </c>
      <c r="R374" s="123" t="str">
        <f ca="1">IFERROR(__xludf.DUMMYFUNCTION("""COMPUTED_VALUE"""),"Kilan Gongola")</f>
        <v>Kilan Gongola</v>
      </c>
      <c r="S374" s="123" t="str">
        <f ca="1">IFERROR(__xludf.DUMMYFUNCTION("""COMPUTED_VALUE"""),"Ella Thomas")</f>
        <v>Ella Thomas</v>
      </c>
      <c r="T374" s="123" t="str">
        <f ca="1">IFERROR(__xludf.DUMMYFUNCTION("""COMPUTED_VALUE"""),"Hayes Miller")</f>
        <v>Hayes Miller</v>
      </c>
    </row>
    <row r="375" spans="1:20" ht="13.8">
      <c r="A375" s="118" t="str">
        <f ca="1">IFERROR(__xludf.DUMMYFUNCTION("""COMPUTED_VALUE"""),"DL")</f>
        <v>DL</v>
      </c>
      <c r="B375" s="119" t="str">
        <f ca="1">IFERROR(__xludf.DUMMYFUNCTION("""COMPUTED_VALUE"""),"Zoe Mroz")</f>
        <v>Zoe Mroz</v>
      </c>
      <c r="C375" s="118">
        <f ca="1">IFERROR(__xludf.DUMMYFUNCTION("""COMPUTED_VALUE"""),7)</f>
        <v>7</v>
      </c>
      <c r="D375" s="118" t="str">
        <f ca="1">IFERROR(__xludf.DUMMYFUNCTION("""COMPUTED_VALUE"""),"G")</f>
        <v>G</v>
      </c>
      <c r="E375" s="118" t="str">
        <f ca="1">IFERROR(__xludf.DUMMYFUNCTION("""COMPUTED_VALUE"""),"F")</f>
        <v>F</v>
      </c>
      <c r="F375" s="118" t="str">
        <f ca="1">IFERROR(__xludf.DUMMYFUNCTION("""COMPUTED_VALUE"""),"J")</f>
        <v>J</v>
      </c>
      <c r="G375" s="118">
        <f ca="1">IFERROR(__xludf.DUMMYFUNCTION("""COMPUTED_VALUE"""),3)</f>
        <v>3</v>
      </c>
      <c r="H375" s="118" t="str">
        <f ca="1">IFERROR(__xludf.DUMMYFUNCTION("""COMPUTED_VALUE"""),"DL")</f>
        <v>DL</v>
      </c>
      <c r="I375" s="118">
        <f ca="1">IFERROR(__xludf.DUMMYFUNCTION("""COMPUTED_VALUE"""),4)</f>
        <v>4</v>
      </c>
      <c r="J375" s="118">
        <f ca="1">IFERROR(__xludf.DUMMYFUNCTION("""COMPUTED_VALUE"""),2)</f>
        <v>2</v>
      </c>
      <c r="K375" s="120">
        <f ca="1">IFERROR(__xludf.DUMMYFUNCTION("""COMPUTED_VALUE"""),54.25)</f>
        <v>54.25</v>
      </c>
      <c r="L375" s="121"/>
      <c r="M375" s="120"/>
      <c r="N375" s="121"/>
      <c r="O375" s="120"/>
      <c r="P375" s="122"/>
      <c r="Q375" s="123" t="str">
        <f ca="1">IFERROR(__xludf.DUMMYFUNCTION("""COMPUTED_VALUE"""),"Evie Stith")</f>
        <v>Evie Stith</v>
      </c>
      <c r="R375" s="123" t="str">
        <f ca="1">IFERROR(__xludf.DUMMYFUNCTION("""COMPUTED_VALUE"""),"Klim Lisnik")</f>
        <v>Klim Lisnik</v>
      </c>
      <c r="S375" s="123" t="str">
        <f ca="1">IFERROR(__xludf.DUMMYFUNCTION("""COMPUTED_VALUE"""),"Ella Turner")</f>
        <v>Ella Turner</v>
      </c>
      <c r="T375" s="123" t="str">
        <f ca="1">IFERROR(__xludf.DUMMYFUNCTION("""COMPUTED_VALUE"""),"Haynes Deegan")</f>
        <v>Haynes Deegan</v>
      </c>
    </row>
    <row r="376" spans="1:20" ht="13.8">
      <c r="A376" s="118" t="str">
        <f ca="1">IFERROR(__xludf.DUMMYFUNCTION("""COMPUTED_VALUE"""),"DL")</f>
        <v>DL</v>
      </c>
      <c r="B376" s="119" t="str">
        <f ca="1">IFERROR(__xludf.DUMMYFUNCTION("""COMPUTED_VALUE"""),"Ezra Sherer")</f>
        <v>Ezra Sherer</v>
      </c>
      <c r="C376" s="118">
        <f ca="1">IFERROR(__xludf.DUMMYFUNCTION("""COMPUTED_VALUE"""),9)</f>
        <v>9</v>
      </c>
      <c r="D376" s="118" t="str">
        <f ca="1">IFERROR(__xludf.DUMMYFUNCTION("""COMPUTED_VALUE"""),"B")</f>
        <v>B</v>
      </c>
      <c r="E376" s="118" t="str">
        <f ca="1">IFERROR(__xludf.DUMMYFUNCTION("""COMPUTED_VALUE"""),"F")</f>
        <v>F</v>
      </c>
      <c r="F376" s="118" t="str">
        <f ca="1">IFERROR(__xludf.DUMMYFUNCTION("""COMPUTED_VALUE"""),"J")</f>
        <v>J</v>
      </c>
      <c r="G376" s="118">
        <f ca="1">IFERROR(__xludf.DUMMYFUNCTION("""COMPUTED_VALUE"""),3)</f>
        <v>3</v>
      </c>
      <c r="H376" s="118" t="str">
        <f ca="1">IFERROR(__xludf.DUMMYFUNCTION("""COMPUTED_VALUE"""),"DL")</f>
        <v>DL</v>
      </c>
      <c r="I376" s="118">
        <f ca="1">IFERROR(__xludf.DUMMYFUNCTION("""COMPUTED_VALUE"""),5)</f>
        <v>5</v>
      </c>
      <c r="J376" s="118">
        <f ca="1">IFERROR(__xludf.DUMMYFUNCTION("""COMPUTED_VALUE"""),0)</f>
        <v>0</v>
      </c>
      <c r="K376" s="120"/>
      <c r="L376" s="121"/>
      <c r="M376" s="120"/>
      <c r="N376" s="121"/>
      <c r="O376" s="120"/>
      <c r="P376" s="122"/>
      <c r="Q376" s="123" t="str">
        <f ca="1">IFERROR(__xludf.DUMMYFUNCTION("""COMPUTED_VALUE"""),"Evy Payne")</f>
        <v>Evy Payne</v>
      </c>
      <c r="R376" s="123" t="str">
        <f ca="1">IFERROR(__xludf.DUMMYFUNCTION("""COMPUTED_VALUE"""),"Konrad Epley")</f>
        <v>Konrad Epley</v>
      </c>
      <c r="S376" s="123" t="str">
        <f ca="1">IFERROR(__xludf.DUMMYFUNCTION("""COMPUTED_VALUE"""),"Elle Berry")</f>
        <v>Elle Berry</v>
      </c>
      <c r="T376" s="123" t="str">
        <f ca="1">IFERROR(__xludf.DUMMYFUNCTION("""COMPUTED_VALUE"""),"Henry Chang")</f>
        <v>Henry Chang</v>
      </c>
    </row>
    <row r="377" spans="1:20" ht="13.8">
      <c r="A377" s="118" t="str">
        <f ca="1">IFERROR(__xludf.DUMMYFUNCTION("""COMPUTED_VALUE"""),"DL")</f>
        <v>DL</v>
      </c>
      <c r="B377" s="119" t="str">
        <f ca="1">IFERROR(__xludf.DUMMYFUNCTION("""COMPUTED_VALUE"""),"Ryan Linegang")</f>
        <v>Ryan Linegang</v>
      </c>
      <c r="C377" s="118">
        <f ca="1">IFERROR(__xludf.DUMMYFUNCTION("""COMPUTED_VALUE"""),10)</f>
        <v>10</v>
      </c>
      <c r="D377" s="118" t="str">
        <f ca="1">IFERROR(__xludf.DUMMYFUNCTION("""COMPUTED_VALUE"""),"B")</f>
        <v>B</v>
      </c>
      <c r="E377" s="118" t="str">
        <f ca="1">IFERROR(__xludf.DUMMYFUNCTION("""COMPUTED_VALUE"""),"F")</f>
        <v>F</v>
      </c>
      <c r="F377" s="118" t="str">
        <f ca="1">IFERROR(__xludf.DUMMYFUNCTION("""COMPUTED_VALUE"""),"J")</f>
        <v>J</v>
      </c>
      <c r="G377" s="118">
        <f ca="1">IFERROR(__xludf.DUMMYFUNCTION("""COMPUTED_VALUE"""),3)</f>
        <v>3</v>
      </c>
      <c r="H377" s="118" t="str">
        <f ca="1">IFERROR(__xludf.DUMMYFUNCTION("""COMPUTED_VALUE"""),"DL")</f>
        <v>DL</v>
      </c>
      <c r="I377" s="118">
        <f ca="1">IFERROR(__xludf.DUMMYFUNCTION("""COMPUTED_VALUE"""),5)</f>
        <v>5</v>
      </c>
      <c r="J377" s="118">
        <f ca="1">IFERROR(__xludf.DUMMYFUNCTION("""COMPUTED_VALUE"""),5)</f>
        <v>5</v>
      </c>
      <c r="K377" s="120">
        <f ca="1">IFERROR(__xludf.DUMMYFUNCTION("""COMPUTED_VALUE"""),55.65)</f>
        <v>55.65</v>
      </c>
      <c r="L377" s="121"/>
      <c r="M377" s="120">
        <f ca="1">IFERROR(__xludf.DUMMYFUNCTION("""COMPUTED_VALUE"""),50.75)</f>
        <v>50.75</v>
      </c>
      <c r="N377" s="121"/>
      <c r="O377" s="120">
        <f ca="1">IFERROR(__xludf.DUMMYFUNCTION("""COMPUTED_VALUE"""),55.65)</f>
        <v>55.65</v>
      </c>
      <c r="P377" s="122"/>
      <c r="Q377" s="123" t="str">
        <f ca="1">IFERROR(__xludf.DUMMYFUNCTION("""COMPUTED_VALUE"""),"Farah Ahmadi")</f>
        <v>Farah Ahmadi</v>
      </c>
      <c r="R377" s="123" t="str">
        <f ca="1">IFERROR(__xludf.DUMMYFUNCTION("""COMPUTED_VALUE"""),"Kyle Schutt")</f>
        <v>Kyle Schutt</v>
      </c>
      <c r="S377" s="123" t="str">
        <f ca="1">IFERROR(__xludf.DUMMYFUNCTION("""COMPUTED_VALUE"""),"Elle Feeley")</f>
        <v>Elle Feeley</v>
      </c>
      <c r="T377" s="123" t="str">
        <f ca="1">IFERROR(__xludf.DUMMYFUNCTION("""COMPUTED_VALUE"""),"Henry Hall")</f>
        <v>Henry Hall</v>
      </c>
    </row>
    <row r="378" spans="1:20" ht="13.8">
      <c r="A378" s="118" t="str">
        <f ca="1">IFERROR(__xludf.DUMMYFUNCTION("""COMPUTED_VALUE"""),"DL")</f>
        <v>DL</v>
      </c>
      <c r="B378" s="119" t="str">
        <f ca="1">IFERROR(__xludf.DUMMYFUNCTION("""COMPUTED_VALUE"""),"Salvatore Matias")</f>
        <v>Salvatore Matias</v>
      </c>
      <c r="C378" s="118">
        <f ca="1">IFERROR(__xludf.DUMMYFUNCTION("""COMPUTED_VALUE"""),10)</f>
        <v>10</v>
      </c>
      <c r="D378" s="118" t="str">
        <f ca="1">IFERROR(__xludf.DUMMYFUNCTION("""COMPUTED_VALUE"""),"B")</f>
        <v>B</v>
      </c>
      <c r="E378" s="118" t="str">
        <f ca="1">IFERROR(__xludf.DUMMYFUNCTION("""COMPUTED_VALUE"""),"F")</f>
        <v>F</v>
      </c>
      <c r="F378" s="118" t="str">
        <f ca="1">IFERROR(__xludf.DUMMYFUNCTION("""COMPUTED_VALUE"""),"J")</f>
        <v>J</v>
      </c>
      <c r="G378" s="118">
        <f ca="1">IFERROR(__xludf.DUMMYFUNCTION("""COMPUTED_VALUE"""),3)</f>
        <v>3</v>
      </c>
      <c r="H378" s="118" t="str">
        <f ca="1">IFERROR(__xludf.DUMMYFUNCTION("""COMPUTED_VALUE"""),"DL")</f>
        <v>DL</v>
      </c>
      <c r="I378" s="118">
        <f ca="1">IFERROR(__xludf.DUMMYFUNCTION("""COMPUTED_VALUE"""),5)</f>
        <v>5</v>
      </c>
      <c r="J378" s="118">
        <f ca="1">IFERROR(__xludf.DUMMYFUNCTION("""COMPUTED_VALUE"""),3)</f>
        <v>3</v>
      </c>
      <c r="K378" s="120">
        <f ca="1">IFERROR(__xludf.DUMMYFUNCTION("""COMPUTED_VALUE"""),52.45)</f>
        <v>52.45</v>
      </c>
      <c r="L378" s="121"/>
      <c r="M378" s="120"/>
      <c r="N378" s="121"/>
      <c r="O378" s="120"/>
      <c r="P378" s="122"/>
      <c r="Q378" s="123" t="str">
        <f ca="1">IFERROR(__xludf.DUMMYFUNCTION("""COMPUTED_VALUE"""),"Farah Mazahery")</f>
        <v>Farah Mazahery</v>
      </c>
      <c r="R378" s="123" t="str">
        <f ca="1">IFERROR(__xludf.DUMMYFUNCTION("""COMPUTED_VALUE"""),"Lachlan Gellie")</f>
        <v>Lachlan Gellie</v>
      </c>
      <c r="S378" s="123" t="str">
        <f ca="1">IFERROR(__xludf.DUMMYFUNCTION("""COMPUTED_VALUE"""),"Elle Powers")</f>
        <v>Elle Powers</v>
      </c>
      <c r="T378" s="123" t="str">
        <f ca="1">IFERROR(__xludf.DUMMYFUNCTION("""COMPUTED_VALUE"""),"Henry Kreikemeier")</f>
        <v>Henry Kreikemeier</v>
      </c>
    </row>
    <row r="379" spans="1:20" ht="13.8">
      <c r="A379" s="118" t="str">
        <f ca="1">IFERROR(__xludf.DUMMYFUNCTION("""COMPUTED_VALUE"""),"DL")</f>
        <v>DL</v>
      </c>
      <c r="B379" s="119" t="str">
        <f ca="1">IFERROR(__xludf.DUMMYFUNCTION("""COMPUTED_VALUE"""),"Theodore Brewer")</f>
        <v>Theodore Brewer</v>
      </c>
      <c r="C379" s="118">
        <f ca="1">IFERROR(__xludf.DUMMYFUNCTION("""COMPUTED_VALUE"""),9)</f>
        <v>9</v>
      </c>
      <c r="D379" s="118" t="str">
        <f ca="1">IFERROR(__xludf.DUMMYFUNCTION("""COMPUTED_VALUE"""),"B")</f>
        <v>B</v>
      </c>
      <c r="E379" s="118" t="str">
        <f ca="1">IFERROR(__xludf.DUMMYFUNCTION("""COMPUTED_VALUE"""),"F")</f>
        <v>F</v>
      </c>
      <c r="F379" s="118" t="str">
        <f ca="1">IFERROR(__xludf.DUMMYFUNCTION("""COMPUTED_VALUE"""),"J")</f>
        <v>J</v>
      </c>
      <c r="G379" s="118">
        <f ca="1">IFERROR(__xludf.DUMMYFUNCTION("""COMPUTED_VALUE"""),3)</f>
        <v>3</v>
      </c>
      <c r="H379" s="118" t="str">
        <f ca="1">IFERROR(__xludf.DUMMYFUNCTION("""COMPUTED_VALUE"""),"DL")</f>
        <v>DL</v>
      </c>
      <c r="I379" s="118">
        <f ca="1">IFERROR(__xludf.DUMMYFUNCTION("""COMPUTED_VALUE"""),5)</f>
        <v>5</v>
      </c>
      <c r="J379" s="118">
        <f ca="1">IFERROR(__xludf.DUMMYFUNCTION("""COMPUTED_VALUE"""),5)</f>
        <v>5</v>
      </c>
      <c r="K379" s="120">
        <f ca="1">IFERROR(__xludf.DUMMYFUNCTION("""COMPUTED_VALUE"""),55.6)</f>
        <v>55.6</v>
      </c>
      <c r="L379" s="121"/>
      <c r="M379" s="120">
        <f ca="1">IFERROR(__xludf.DUMMYFUNCTION("""COMPUTED_VALUE"""),32.4)</f>
        <v>32.4</v>
      </c>
      <c r="N379" s="121"/>
      <c r="O379" s="120">
        <f ca="1">IFERROR(__xludf.DUMMYFUNCTION("""COMPUTED_VALUE"""),55.6)</f>
        <v>55.6</v>
      </c>
      <c r="P379" s="122"/>
      <c r="Q379" s="123" t="str">
        <f ca="1">IFERROR(__xludf.DUMMYFUNCTION("""COMPUTED_VALUE"""),"Felicity Hanlon")</f>
        <v>Felicity Hanlon</v>
      </c>
      <c r="R379" s="123" t="str">
        <f ca="1">IFERROR(__xludf.DUMMYFUNCTION("""COMPUTED_VALUE"""),"LaMonica Theo")</f>
        <v>LaMonica Theo</v>
      </c>
      <c r="S379" s="123" t="str">
        <f ca="1">IFERROR(__xludf.DUMMYFUNCTION("""COMPUTED_VALUE"""),"Ellie Bianco")</f>
        <v>Ellie Bianco</v>
      </c>
      <c r="T379" s="123" t="str">
        <f ca="1">IFERROR(__xludf.DUMMYFUNCTION("""COMPUTED_VALUE"""),"Henry Martin")</f>
        <v>Henry Martin</v>
      </c>
    </row>
    <row r="380" spans="1:20" ht="13.8">
      <c r="A380" s="118" t="str">
        <f ca="1">IFERROR(__xludf.DUMMYFUNCTION("""COMPUTED_VALUE"""),"DL")</f>
        <v>DL</v>
      </c>
      <c r="B380" s="119" t="str">
        <f ca="1">IFERROR(__xludf.DUMMYFUNCTION("""COMPUTED_VALUE"""),"Zak Kolonda")</f>
        <v>Zak Kolonda</v>
      </c>
      <c r="C380" s="118">
        <f ca="1">IFERROR(__xludf.DUMMYFUNCTION("""COMPUTED_VALUE"""),7)</f>
        <v>7</v>
      </c>
      <c r="D380" s="118" t="str">
        <f ca="1">IFERROR(__xludf.DUMMYFUNCTION("""COMPUTED_VALUE"""),"B")</f>
        <v>B</v>
      </c>
      <c r="E380" s="118" t="str">
        <f ca="1">IFERROR(__xludf.DUMMYFUNCTION("""COMPUTED_VALUE"""),"F")</f>
        <v>F</v>
      </c>
      <c r="F380" s="118" t="str">
        <f ca="1">IFERROR(__xludf.DUMMYFUNCTION("""COMPUTED_VALUE"""),"J")</f>
        <v>J</v>
      </c>
      <c r="G380" s="118">
        <f ca="1">IFERROR(__xludf.DUMMYFUNCTION("""COMPUTED_VALUE"""),3)</f>
        <v>3</v>
      </c>
      <c r="H380" s="118" t="str">
        <f ca="1">IFERROR(__xludf.DUMMYFUNCTION("""COMPUTED_VALUE"""),"DL")</f>
        <v>DL</v>
      </c>
      <c r="I380" s="118">
        <f ca="1">IFERROR(__xludf.DUMMYFUNCTION("""COMPUTED_VALUE"""),5)</f>
        <v>5</v>
      </c>
      <c r="J380" s="118">
        <f ca="1">IFERROR(__xludf.DUMMYFUNCTION("""COMPUTED_VALUE"""),0)</f>
        <v>0</v>
      </c>
      <c r="K380" s="120"/>
      <c r="L380" s="121"/>
      <c r="M380" s="120"/>
      <c r="N380" s="121"/>
      <c r="O380" s="120"/>
      <c r="P380" s="122"/>
      <c r="Q380" s="123" t="str">
        <f ca="1">IFERROR(__xludf.DUMMYFUNCTION("""COMPUTED_VALUE"""),"Finley McDonnell")</f>
        <v>Finley McDonnell</v>
      </c>
      <c r="R380" s="123" t="str">
        <f ca="1">IFERROR(__xludf.DUMMYFUNCTION("""COMPUTED_VALUE"""),"Landen Smith")</f>
        <v>Landen Smith</v>
      </c>
      <c r="S380" s="123" t="str">
        <f ca="1">IFERROR(__xludf.DUMMYFUNCTION("""COMPUTED_VALUE"""),"Ellie Clark")</f>
        <v>Ellie Clark</v>
      </c>
      <c r="T380" s="123" t="str">
        <f ca="1">IFERROR(__xludf.DUMMYFUNCTION("""COMPUTED_VALUE"""),"Henry Perkowski")</f>
        <v>Henry Perkowski</v>
      </c>
    </row>
    <row r="381" spans="1:20" ht="13.8">
      <c r="A381" s="118" t="str">
        <f ca="1">IFERROR(__xludf.DUMMYFUNCTION("""COMPUTED_VALUE"""),"DL")</f>
        <v>DL</v>
      </c>
      <c r="B381" s="119" t="str">
        <f ca="1">IFERROR(__xludf.DUMMYFUNCTION("""COMPUTED_VALUE"""),"Addison Morgan")</f>
        <v>Addison Morgan</v>
      </c>
      <c r="C381" s="118">
        <f ca="1">IFERROR(__xludf.DUMMYFUNCTION("""COMPUTED_VALUE"""),11)</f>
        <v>11</v>
      </c>
      <c r="D381" s="118" t="str">
        <f ca="1">IFERROR(__xludf.DUMMYFUNCTION("""COMPUTED_VALUE"""),"G")</f>
        <v>G</v>
      </c>
      <c r="E381" s="118" t="str">
        <f ca="1">IFERROR(__xludf.DUMMYFUNCTION("""COMPUTED_VALUE"""),"J")</f>
        <v>J</v>
      </c>
      <c r="F381" s="118" t="str">
        <f ca="1">IFERROR(__xludf.DUMMYFUNCTION("""COMPUTED_VALUE"""),"I")</f>
        <v>I</v>
      </c>
      <c r="G381" s="118">
        <f ca="1">IFERROR(__xludf.DUMMYFUNCTION("""COMPUTED_VALUE"""),3)</f>
        <v>3</v>
      </c>
      <c r="H381" s="118" t="str">
        <f ca="1">IFERROR(__xludf.DUMMYFUNCTION("""COMPUTED_VALUE"""),"DL")</f>
        <v>DL</v>
      </c>
      <c r="I381" s="118">
        <f ca="1">IFERROR(__xludf.DUMMYFUNCTION("""COMPUTED_VALUE"""),6)</f>
        <v>6</v>
      </c>
      <c r="J381" s="118">
        <f ca="1">IFERROR(__xludf.DUMMYFUNCTION("""COMPUTED_VALUE"""),0)</f>
        <v>0</v>
      </c>
      <c r="K381" s="120"/>
      <c r="L381" s="121"/>
      <c r="M381" s="120"/>
      <c r="N381" s="121"/>
      <c r="O381" s="120"/>
      <c r="P381" s="122"/>
      <c r="Q381" s="123" t="str">
        <f ca="1">IFERROR(__xludf.DUMMYFUNCTION("""COMPUTED_VALUE"""),"Fiona Bergen")</f>
        <v>Fiona Bergen</v>
      </c>
      <c r="R381" s="123" t="str">
        <f ca="1">IFERROR(__xludf.DUMMYFUNCTION("""COMPUTED_VALUE"""),"Landon Lucey")</f>
        <v>Landon Lucey</v>
      </c>
      <c r="S381" s="123" t="str">
        <f ca="1">IFERROR(__xludf.DUMMYFUNCTION("""COMPUTED_VALUE"""),"Ellie Collins")</f>
        <v>Ellie Collins</v>
      </c>
      <c r="T381" s="123" t="str">
        <f ca="1">IFERROR(__xludf.DUMMYFUNCTION("""COMPUTED_VALUE"""),"Henry Phoel")</f>
        <v>Henry Phoel</v>
      </c>
    </row>
    <row r="382" spans="1:20" ht="13.8">
      <c r="A382" s="118" t="str">
        <f ca="1">IFERROR(__xludf.DUMMYFUNCTION("""COMPUTED_VALUE"""),"DL")</f>
        <v>DL</v>
      </c>
      <c r="B382" s="119" t="str">
        <f ca="1">IFERROR(__xludf.DUMMYFUNCTION("""COMPUTED_VALUE"""),"Aira Kayastha")</f>
        <v>Aira Kayastha</v>
      </c>
      <c r="C382" s="118">
        <f ca="1">IFERROR(__xludf.DUMMYFUNCTION("""COMPUTED_VALUE"""),12)</f>
        <v>12</v>
      </c>
      <c r="D382" s="118" t="str">
        <f ca="1">IFERROR(__xludf.DUMMYFUNCTION("""COMPUTED_VALUE"""),"G")</f>
        <v>G</v>
      </c>
      <c r="E382" s="118" t="str">
        <f ca="1">IFERROR(__xludf.DUMMYFUNCTION("""COMPUTED_VALUE"""),"J")</f>
        <v>J</v>
      </c>
      <c r="F382" s="118" t="str">
        <f ca="1">IFERROR(__xludf.DUMMYFUNCTION("""COMPUTED_VALUE"""),"I")</f>
        <v>I</v>
      </c>
      <c r="G382" s="118">
        <f ca="1">IFERROR(__xludf.DUMMYFUNCTION("""COMPUTED_VALUE"""),3)</f>
        <v>3</v>
      </c>
      <c r="H382" s="118" t="str">
        <f ca="1">IFERROR(__xludf.DUMMYFUNCTION("""COMPUTED_VALUE"""),"DL")</f>
        <v>DL</v>
      </c>
      <c r="I382" s="118">
        <f ca="1">IFERROR(__xludf.DUMMYFUNCTION("""COMPUTED_VALUE"""),6)</f>
        <v>6</v>
      </c>
      <c r="J382" s="118">
        <f ca="1">IFERROR(__xludf.DUMMYFUNCTION("""COMPUTED_VALUE"""),0)</f>
        <v>0</v>
      </c>
      <c r="K382" s="120"/>
      <c r="L382" s="121"/>
      <c r="M382" s="120"/>
      <c r="N382" s="121"/>
      <c r="O382" s="120"/>
      <c r="P382" s="122"/>
      <c r="Q382" s="123" t="str">
        <f ca="1">IFERROR(__xludf.DUMMYFUNCTION("""COMPUTED_VALUE"""),"Fiona Brolin")</f>
        <v>Fiona Brolin</v>
      </c>
      <c r="R382" s="123" t="str">
        <f ca="1">IFERROR(__xludf.DUMMYFUNCTION("""COMPUTED_VALUE"""),"Landon Stang")</f>
        <v>Landon Stang</v>
      </c>
      <c r="S382" s="123" t="str">
        <f ca="1">IFERROR(__xludf.DUMMYFUNCTION("""COMPUTED_VALUE"""),"Ellie Cusner")</f>
        <v>Ellie Cusner</v>
      </c>
      <c r="T382" s="123" t="str">
        <f ca="1">IFERROR(__xludf.DUMMYFUNCTION("""COMPUTED_VALUE"""),"Henry Pyser")</f>
        <v>Henry Pyser</v>
      </c>
    </row>
    <row r="383" spans="1:20" ht="13.8">
      <c r="A383" s="118" t="str">
        <f ca="1">IFERROR(__xludf.DUMMYFUNCTION("""COMPUTED_VALUE"""),"DL")</f>
        <v>DL</v>
      </c>
      <c r="B383" s="119" t="str">
        <f ca="1">IFERROR(__xludf.DUMMYFUNCTION("""COMPUTED_VALUE"""),"Amelia Koch")</f>
        <v>Amelia Koch</v>
      </c>
      <c r="C383" s="118">
        <f ca="1">IFERROR(__xludf.DUMMYFUNCTION("""COMPUTED_VALUE"""),12)</f>
        <v>12</v>
      </c>
      <c r="D383" s="118" t="str">
        <f ca="1">IFERROR(__xludf.DUMMYFUNCTION("""COMPUTED_VALUE"""),"G")</f>
        <v>G</v>
      </c>
      <c r="E383" s="118" t="str">
        <f ca="1">IFERROR(__xludf.DUMMYFUNCTION("""COMPUTED_VALUE"""),"J")</f>
        <v>J</v>
      </c>
      <c r="F383" s="118" t="str">
        <f ca="1">IFERROR(__xludf.DUMMYFUNCTION("""COMPUTED_VALUE"""),"I")</f>
        <v>I</v>
      </c>
      <c r="G383" s="118">
        <f ca="1">IFERROR(__xludf.DUMMYFUNCTION("""COMPUTED_VALUE"""),3)</f>
        <v>3</v>
      </c>
      <c r="H383" s="118" t="str">
        <f ca="1">IFERROR(__xludf.DUMMYFUNCTION("""COMPUTED_VALUE"""),"DL")</f>
        <v>DL</v>
      </c>
      <c r="I383" s="118">
        <f ca="1">IFERROR(__xludf.DUMMYFUNCTION("""COMPUTED_VALUE"""),6)</f>
        <v>6</v>
      </c>
      <c r="J383" s="118">
        <f ca="1">IFERROR(__xludf.DUMMYFUNCTION("""COMPUTED_VALUE"""),0)</f>
        <v>0</v>
      </c>
      <c r="K383" s="120"/>
      <c r="L383" s="121"/>
      <c r="M383" s="120"/>
      <c r="N383" s="121"/>
      <c r="O383" s="120"/>
      <c r="P383" s="122"/>
      <c r="Q383" s="123" t="str">
        <f ca="1">IFERROR(__xludf.DUMMYFUNCTION("""COMPUTED_VALUE"""),"Fiona Gibson")</f>
        <v>Fiona Gibson</v>
      </c>
      <c r="R383" s="123" t="str">
        <f ca="1">IFERROR(__xludf.DUMMYFUNCTION("""COMPUTED_VALUE"""),"Landon Wade")</f>
        <v>Landon Wade</v>
      </c>
      <c r="S383" s="123" t="str">
        <f ca="1">IFERROR(__xludf.DUMMYFUNCTION("""COMPUTED_VALUE"""),"Ellie Farnsworth")</f>
        <v>Ellie Farnsworth</v>
      </c>
      <c r="T383" s="123" t="str">
        <f ca="1">IFERROR(__xludf.DUMMYFUNCTION("""COMPUTED_VALUE"""),"Henry Quillen")</f>
        <v>Henry Quillen</v>
      </c>
    </row>
    <row r="384" spans="1:20" ht="13.8">
      <c r="A384" s="118" t="str">
        <f ca="1">IFERROR(__xludf.DUMMYFUNCTION("""COMPUTED_VALUE"""),"DL")</f>
        <v>DL</v>
      </c>
      <c r="B384" s="119" t="str">
        <f ca="1">IFERROR(__xludf.DUMMYFUNCTION("""COMPUTED_VALUE"""),"Barbara Santley")</f>
        <v>Barbara Santley</v>
      </c>
      <c r="C384" s="118">
        <f ca="1">IFERROR(__xludf.DUMMYFUNCTION("""COMPUTED_VALUE"""),12)</f>
        <v>12</v>
      </c>
      <c r="D384" s="118" t="str">
        <f ca="1">IFERROR(__xludf.DUMMYFUNCTION("""COMPUTED_VALUE"""),"G")</f>
        <v>G</v>
      </c>
      <c r="E384" s="118" t="str">
        <f ca="1">IFERROR(__xludf.DUMMYFUNCTION("""COMPUTED_VALUE"""),"J")</f>
        <v>J</v>
      </c>
      <c r="F384" s="118" t="str">
        <f ca="1">IFERROR(__xludf.DUMMYFUNCTION("""COMPUTED_VALUE"""),"I")</f>
        <v>I</v>
      </c>
      <c r="G384" s="118">
        <f ca="1">IFERROR(__xludf.DUMMYFUNCTION("""COMPUTED_VALUE"""),3)</f>
        <v>3</v>
      </c>
      <c r="H384" s="118" t="str">
        <f ca="1">IFERROR(__xludf.DUMMYFUNCTION("""COMPUTED_VALUE"""),"DL")</f>
        <v>DL</v>
      </c>
      <c r="I384" s="118">
        <f ca="1">IFERROR(__xludf.DUMMYFUNCTION("""COMPUTED_VALUE"""),6)</f>
        <v>6</v>
      </c>
      <c r="J384" s="118">
        <f ca="1">IFERROR(__xludf.DUMMYFUNCTION("""COMPUTED_VALUE"""),2)</f>
        <v>2</v>
      </c>
      <c r="K384" s="120">
        <f ca="1">IFERROR(__xludf.DUMMYFUNCTION("""COMPUTED_VALUE"""),37.05)</f>
        <v>37.049999999999997</v>
      </c>
      <c r="L384" s="121"/>
      <c r="M384" s="120"/>
      <c r="N384" s="121"/>
      <c r="O384" s="120"/>
      <c r="P384" s="122"/>
      <c r="Q384" s="123" t="str">
        <f ca="1">IFERROR(__xludf.DUMMYFUNCTION("""COMPUTED_VALUE"""),"Fiona Whatley")</f>
        <v>Fiona Whatley</v>
      </c>
      <c r="R384" s="123" t="str">
        <f ca="1">IFERROR(__xludf.DUMMYFUNCTION("""COMPUTED_VALUE"""),"Laszlo Matias")</f>
        <v>Laszlo Matias</v>
      </c>
      <c r="S384" s="123" t="str">
        <f ca="1">IFERROR(__xludf.DUMMYFUNCTION("""COMPUTED_VALUE"""),"Ellie Gilman")</f>
        <v>Ellie Gilman</v>
      </c>
      <c r="T384" s="123" t="str">
        <f ca="1">IFERROR(__xludf.DUMMYFUNCTION("""COMPUTED_VALUE"""),"Henry Schmitt")</f>
        <v>Henry Schmitt</v>
      </c>
    </row>
    <row r="385" spans="1:20" ht="13.8">
      <c r="A385" s="118" t="str">
        <f ca="1">IFERROR(__xludf.DUMMYFUNCTION("""COMPUTED_VALUE"""),"DL")</f>
        <v>DL</v>
      </c>
      <c r="B385" s="119" t="str">
        <f ca="1">IFERROR(__xludf.DUMMYFUNCTION("""COMPUTED_VALUE"""),"Clara Beatty")</f>
        <v>Clara Beatty</v>
      </c>
      <c r="C385" s="118">
        <f ca="1">IFERROR(__xludf.DUMMYFUNCTION("""COMPUTED_VALUE"""),12)</f>
        <v>12</v>
      </c>
      <c r="D385" s="118" t="str">
        <f ca="1">IFERROR(__xludf.DUMMYFUNCTION("""COMPUTED_VALUE"""),"G")</f>
        <v>G</v>
      </c>
      <c r="E385" s="118" t="str">
        <f ca="1">IFERROR(__xludf.DUMMYFUNCTION("""COMPUTED_VALUE"""),"J")</f>
        <v>J</v>
      </c>
      <c r="F385" s="118" t="str">
        <f ca="1">IFERROR(__xludf.DUMMYFUNCTION("""COMPUTED_VALUE"""),"I")</f>
        <v>I</v>
      </c>
      <c r="G385" s="118">
        <f ca="1">IFERROR(__xludf.DUMMYFUNCTION("""COMPUTED_VALUE"""),3)</f>
        <v>3</v>
      </c>
      <c r="H385" s="118" t="str">
        <f ca="1">IFERROR(__xludf.DUMMYFUNCTION("""COMPUTED_VALUE"""),"DL")</f>
        <v>DL</v>
      </c>
      <c r="I385" s="118">
        <f ca="1">IFERROR(__xludf.DUMMYFUNCTION("""COMPUTED_VALUE"""),6)</f>
        <v>6</v>
      </c>
      <c r="J385" s="118">
        <f ca="1">IFERROR(__xludf.DUMMYFUNCTION("""COMPUTED_VALUE"""),5)</f>
        <v>5</v>
      </c>
      <c r="K385" s="120">
        <f ca="1">IFERROR(__xludf.DUMMYFUNCTION("""COMPUTED_VALUE"""),90.3)</f>
        <v>90.3</v>
      </c>
      <c r="L385" s="121"/>
      <c r="M385" s="120">
        <f ca="1">IFERROR(__xludf.DUMMYFUNCTION("""COMPUTED_VALUE"""),81.75)</f>
        <v>81.75</v>
      </c>
      <c r="N385" s="121"/>
      <c r="O385" s="120">
        <f ca="1">IFERROR(__xludf.DUMMYFUNCTION("""COMPUTED_VALUE"""),90.3)</f>
        <v>90.3</v>
      </c>
      <c r="P385" s="122"/>
      <c r="Q385" s="123" t="str">
        <f ca="1">IFERROR(__xludf.DUMMYFUNCTION("""COMPUTED_VALUE"""),"Fiorentina Vargas")</f>
        <v>Fiorentina Vargas</v>
      </c>
      <c r="R385" s="123" t="str">
        <f ca="1">IFERROR(__xludf.DUMMYFUNCTION("""COMPUTED_VALUE"""),"Late Entry")</f>
        <v>Late Entry</v>
      </c>
      <c r="S385" s="123" t="str">
        <f ca="1">IFERROR(__xludf.DUMMYFUNCTION("""COMPUTED_VALUE"""),"Ellie Hahn")</f>
        <v>Ellie Hahn</v>
      </c>
      <c r="T385" s="123" t="str">
        <f ca="1">IFERROR(__xludf.DUMMYFUNCTION("""COMPUTED_VALUE"""),"Henry Wisniewski")</f>
        <v>Henry Wisniewski</v>
      </c>
    </row>
    <row r="386" spans="1:20" ht="13.8">
      <c r="A386" s="118" t="str">
        <f ca="1">IFERROR(__xludf.DUMMYFUNCTION("""COMPUTED_VALUE"""),"DL")</f>
        <v>DL</v>
      </c>
      <c r="B386" s="119" t="str">
        <f ca="1">IFERROR(__xludf.DUMMYFUNCTION("""COMPUTED_VALUE"""),"Erin Martonik")</f>
        <v>Erin Martonik</v>
      </c>
      <c r="C386" s="118">
        <f ca="1">IFERROR(__xludf.DUMMYFUNCTION("""COMPUTED_VALUE"""),12)</f>
        <v>12</v>
      </c>
      <c r="D386" s="118" t="str">
        <f ca="1">IFERROR(__xludf.DUMMYFUNCTION("""COMPUTED_VALUE"""),"G")</f>
        <v>G</v>
      </c>
      <c r="E386" s="118" t="str">
        <f ca="1">IFERROR(__xludf.DUMMYFUNCTION("""COMPUTED_VALUE"""),"J")</f>
        <v>J</v>
      </c>
      <c r="F386" s="118" t="str">
        <f ca="1">IFERROR(__xludf.DUMMYFUNCTION("""COMPUTED_VALUE"""),"I")</f>
        <v>I</v>
      </c>
      <c r="G386" s="118">
        <f ca="1">IFERROR(__xludf.DUMMYFUNCTION("""COMPUTED_VALUE"""),3)</f>
        <v>3</v>
      </c>
      <c r="H386" s="118" t="str">
        <f ca="1">IFERROR(__xludf.DUMMYFUNCTION("""COMPUTED_VALUE"""),"DL")</f>
        <v>DL</v>
      </c>
      <c r="I386" s="118">
        <f ca="1">IFERROR(__xludf.DUMMYFUNCTION("""COMPUTED_VALUE"""),6)</f>
        <v>6</v>
      </c>
      <c r="J386" s="118">
        <f ca="1">IFERROR(__xludf.DUMMYFUNCTION("""COMPUTED_VALUE"""),5)</f>
        <v>5</v>
      </c>
      <c r="K386" s="120">
        <f ca="1">IFERROR(__xludf.DUMMYFUNCTION("""COMPUTED_VALUE"""),97.3)</f>
        <v>97.3</v>
      </c>
      <c r="L386" s="121"/>
      <c r="M386" s="120">
        <f ca="1">IFERROR(__xludf.DUMMYFUNCTION("""COMPUTED_VALUE"""),87.05)</f>
        <v>87.05</v>
      </c>
      <c r="N386" s="121"/>
      <c r="O386" s="120">
        <f ca="1">IFERROR(__xludf.DUMMYFUNCTION("""COMPUTED_VALUE"""),97.3)</f>
        <v>97.3</v>
      </c>
      <c r="P386" s="122"/>
      <c r="Q386" s="123" t="str">
        <f ca="1">IFERROR(__xludf.DUMMYFUNCTION("""COMPUTED_VALUE"""),"Flor Aldana")</f>
        <v>Flor Aldana</v>
      </c>
      <c r="R386" s="123" t="str">
        <f ca="1">IFERROR(__xludf.DUMMYFUNCTION("""COMPUTED_VALUE"""),"Leif Middendorf")</f>
        <v>Leif Middendorf</v>
      </c>
      <c r="S386" s="123" t="str">
        <f ca="1">IFERROR(__xludf.DUMMYFUNCTION("""COMPUTED_VALUE"""),"Ellie Hiscock")</f>
        <v>Ellie Hiscock</v>
      </c>
      <c r="T386" s="123" t="str">
        <f ca="1">IFERROR(__xludf.DUMMYFUNCTION("""COMPUTED_VALUE"""),"Hershey Zeeman")</f>
        <v>Hershey Zeeman</v>
      </c>
    </row>
    <row r="387" spans="1:20" ht="13.8">
      <c r="A387" s="118" t="str">
        <f ca="1">IFERROR(__xludf.DUMMYFUNCTION("""COMPUTED_VALUE"""),"DL")</f>
        <v>DL</v>
      </c>
      <c r="B387" s="119" t="str">
        <f ca="1">IFERROR(__xludf.DUMMYFUNCTION("""COMPUTED_VALUE"""),"Julianna Bosco")</f>
        <v>Julianna Bosco</v>
      </c>
      <c r="C387" s="118">
        <f ca="1">IFERROR(__xludf.DUMMYFUNCTION("""COMPUTED_VALUE"""),11)</f>
        <v>11</v>
      </c>
      <c r="D387" s="118" t="str">
        <f ca="1">IFERROR(__xludf.DUMMYFUNCTION("""COMPUTED_VALUE"""),"G")</f>
        <v>G</v>
      </c>
      <c r="E387" s="118" t="str">
        <f ca="1">IFERROR(__xludf.DUMMYFUNCTION("""COMPUTED_VALUE"""),"J")</f>
        <v>J</v>
      </c>
      <c r="F387" s="118" t="str">
        <f ca="1">IFERROR(__xludf.DUMMYFUNCTION("""COMPUTED_VALUE"""),"I")</f>
        <v>I</v>
      </c>
      <c r="G387" s="118">
        <f ca="1">IFERROR(__xludf.DUMMYFUNCTION("""COMPUTED_VALUE"""),3)</f>
        <v>3</v>
      </c>
      <c r="H387" s="118" t="str">
        <f ca="1">IFERROR(__xludf.DUMMYFUNCTION("""COMPUTED_VALUE"""),"DL")</f>
        <v>DL</v>
      </c>
      <c r="I387" s="118">
        <f ca="1">IFERROR(__xludf.DUMMYFUNCTION("""COMPUTED_VALUE"""),6)</f>
        <v>6</v>
      </c>
      <c r="J387" s="118">
        <f ca="1">IFERROR(__xludf.DUMMYFUNCTION("""COMPUTED_VALUE"""),1)</f>
        <v>1</v>
      </c>
      <c r="K387" s="120">
        <f ca="1">IFERROR(__xludf.DUMMYFUNCTION("""COMPUTED_VALUE"""),54.65)</f>
        <v>54.65</v>
      </c>
      <c r="L387" s="121"/>
      <c r="M387" s="120"/>
      <c r="N387" s="121"/>
      <c r="O387" s="120"/>
      <c r="P387" s="122"/>
      <c r="Q387" s="123" t="str">
        <f ca="1">IFERROR(__xludf.DUMMYFUNCTION("""COMPUTED_VALUE"""),"Florence Lodico")</f>
        <v>Florence Lodico</v>
      </c>
      <c r="R387" s="123" t="str">
        <f ca="1">IFERROR(__xludf.DUMMYFUNCTION("""COMPUTED_VALUE"""),"Leo Chang")</f>
        <v>Leo Chang</v>
      </c>
      <c r="S387" s="123" t="str">
        <f ca="1">IFERROR(__xludf.DUMMYFUNCTION("""COMPUTED_VALUE"""),"Ellie Joyce")</f>
        <v>Ellie Joyce</v>
      </c>
      <c r="T387" s="123" t="str">
        <f ca="1">IFERROR(__xludf.DUMMYFUNCTION("""COMPUTED_VALUE"""),"Holden Johnson")</f>
        <v>Holden Johnson</v>
      </c>
    </row>
    <row r="388" spans="1:20" ht="13.8">
      <c r="A388" s="118" t="str">
        <f ca="1">IFERROR(__xludf.DUMMYFUNCTION("""COMPUTED_VALUE"""),"DL")</f>
        <v>DL</v>
      </c>
      <c r="B388" s="119" t="str">
        <f ca="1">IFERROR(__xludf.DUMMYFUNCTION("""COMPUTED_VALUE"""),"Laila Kolonda")</f>
        <v>Laila Kolonda</v>
      </c>
      <c r="C388" s="118">
        <f ca="1">IFERROR(__xludf.DUMMYFUNCTION("""COMPUTED_VALUE"""),12)</f>
        <v>12</v>
      </c>
      <c r="D388" s="118" t="str">
        <f ca="1">IFERROR(__xludf.DUMMYFUNCTION("""COMPUTED_VALUE"""),"G")</f>
        <v>G</v>
      </c>
      <c r="E388" s="118" t="str">
        <f ca="1">IFERROR(__xludf.DUMMYFUNCTION("""COMPUTED_VALUE"""),"J")</f>
        <v>J</v>
      </c>
      <c r="F388" s="118" t="str">
        <f ca="1">IFERROR(__xludf.DUMMYFUNCTION("""COMPUTED_VALUE"""),"I")</f>
        <v>I</v>
      </c>
      <c r="G388" s="118">
        <f ca="1">IFERROR(__xludf.DUMMYFUNCTION("""COMPUTED_VALUE"""),3)</f>
        <v>3</v>
      </c>
      <c r="H388" s="118" t="str">
        <f ca="1">IFERROR(__xludf.DUMMYFUNCTION("""COMPUTED_VALUE"""),"DL")</f>
        <v>DL</v>
      </c>
      <c r="I388" s="118">
        <f ca="1">IFERROR(__xludf.DUMMYFUNCTION("""COMPUTED_VALUE"""),6)</f>
        <v>6</v>
      </c>
      <c r="J388" s="118">
        <f ca="1">IFERROR(__xludf.DUMMYFUNCTION("""COMPUTED_VALUE"""),0)</f>
        <v>0</v>
      </c>
      <c r="K388" s="120"/>
      <c r="L388" s="121"/>
      <c r="M388" s="120"/>
      <c r="N388" s="121"/>
      <c r="O388" s="120"/>
      <c r="P388" s="122"/>
      <c r="Q388" s="123" t="str">
        <f ca="1">IFERROR(__xludf.DUMMYFUNCTION("""COMPUTED_VALUE"""),"Francesca Hernandez")</f>
        <v>Francesca Hernandez</v>
      </c>
      <c r="R388" s="123" t="str">
        <f ca="1">IFERROR(__xludf.DUMMYFUNCTION("""COMPUTED_VALUE"""),"Leo Nadasi")</f>
        <v>Leo Nadasi</v>
      </c>
      <c r="S388" s="123" t="str">
        <f ca="1">IFERROR(__xludf.DUMMYFUNCTION("""COMPUTED_VALUE"""),"Ellie Kisiel")</f>
        <v>Ellie Kisiel</v>
      </c>
      <c r="T388" s="123" t="str">
        <f ca="1">IFERROR(__xludf.DUMMYFUNCTION("""COMPUTED_VALUE"""),"Hudson Lybarger")</f>
        <v>Hudson Lybarger</v>
      </c>
    </row>
    <row r="389" spans="1:20" ht="13.8">
      <c r="A389" s="118" t="str">
        <f ca="1">IFERROR(__xludf.DUMMYFUNCTION("""COMPUTED_VALUE"""),"DL")</f>
        <v>DL</v>
      </c>
      <c r="B389" s="119" t="str">
        <f ca="1">IFERROR(__xludf.DUMMYFUNCTION("""COMPUTED_VALUE"""),"Megan Lam")</f>
        <v>Megan Lam</v>
      </c>
      <c r="C389" s="118">
        <f ca="1">IFERROR(__xludf.DUMMYFUNCTION("""COMPUTED_VALUE"""),12)</f>
        <v>12</v>
      </c>
      <c r="D389" s="118" t="str">
        <f ca="1">IFERROR(__xludf.DUMMYFUNCTION("""COMPUTED_VALUE"""),"G")</f>
        <v>G</v>
      </c>
      <c r="E389" s="118" t="str">
        <f ca="1">IFERROR(__xludf.DUMMYFUNCTION("""COMPUTED_VALUE"""),"J")</f>
        <v>J</v>
      </c>
      <c r="F389" s="118" t="str">
        <f ca="1">IFERROR(__xludf.DUMMYFUNCTION("""COMPUTED_VALUE"""),"I")</f>
        <v>I</v>
      </c>
      <c r="G389" s="118">
        <f ca="1">IFERROR(__xludf.DUMMYFUNCTION("""COMPUTED_VALUE"""),3)</f>
        <v>3</v>
      </c>
      <c r="H389" s="118" t="str">
        <f ca="1">IFERROR(__xludf.DUMMYFUNCTION("""COMPUTED_VALUE"""),"DL")</f>
        <v>DL</v>
      </c>
      <c r="I389" s="118">
        <f ca="1">IFERROR(__xludf.DUMMYFUNCTION("""COMPUTED_VALUE"""),6)</f>
        <v>6</v>
      </c>
      <c r="J389" s="118">
        <f ca="1">IFERROR(__xludf.DUMMYFUNCTION("""COMPUTED_VALUE"""),1)</f>
        <v>1</v>
      </c>
      <c r="K389" s="120"/>
      <c r="L389" s="121"/>
      <c r="M389" s="120"/>
      <c r="N389" s="121"/>
      <c r="O389" s="120"/>
      <c r="P389" s="122"/>
      <c r="Q389" s="123" t="str">
        <f ca="1">IFERROR(__xludf.DUMMYFUNCTION("""COMPUTED_VALUE"""),"Frankie Eckenrode")</f>
        <v>Frankie Eckenrode</v>
      </c>
      <c r="R389" s="123" t="str">
        <f ca="1">IFERROR(__xludf.DUMMYFUNCTION("""COMPUTED_VALUE"""),"Leo Yarmolovich")</f>
        <v>Leo Yarmolovich</v>
      </c>
      <c r="S389" s="123" t="str">
        <f ca="1">IFERROR(__xludf.DUMMYFUNCTION("""COMPUTED_VALUE"""),"Ellie Lee")</f>
        <v>Ellie Lee</v>
      </c>
      <c r="T389" s="123" t="str">
        <f ca="1">IFERROR(__xludf.DUMMYFUNCTION("""COMPUTED_VALUE"""),"Hudson Lynch")</f>
        <v>Hudson Lynch</v>
      </c>
    </row>
    <row r="390" spans="1:20" ht="13.8">
      <c r="A390" s="118" t="str">
        <f ca="1">IFERROR(__xludf.DUMMYFUNCTION("""COMPUTED_VALUE"""),"DL")</f>
        <v>DL</v>
      </c>
      <c r="B390" s="119" t="str">
        <f ca="1">IFERROR(__xludf.DUMMYFUNCTION("""COMPUTED_VALUE"""),"Naomi Sherer")</f>
        <v>Naomi Sherer</v>
      </c>
      <c r="C390" s="118">
        <f ca="1">IFERROR(__xludf.DUMMYFUNCTION("""COMPUTED_VALUE"""),12)</f>
        <v>12</v>
      </c>
      <c r="D390" s="118" t="str">
        <f ca="1">IFERROR(__xludf.DUMMYFUNCTION("""COMPUTED_VALUE"""),"G")</f>
        <v>G</v>
      </c>
      <c r="E390" s="118" t="str">
        <f ca="1">IFERROR(__xludf.DUMMYFUNCTION("""COMPUTED_VALUE"""),"J")</f>
        <v>J</v>
      </c>
      <c r="F390" s="118" t="str">
        <f ca="1">IFERROR(__xludf.DUMMYFUNCTION("""COMPUTED_VALUE"""),"I")</f>
        <v>I</v>
      </c>
      <c r="G390" s="118">
        <f ca="1">IFERROR(__xludf.DUMMYFUNCTION("""COMPUTED_VALUE"""),3)</f>
        <v>3</v>
      </c>
      <c r="H390" s="118" t="str">
        <f ca="1">IFERROR(__xludf.DUMMYFUNCTION("""COMPUTED_VALUE"""),"DL")</f>
        <v>DL</v>
      </c>
      <c r="I390" s="118">
        <f ca="1">IFERROR(__xludf.DUMMYFUNCTION("""COMPUTED_VALUE"""),6)</f>
        <v>6</v>
      </c>
      <c r="J390" s="118">
        <f ca="1">IFERROR(__xludf.DUMMYFUNCTION("""COMPUTED_VALUE"""),0)</f>
        <v>0</v>
      </c>
      <c r="K390" s="120"/>
      <c r="L390" s="121"/>
      <c r="M390" s="120"/>
      <c r="N390" s="121"/>
      <c r="O390" s="120"/>
      <c r="P390" s="122"/>
      <c r="Q390" s="123" t="str">
        <f ca="1">IFERROR(__xludf.DUMMYFUNCTION("""COMPUTED_VALUE"""),"Frankie Herrick")</f>
        <v>Frankie Herrick</v>
      </c>
      <c r="R390" s="123" t="str">
        <f ca="1">IFERROR(__xludf.DUMMYFUNCTION("""COMPUTED_VALUE"""),"Leonardo Hardin")</f>
        <v>Leonardo Hardin</v>
      </c>
      <c r="S390" s="123" t="str">
        <f ca="1">IFERROR(__xludf.DUMMYFUNCTION("""COMPUTED_VALUE"""),"Ellie Mallard")</f>
        <v>Ellie Mallard</v>
      </c>
      <c r="T390" s="123" t="str">
        <f ca="1">IFERROR(__xludf.DUMMYFUNCTION("""COMPUTED_VALUE"""),"Hudson Moeller")</f>
        <v>Hudson Moeller</v>
      </c>
    </row>
    <row r="391" spans="1:20" ht="13.8">
      <c r="A391" s="118" t="str">
        <f ca="1">IFERROR(__xludf.DUMMYFUNCTION("""COMPUTED_VALUE"""),"DL")</f>
        <v>DL</v>
      </c>
      <c r="B391" s="119" t="str">
        <f ca="1">IFERROR(__xludf.DUMMYFUNCTION("""COMPUTED_VALUE"""),"Vivie Lee")</f>
        <v>Vivie Lee</v>
      </c>
      <c r="C391" s="118">
        <f ca="1">IFERROR(__xludf.DUMMYFUNCTION("""COMPUTED_VALUE"""),11)</f>
        <v>11</v>
      </c>
      <c r="D391" s="118" t="str">
        <f ca="1">IFERROR(__xludf.DUMMYFUNCTION("""COMPUTED_VALUE"""),"G")</f>
        <v>G</v>
      </c>
      <c r="E391" s="118" t="str">
        <f ca="1">IFERROR(__xludf.DUMMYFUNCTION("""COMPUTED_VALUE"""),"J")</f>
        <v>J</v>
      </c>
      <c r="F391" s="118" t="str">
        <f ca="1">IFERROR(__xludf.DUMMYFUNCTION("""COMPUTED_VALUE"""),"I")</f>
        <v>I</v>
      </c>
      <c r="G391" s="118">
        <f ca="1">IFERROR(__xludf.DUMMYFUNCTION("""COMPUTED_VALUE"""),3)</f>
        <v>3</v>
      </c>
      <c r="H391" s="118" t="str">
        <f ca="1">IFERROR(__xludf.DUMMYFUNCTION("""COMPUTED_VALUE"""),"DL")</f>
        <v>DL</v>
      </c>
      <c r="I391" s="118">
        <f ca="1">IFERROR(__xludf.DUMMYFUNCTION("""COMPUTED_VALUE"""),6)</f>
        <v>6</v>
      </c>
      <c r="J391" s="118">
        <f ca="1">IFERROR(__xludf.DUMMYFUNCTION("""COMPUTED_VALUE"""),0)</f>
        <v>0</v>
      </c>
      <c r="K391" s="120"/>
      <c r="L391" s="121"/>
      <c r="M391" s="120"/>
      <c r="N391" s="121"/>
      <c r="O391" s="120"/>
      <c r="P391" s="122"/>
      <c r="Q391" s="123" t="str">
        <f ca="1">IFERROR(__xludf.DUMMYFUNCTION("""COMPUTED_VALUE"""),"Frankie Wilson")</f>
        <v>Frankie Wilson</v>
      </c>
      <c r="R391" s="123" t="str">
        <f ca="1">IFERROR(__xludf.DUMMYFUNCTION("""COMPUTED_VALUE"""),"Levi Lesser")</f>
        <v>Levi Lesser</v>
      </c>
      <c r="S391" s="123" t="str">
        <f ca="1">IFERROR(__xludf.DUMMYFUNCTION("""COMPUTED_VALUE"""),"Ellie Phillips")</f>
        <v>Ellie Phillips</v>
      </c>
      <c r="T391" s="123" t="str">
        <f ca="1">IFERROR(__xludf.DUMMYFUNCTION("""COMPUTED_VALUE"""),"Hugo Kroely")</f>
        <v>Hugo Kroely</v>
      </c>
    </row>
    <row r="392" spans="1:20" ht="13.8">
      <c r="A392" s="118" t="str">
        <f ca="1">IFERROR(__xludf.DUMMYFUNCTION("""COMPUTED_VALUE"""),"DL")</f>
        <v>DL</v>
      </c>
      <c r="B392" s="119" t="str">
        <f ca="1">IFERROR(__xludf.DUMMYFUNCTION("""COMPUTED_VALUE"""),"Laszlo Matias")</f>
        <v>Laszlo Matias</v>
      </c>
      <c r="C392" s="118">
        <f ca="1">IFERROR(__xludf.DUMMYFUNCTION("""COMPUTED_VALUE"""),11)</f>
        <v>11</v>
      </c>
      <c r="D392" s="118" t="str">
        <f ca="1">IFERROR(__xludf.DUMMYFUNCTION("""COMPUTED_VALUE"""),"B")</f>
        <v>B</v>
      </c>
      <c r="E392" s="118" t="str">
        <f ca="1">IFERROR(__xludf.DUMMYFUNCTION("""COMPUTED_VALUE"""),"J")</f>
        <v>J</v>
      </c>
      <c r="F392" s="118" t="str">
        <f ca="1">IFERROR(__xludf.DUMMYFUNCTION("""COMPUTED_VALUE"""),"I")</f>
        <v>I</v>
      </c>
      <c r="G392" s="118">
        <f ca="1">IFERROR(__xludf.DUMMYFUNCTION("""COMPUTED_VALUE"""),3)</f>
        <v>3</v>
      </c>
      <c r="H392" s="118" t="str">
        <f ca="1">IFERROR(__xludf.DUMMYFUNCTION("""COMPUTED_VALUE"""),"DL")</f>
        <v>DL</v>
      </c>
      <c r="I392" s="118">
        <f ca="1">IFERROR(__xludf.DUMMYFUNCTION("""COMPUTED_VALUE"""),7)</f>
        <v>7</v>
      </c>
      <c r="J392" s="118">
        <f ca="1">IFERROR(__xludf.DUMMYFUNCTION("""COMPUTED_VALUE"""),4)</f>
        <v>4</v>
      </c>
      <c r="K392" s="120">
        <f ca="1">IFERROR(__xludf.DUMMYFUNCTION("""COMPUTED_VALUE"""),64.65)</f>
        <v>64.650000000000006</v>
      </c>
      <c r="L392" s="121"/>
      <c r="M392" s="120">
        <f ca="1">IFERROR(__xludf.DUMMYFUNCTION("""COMPUTED_VALUE"""),61.1)</f>
        <v>61.1</v>
      </c>
      <c r="N392" s="121"/>
      <c r="O392" s="120"/>
      <c r="P392" s="122"/>
      <c r="Q392" s="123" t="str">
        <f ca="1">IFERROR(__xludf.DUMMYFUNCTION("""COMPUTED_VALUE"""),"Gabby Heredia")</f>
        <v>Gabby Heredia</v>
      </c>
      <c r="R392" s="123" t="str">
        <f ca="1">IFERROR(__xludf.DUMMYFUNCTION("""COMPUTED_VALUE"""),"Liam Cahill")</f>
        <v>Liam Cahill</v>
      </c>
      <c r="S392" s="123" t="str">
        <f ca="1">IFERROR(__xludf.DUMMYFUNCTION("""COMPUTED_VALUE"""),"Ellie Schwarz")</f>
        <v>Ellie Schwarz</v>
      </c>
      <c r="T392" s="123" t="str">
        <f ca="1">IFERROR(__xludf.DUMMYFUNCTION("""COMPUTED_VALUE"""),"Hunter Sheldon")</f>
        <v>Hunter Sheldon</v>
      </c>
    </row>
    <row r="393" spans="1:20" ht="13.8">
      <c r="A393" s="118" t="str">
        <f ca="1">IFERROR(__xludf.DUMMYFUNCTION("""COMPUTED_VALUE"""),"DL")</f>
        <v>DL</v>
      </c>
      <c r="B393" s="119" t="str">
        <f ca="1">IFERROR(__xludf.DUMMYFUNCTION("""COMPUTED_VALUE"""),"TJ DeSando")</f>
        <v>TJ DeSando</v>
      </c>
      <c r="C393" s="118">
        <f ca="1">IFERROR(__xludf.DUMMYFUNCTION("""COMPUTED_VALUE"""),11)</f>
        <v>11</v>
      </c>
      <c r="D393" s="118" t="str">
        <f ca="1">IFERROR(__xludf.DUMMYFUNCTION("""COMPUTED_VALUE"""),"B")</f>
        <v>B</v>
      </c>
      <c r="E393" s="118" t="str">
        <f ca="1">IFERROR(__xludf.DUMMYFUNCTION("""COMPUTED_VALUE"""),"J")</f>
        <v>J</v>
      </c>
      <c r="F393" s="118" t="str">
        <f ca="1">IFERROR(__xludf.DUMMYFUNCTION("""COMPUTED_VALUE"""),"I")</f>
        <v>I</v>
      </c>
      <c r="G393" s="118">
        <f ca="1">IFERROR(__xludf.DUMMYFUNCTION("""COMPUTED_VALUE"""),3)</f>
        <v>3</v>
      </c>
      <c r="H393" s="118" t="str">
        <f ca="1">IFERROR(__xludf.DUMMYFUNCTION("""COMPUTED_VALUE"""),"DL")</f>
        <v>DL</v>
      </c>
      <c r="I393" s="118">
        <f ca="1">IFERROR(__xludf.DUMMYFUNCTION("""COMPUTED_VALUE"""),7)</f>
        <v>7</v>
      </c>
      <c r="J393" s="118">
        <f ca="1">IFERROR(__xludf.DUMMYFUNCTION("""COMPUTED_VALUE"""),3)</f>
        <v>3</v>
      </c>
      <c r="K393" s="120">
        <f ca="1">IFERROR(__xludf.DUMMYFUNCTION("""COMPUTED_VALUE"""),109.4)</f>
        <v>109.4</v>
      </c>
      <c r="L393" s="121"/>
      <c r="M393" s="120">
        <f ca="1">IFERROR(__xludf.DUMMYFUNCTION("""COMPUTED_VALUE"""),102.45)</f>
        <v>102.45</v>
      </c>
      <c r="N393" s="121"/>
      <c r="O393" s="120">
        <f ca="1">IFERROR(__xludf.DUMMYFUNCTION("""COMPUTED_VALUE"""),109.4)</f>
        <v>109.4</v>
      </c>
      <c r="P393" s="122"/>
      <c r="Q393" s="123" t="str">
        <f ca="1">IFERROR(__xludf.DUMMYFUNCTION("""COMPUTED_VALUE"""),"Gabby Koclanes")</f>
        <v>Gabby Koclanes</v>
      </c>
      <c r="R393" s="123" t="str">
        <f ca="1">IFERROR(__xludf.DUMMYFUNCTION("""COMPUTED_VALUE"""),"Liam Ezekiel")</f>
        <v>Liam Ezekiel</v>
      </c>
      <c r="S393" s="123" t="str">
        <f ca="1">IFERROR(__xludf.DUMMYFUNCTION("""COMPUTED_VALUE"""),"Ellie Tenor")</f>
        <v>Ellie Tenor</v>
      </c>
      <c r="T393" s="123" t="str">
        <f ca="1">IFERROR(__xludf.DUMMYFUNCTION("""COMPUTED_VALUE"""),"Hunter Simms")</f>
        <v>Hunter Simms</v>
      </c>
    </row>
    <row r="394" spans="1:20" ht="13.8">
      <c r="A394" s="118" t="str">
        <f ca="1">IFERROR(__xludf.DUMMYFUNCTION("""COMPUTED_VALUE"""),"DL")</f>
        <v>DL</v>
      </c>
      <c r="B394" s="119" t="str">
        <f ca="1">IFERROR(__xludf.DUMMYFUNCTION("""COMPUTED_VALUE"""),"Audrey Crane")</f>
        <v>Audrey Crane</v>
      </c>
      <c r="C394" s="118">
        <f ca="1">IFERROR(__xludf.DUMMYFUNCTION("""COMPUTED_VALUE"""),13)</f>
        <v>13</v>
      </c>
      <c r="D394" s="118" t="str">
        <f ca="1">IFERROR(__xludf.DUMMYFUNCTION("""COMPUTED_VALUE"""),"G")</f>
        <v>G</v>
      </c>
      <c r="E394" s="118" t="str">
        <f ca="1">IFERROR(__xludf.DUMMYFUNCTION("""COMPUTED_VALUE"""),"I")</f>
        <v>I</v>
      </c>
      <c r="F394" s="118" t="str">
        <f ca="1">IFERROR(__xludf.DUMMYFUNCTION("""COMPUTED_VALUE"""),"S")</f>
        <v>S</v>
      </c>
      <c r="G394" s="118">
        <f ca="1">IFERROR(__xludf.DUMMYFUNCTION("""COMPUTED_VALUE"""),3)</f>
        <v>3</v>
      </c>
      <c r="H394" s="118" t="str">
        <f ca="1">IFERROR(__xludf.DUMMYFUNCTION("""COMPUTED_VALUE"""),"DL")</f>
        <v>DL</v>
      </c>
      <c r="I394" s="118">
        <f ca="1">IFERROR(__xludf.DUMMYFUNCTION("""COMPUTED_VALUE"""),8)</f>
        <v>8</v>
      </c>
      <c r="J394" s="118">
        <f ca="1">IFERROR(__xludf.DUMMYFUNCTION("""COMPUTED_VALUE"""),1)</f>
        <v>1</v>
      </c>
      <c r="K394" s="120"/>
      <c r="L394" s="121"/>
      <c r="M394" s="120"/>
      <c r="N394" s="121"/>
      <c r="O394" s="120"/>
      <c r="P394" s="122"/>
      <c r="Q394" s="123" t="str">
        <f ca="1">IFERROR(__xludf.DUMMYFUNCTION("""COMPUTED_VALUE"""),"Gabi Rodriguez")</f>
        <v>Gabi Rodriguez</v>
      </c>
      <c r="R394" s="123" t="str">
        <f ca="1">IFERROR(__xludf.DUMMYFUNCTION("""COMPUTED_VALUE"""),"Liam Johns")</f>
        <v>Liam Johns</v>
      </c>
      <c r="S394" s="123" t="str">
        <f ca="1">IFERROR(__xludf.DUMMYFUNCTION("""COMPUTED_VALUE"""),"Elm Burke")</f>
        <v>Elm Burke</v>
      </c>
      <c r="T394" s="123" t="str">
        <f ca="1">IFERROR(__xludf.DUMMYFUNCTION("""COMPUTED_VALUE"""),"Hynes Tran")</f>
        <v>Hynes Tran</v>
      </c>
    </row>
    <row r="395" spans="1:20" ht="13.8">
      <c r="A395" s="118" t="str">
        <f ca="1">IFERROR(__xludf.DUMMYFUNCTION("""COMPUTED_VALUE"""),"DL")</f>
        <v>DL</v>
      </c>
      <c r="B395" s="119" t="str">
        <f ca="1">IFERROR(__xludf.DUMMYFUNCTION("""COMPUTED_VALUE"""),"Sophie Ratner")</f>
        <v>Sophie Ratner</v>
      </c>
      <c r="C395" s="118">
        <f ca="1">IFERROR(__xludf.DUMMYFUNCTION("""COMPUTED_VALUE"""),14)</f>
        <v>14</v>
      </c>
      <c r="D395" s="118" t="str">
        <f ca="1">IFERROR(__xludf.DUMMYFUNCTION("""COMPUTED_VALUE"""),"G")</f>
        <v>G</v>
      </c>
      <c r="E395" s="118" t="str">
        <f ca="1">IFERROR(__xludf.DUMMYFUNCTION("""COMPUTED_VALUE"""),"I")</f>
        <v>I</v>
      </c>
      <c r="F395" s="118" t="str">
        <f ca="1">IFERROR(__xludf.DUMMYFUNCTION("""COMPUTED_VALUE"""),"S")</f>
        <v>S</v>
      </c>
      <c r="G395" s="118">
        <f ca="1">IFERROR(__xludf.DUMMYFUNCTION("""COMPUTED_VALUE"""),3)</f>
        <v>3</v>
      </c>
      <c r="H395" s="118" t="str">
        <f ca="1">IFERROR(__xludf.DUMMYFUNCTION("""COMPUTED_VALUE"""),"DL")</f>
        <v>DL</v>
      </c>
      <c r="I395" s="118">
        <f ca="1">IFERROR(__xludf.DUMMYFUNCTION("""COMPUTED_VALUE"""),8)</f>
        <v>8</v>
      </c>
      <c r="J395" s="118">
        <f ca="1">IFERROR(__xludf.DUMMYFUNCTION("""COMPUTED_VALUE"""),4)</f>
        <v>4</v>
      </c>
      <c r="K395" s="120">
        <f ca="1">IFERROR(__xludf.DUMMYFUNCTION("""COMPUTED_VALUE"""),117.7)</f>
        <v>117.7</v>
      </c>
      <c r="L395" s="121"/>
      <c r="M395" s="120"/>
      <c r="N395" s="121"/>
      <c r="O395" s="120">
        <f ca="1">IFERROR(__xludf.DUMMYFUNCTION("""COMPUTED_VALUE"""),117.7)</f>
        <v>117.7</v>
      </c>
      <c r="P395" s="122"/>
      <c r="Q395" s="123" t="str">
        <f ca="1">IFERROR(__xludf.DUMMYFUNCTION("""COMPUTED_VALUE"""),"Gabi Simone")</f>
        <v>Gabi Simone</v>
      </c>
      <c r="R395" s="123" t="str">
        <f ca="1">IFERROR(__xludf.DUMMYFUNCTION("""COMPUTED_VALUE"""),"Liam Redington")</f>
        <v>Liam Redington</v>
      </c>
      <c r="S395" s="123" t="str">
        <f ca="1">IFERROR(__xludf.DUMMYFUNCTION("""COMPUTED_VALUE"""),"Eloise Berthe")</f>
        <v>Eloise Berthe</v>
      </c>
      <c r="T395" s="123" t="str">
        <f ca="1">IFERROR(__xludf.DUMMYFUNCTION("""COMPUTED_VALUE"""),"Ian Bradley")</f>
        <v>Ian Bradley</v>
      </c>
    </row>
    <row r="396" spans="1:20" ht="13.8">
      <c r="A396" s="118" t="str">
        <f ca="1">IFERROR(__xludf.DUMMYFUNCTION("""COMPUTED_VALUE"""),"DL")</f>
        <v>DL</v>
      </c>
      <c r="B396" s="119" t="str">
        <f ca="1">IFERROR(__xludf.DUMMYFUNCTION("""COMPUTED_VALUE"""),"Vera Boon")</f>
        <v>Vera Boon</v>
      </c>
      <c r="C396" s="118">
        <f ca="1">IFERROR(__xludf.DUMMYFUNCTION("""COMPUTED_VALUE"""),13)</f>
        <v>13</v>
      </c>
      <c r="D396" s="118" t="str">
        <f ca="1">IFERROR(__xludf.DUMMYFUNCTION("""COMPUTED_VALUE"""),"G")</f>
        <v>G</v>
      </c>
      <c r="E396" s="118" t="str">
        <f ca="1">IFERROR(__xludf.DUMMYFUNCTION("""COMPUTED_VALUE"""),"I")</f>
        <v>I</v>
      </c>
      <c r="F396" s="118" t="str">
        <f ca="1">IFERROR(__xludf.DUMMYFUNCTION("""COMPUTED_VALUE"""),"S")</f>
        <v>S</v>
      </c>
      <c r="G396" s="118">
        <f ca="1">IFERROR(__xludf.DUMMYFUNCTION("""COMPUTED_VALUE"""),3)</f>
        <v>3</v>
      </c>
      <c r="H396" s="118" t="str">
        <f ca="1">IFERROR(__xludf.DUMMYFUNCTION("""COMPUTED_VALUE"""),"DL")</f>
        <v>DL</v>
      </c>
      <c r="I396" s="118">
        <f ca="1">IFERROR(__xludf.DUMMYFUNCTION("""COMPUTED_VALUE"""),8)</f>
        <v>8</v>
      </c>
      <c r="J396" s="118">
        <f ca="1">IFERROR(__xludf.DUMMYFUNCTION("""COMPUTED_VALUE"""),0)</f>
        <v>0</v>
      </c>
      <c r="K396" s="120"/>
      <c r="L396" s="121"/>
      <c r="M396" s="120"/>
      <c r="N396" s="121"/>
      <c r="O396" s="120"/>
      <c r="P396" s="122"/>
      <c r="Q396" s="123" t="str">
        <f ca="1">IFERROR(__xludf.DUMMYFUNCTION("""COMPUTED_VALUE"""),"Gabriela Perosa")</f>
        <v>Gabriela Perosa</v>
      </c>
      <c r="R396" s="123" t="str">
        <f ca="1">IFERROR(__xludf.DUMMYFUNCTION("""COMPUTED_VALUE"""),"Liam Ross")</f>
        <v>Liam Ross</v>
      </c>
      <c r="S396" s="123" t="str">
        <f ca="1">IFERROR(__xludf.DUMMYFUNCTION("""COMPUTED_VALUE"""),"Eloise Jones")</f>
        <v>Eloise Jones</v>
      </c>
      <c r="T396" s="123" t="str">
        <f ca="1">IFERROR(__xludf.DUMMYFUNCTION("""COMPUTED_VALUE"""),"Ian Long")</f>
        <v>Ian Long</v>
      </c>
    </row>
    <row r="397" spans="1:20" ht="13.8">
      <c r="A397" s="118" t="str">
        <f ca="1">IFERROR(__xludf.DUMMYFUNCTION("""COMPUTED_VALUE"""),"DL")</f>
        <v>DL</v>
      </c>
      <c r="B397" s="119" t="str">
        <f ca="1">IFERROR(__xludf.DUMMYFUNCTION("""COMPUTED_VALUE"""),"George Miller")</f>
        <v>George Miller</v>
      </c>
      <c r="C397" s="118">
        <f ca="1">IFERROR(__xludf.DUMMYFUNCTION("""COMPUTED_VALUE"""),13)</f>
        <v>13</v>
      </c>
      <c r="D397" s="118" t="str">
        <f ca="1">IFERROR(__xludf.DUMMYFUNCTION("""COMPUTED_VALUE"""),"B")</f>
        <v>B</v>
      </c>
      <c r="E397" s="118" t="str">
        <f ca="1">IFERROR(__xludf.DUMMYFUNCTION("""COMPUTED_VALUE"""),"I")</f>
        <v>I</v>
      </c>
      <c r="F397" s="118" t="str">
        <f ca="1">IFERROR(__xludf.DUMMYFUNCTION("""COMPUTED_VALUE"""),"S")</f>
        <v>S</v>
      </c>
      <c r="G397" s="118">
        <f ca="1">IFERROR(__xludf.DUMMYFUNCTION("""COMPUTED_VALUE"""),3)</f>
        <v>3</v>
      </c>
      <c r="H397" s="118" t="str">
        <f ca="1">IFERROR(__xludf.DUMMYFUNCTION("""COMPUTED_VALUE"""),"DL")</f>
        <v>DL</v>
      </c>
      <c r="I397" s="118">
        <f ca="1">IFERROR(__xludf.DUMMYFUNCTION("""COMPUTED_VALUE"""),9)</f>
        <v>9</v>
      </c>
      <c r="J397" s="118">
        <f ca="1">IFERROR(__xludf.DUMMYFUNCTION("""COMPUTED_VALUE"""),5)</f>
        <v>5</v>
      </c>
      <c r="K397" s="120">
        <f ca="1">IFERROR(__xludf.DUMMYFUNCTION("""COMPUTED_VALUE"""),125.45)</f>
        <v>125.45</v>
      </c>
      <c r="L397" s="121"/>
      <c r="M397" s="120">
        <f ca="1">IFERROR(__xludf.DUMMYFUNCTION("""COMPUTED_VALUE"""),105.1)</f>
        <v>105.1</v>
      </c>
      <c r="N397" s="121"/>
      <c r="O397" s="120">
        <f ca="1">IFERROR(__xludf.DUMMYFUNCTION("""COMPUTED_VALUE"""),125.45)</f>
        <v>125.45</v>
      </c>
      <c r="P397" s="122"/>
      <c r="Q397" s="123" t="str">
        <f ca="1">IFERROR(__xludf.DUMMYFUNCTION("""COMPUTED_VALUE"""),"Gabrielle Hanlon")</f>
        <v>Gabrielle Hanlon</v>
      </c>
      <c r="R397" s="123" t="str">
        <f ca="1">IFERROR(__xludf.DUMMYFUNCTION("""COMPUTED_VALUE"""),"Liam Stodel")</f>
        <v>Liam Stodel</v>
      </c>
      <c r="S397" s="123" t="str">
        <f ca="1">IFERROR(__xludf.DUMMYFUNCTION("""COMPUTED_VALUE"""),"Eloise Smith")</f>
        <v>Eloise Smith</v>
      </c>
      <c r="T397" s="123" t="str">
        <f ca="1">IFERROR(__xludf.DUMMYFUNCTION("""COMPUTED_VALUE"""),"Ian Mormann")</f>
        <v>Ian Mormann</v>
      </c>
    </row>
    <row r="398" spans="1:20" ht="13.8">
      <c r="A398" s="118" t="str">
        <f ca="1">IFERROR(__xludf.DUMMYFUNCTION("""COMPUTED_VALUE"""),"DL")</f>
        <v>DL</v>
      </c>
      <c r="B398" s="119" t="str">
        <f ca="1">IFERROR(__xludf.DUMMYFUNCTION("""COMPUTED_VALUE"""),"Lex Brucker")</f>
        <v>Lex Brucker</v>
      </c>
      <c r="C398" s="118">
        <f ca="1">IFERROR(__xludf.DUMMYFUNCTION("""COMPUTED_VALUE"""),14)</f>
        <v>14</v>
      </c>
      <c r="D398" s="118" t="str">
        <f ca="1">IFERROR(__xludf.DUMMYFUNCTION("""COMPUTED_VALUE"""),"B")</f>
        <v>B</v>
      </c>
      <c r="E398" s="118" t="str">
        <f ca="1">IFERROR(__xludf.DUMMYFUNCTION("""COMPUTED_VALUE"""),"I")</f>
        <v>I</v>
      </c>
      <c r="F398" s="118" t="str">
        <f ca="1">IFERROR(__xludf.DUMMYFUNCTION("""COMPUTED_VALUE"""),"S")</f>
        <v>S</v>
      </c>
      <c r="G398" s="118">
        <f ca="1">IFERROR(__xludf.DUMMYFUNCTION("""COMPUTED_VALUE"""),3)</f>
        <v>3</v>
      </c>
      <c r="H398" s="118" t="str">
        <f ca="1">IFERROR(__xludf.DUMMYFUNCTION("""COMPUTED_VALUE"""),"DL")</f>
        <v>DL</v>
      </c>
      <c r="I398" s="118">
        <f ca="1">IFERROR(__xludf.DUMMYFUNCTION("""COMPUTED_VALUE"""),9)</f>
        <v>9</v>
      </c>
      <c r="J398" s="118">
        <f ca="1">IFERROR(__xludf.DUMMYFUNCTION("""COMPUTED_VALUE"""),1)</f>
        <v>1</v>
      </c>
      <c r="K398" s="120">
        <f ca="1">IFERROR(__xludf.DUMMYFUNCTION("""COMPUTED_VALUE"""),111.5)</f>
        <v>111.5</v>
      </c>
      <c r="L398" s="121"/>
      <c r="M398" s="120">
        <f ca="1">IFERROR(__xludf.DUMMYFUNCTION("""COMPUTED_VALUE"""),111.5)</f>
        <v>111.5</v>
      </c>
      <c r="N398" s="121"/>
      <c r="O398" s="120"/>
      <c r="P398" s="122"/>
      <c r="Q398" s="123" t="str">
        <f ca="1">IFERROR(__xludf.DUMMYFUNCTION("""COMPUTED_VALUE"""),"Gabrielle Oporto")</f>
        <v>Gabrielle Oporto</v>
      </c>
      <c r="R398" s="123" t="str">
        <f ca="1">IFERROR(__xludf.DUMMYFUNCTION("""COMPUTED_VALUE"""),"Liam Tavares")</f>
        <v>Liam Tavares</v>
      </c>
      <c r="S398" s="123" t="str">
        <f ca="1">IFERROR(__xludf.DUMMYFUNCTION("""COMPUTED_VALUE"""),"Elsa Constantino")</f>
        <v>Elsa Constantino</v>
      </c>
      <c r="T398" s="123" t="str">
        <f ca="1">IFERROR(__xludf.DUMMYFUNCTION("""COMPUTED_VALUE"""),"Ian Tamburrino")</f>
        <v>Ian Tamburrino</v>
      </c>
    </row>
    <row r="399" spans="1:20" ht="13.8">
      <c r="A399" s="118" t="str">
        <f ca="1">IFERROR(__xludf.DUMMYFUNCTION("""COMPUTED_VALUE"""),"DL")</f>
        <v>DL</v>
      </c>
      <c r="B399" s="119" t="str">
        <f ca="1">IFERROR(__xludf.DUMMYFUNCTION("""COMPUTED_VALUE"""),"Niall McCarthy")</f>
        <v>Niall McCarthy</v>
      </c>
      <c r="C399" s="118">
        <f ca="1">IFERROR(__xludf.DUMMYFUNCTION("""COMPUTED_VALUE"""),13)</f>
        <v>13</v>
      </c>
      <c r="D399" s="118" t="str">
        <f ca="1">IFERROR(__xludf.DUMMYFUNCTION("""COMPUTED_VALUE"""),"B")</f>
        <v>B</v>
      </c>
      <c r="E399" s="118" t="str">
        <f ca="1">IFERROR(__xludf.DUMMYFUNCTION("""COMPUTED_VALUE"""),"I")</f>
        <v>I</v>
      </c>
      <c r="F399" s="118" t="str">
        <f ca="1">IFERROR(__xludf.DUMMYFUNCTION("""COMPUTED_VALUE"""),"S")</f>
        <v>S</v>
      </c>
      <c r="G399" s="118">
        <f ca="1">IFERROR(__xludf.DUMMYFUNCTION("""COMPUTED_VALUE"""),3)</f>
        <v>3</v>
      </c>
      <c r="H399" s="118" t="str">
        <f ca="1">IFERROR(__xludf.DUMMYFUNCTION("""COMPUTED_VALUE"""),"DL")</f>
        <v>DL</v>
      </c>
      <c r="I399" s="118">
        <f ca="1">IFERROR(__xludf.DUMMYFUNCTION("""COMPUTED_VALUE"""),9)</f>
        <v>9</v>
      </c>
      <c r="J399" s="118">
        <f ca="1">IFERROR(__xludf.DUMMYFUNCTION("""COMPUTED_VALUE"""),3)</f>
        <v>3</v>
      </c>
      <c r="K399" s="120">
        <f ca="1">IFERROR(__xludf.DUMMYFUNCTION("""COMPUTED_VALUE"""),105.4)</f>
        <v>105.4</v>
      </c>
      <c r="L399" s="121"/>
      <c r="M399" s="120">
        <f ca="1">IFERROR(__xludf.DUMMYFUNCTION("""COMPUTED_VALUE"""),105.4)</f>
        <v>105.4</v>
      </c>
      <c r="N399" s="121"/>
      <c r="O399" s="120"/>
      <c r="P399" s="122"/>
      <c r="Q399" s="123" t="str">
        <f ca="1">IFERROR(__xludf.DUMMYFUNCTION("""COMPUTED_VALUE"""),"Gabrielle Subasavage")</f>
        <v>Gabrielle Subasavage</v>
      </c>
      <c r="R399" s="123" t="str">
        <f ca="1">IFERROR(__xludf.DUMMYFUNCTION("""COMPUTED_VALUE"""),"Liam Varma")</f>
        <v>Liam Varma</v>
      </c>
      <c r="S399" s="123" t="str">
        <f ca="1">IFERROR(__xludf.DUMMYFUNCTION("""COMPUTED_VALUE"""),"Elsa Jackson")</f>
        <v>Elsa Jackson</v>
      </c>
      <c r="T399" s="123" t="str">
        <f ca="1">IFERROR(__xludf.DUMMYFUNCTION("""COMPUTED_VALUE"""),"Ian Thackaberry")</f>
        <v>Ian Thackaberry</v>
      </c>
    </row>
    <row r="400" spans="1:20" ht="13.8">
      <c r="A400" s="118" t="str">
        <f ca="1">IFERROR(__xludf.DUMMYFUNCTION("""COMPUTED_VALUE"""),"DL")</f>
        <v>DL</v>
      </c>
      <c r="B400" s="119" t="str">
        <f ca="1">IFERROR(__xludf.DUMMYFUNCTION("""COMPUTED_VALUE"""),"Peter Beatty")</f>
        <v>Peter Beatty</v>
      </c>
      <c r="C400" s="118">
        <f ca="1">IFERROR(__xludf.DUMMYFUNCTION("""COMPUTED_VALUE"""),14)</f>
        <v>14</v>
      </c>
      <c r="D400" s="118" t="str">
        <f ca="1">IFERROR(__xludf.DUMMYFUNCTION("""COMPUTED_VALUE"""),"B")</f>
        <v>B</v>
      </c>
      <c r="E400" s="118" t="str">
        <f ca="1">IFERROR(__xludf.DUMMYFUNCTION("""COMPUTED_VALUE"""),"I")</f>
        <v>I</v>
      </c>
      <c r="F400" s="118" t="str">
        <f ca="1">IFERROR(__xludf.DUMMYFUNCTION("""COMPUTED_VALUE"""),"S")</f>
        <v>S</v>
      </c>
      <c r="G400" s="118">
        <f ca="1">IFERROR(__xludf.DUMMYFUNCTION("""COMPUTED_VALUE"""),3)</f>
        <v>3</v>
      </c>
      <c r="H400" s="118" t="str">
        <f ca="1">IFERROR(__xludf.DUMMYFUNCTION("""COMPUTED_VALUE"""),"DL")</f>
        <v>DL</v>
      </c>
      <c r="I400" s="118">
        <f ca="1">IFERROR(__xludf.DUMMYFUNCTION("""COMPUTED_VALUE"""),9)</f>
        <v>9</v>
      </c>
      <c r="J400" s="118">
        <f ca="1">IFERROR(__xludf.DUMMYFUNCTION("""COMPUTED_VALUE"""),4)</f>
        <v>4</v>
      </c>
      <c r="K400" s="120">
        <f ca="1">IFERROR(__xludf.DUMMYFUNCTION("""COMPUTED_VALUE"""),113.5)</f>
        <v>113.5</v>
      </c>
      <c r="L400" s="121"/>
      <c r="M400" s="120"/>
      <c r="N400" s="121"/>
      <c r="O400" s="120">
        <f ca="1">IFERROR(__xludf.DUMMYFUNCTION("""COMPUTED_VALUE"""),113.5)</f>
        <v>113.5</v>
      </c>
      <c r="P400" s="122"/>
      <c r="Q400" s="123" t="str">
        <f ca="1">IFERROR(__xludf.DUMMYFUNCTION("""COMPUTED_VALUE"""),"Gaby Kostova")</f>
        <v>Gaby Kostova</v>
      </c>
      <c r="R400" s="123" t="str">
        <f ca="1">IFERROR(__xludf.DUMMYFUNCTION("""COMPUTED_VALUE"""),"Liam Volosin")</f>
        <v>Liam Volosin</v>
      </c>
      <c r="S400" s="123" t="str">
        <f ca="1">IFERROR(__xludf.DUMMYFUNCTION("""COMPUTED_VALUE"""),"Elza Jones")</f>
        <v>Elza Jones</v>
      </c>
      <c r="T400" s="123" t="str">
        <f ca="1">IFERROR(__xludf.DUMMYFUNCTION("""COMPUTED_VALUE"""),"Isaac Fonner")</f>
        <v>Isaac Fonner</v>
      </c>
    </row>
    <row r="401" spans="1:20" ht="13.8">
      <c r="A401" s="118" t="str">
        <f ca="1">IFERROR(__xludf.DUMMYFUNCTION("""COMPUTED_VALUE"""),"DL")</f>
        <v>DL</v>
      </c>
      <c r="B401" s="119" t="str">
        <f ca="1">IFERROR(__xludf.DUMMYFUNCTION("""COMPUTED_VALUE"""),"Webb Stewart")</f>
        <v>Webb Stewart</v>
      </c>
      <c r="C401" s="118">
        <f ca="1">IFERROR(__xludf.DUMMYFUNCTION("""COMPUTED_VALUE"""),13)</f>
        <v>13</v>
      </c>
      <c r="D401" s="118" t="str">
        <f ca="1">IFERROR(__xludf.DUMMYFUNCTION("""COMPUTED_VALUE"""),"B")</f>
        <v>B</v>
      </c>
      <c r="E401" s="118" t="str">
        <f ca="1">IFERROR(__xludf.DUMMYFUNCTION("""COMPUTED_VALUE"""),"I")</f>
        <v>I</v>
      </c>
      <c r="F401" s="118" t="str">
        <f ca="1">IFERROR(__xludf.DUMMYFUNCTION("""COMPUTED_VALUE"""),"S")</f>
        <v>S</v>
      </c>
      <c r="G401" s="118">
        <f ca="1">IFERROR(__xludf.DUMMYFUNCTION("""COMPUTED_VALUE"""),3)</f>
        <v>3</v>
      </c>
      <c r="H401" s="118" t="str">
        <f ca="1">IFERROR(__xludf.DUMMYFUNCTION("""COMPUTED_VALUE"""),"DL")</f>
        <v>DL</v>
      </c>
      <c r="I401" s="118">
        <f ca="1">IFERROR(__xludf.DUMMYFUNCTION("""COMPUTED_VALUE"""),9)</f>
        <v>9</v>
      </c>
      <c r="J401" s="118">
        <f ca="1">IFERROR(__xludf.DUMMYFUNCTION("""COMPUTED_VALUE"""),1)</f>
        <v>1</v>
      </c>
      <c r="K401" s="120"/>
      <c r="L401" s="121"/>
      <c r="M401" s="120"/>
      <c r="N401" s="121"/>
      <c r="O401" s="120"/>
      <c r="P401" s="122"/>
      <c r="Q401" s="123" t="str">
        <f ca="1">IFERROR(__xludf.DUMMYFUNCTION("""COMPUTED_VALUE"""),"Gaby Smith")</f>
        <v>Gaby Smith</v>
      </c>
      <c r="R401" s="123" t="str">
        <f ca="1">IFERROR(__xludf.DUMMYFUNCTION("""COMPUTED_VALUE"""),"Liam Zheng")</f>
        <v>Liam Zheng</v>
      </c>
      <c r="S401" s="123" t="str">
        <f ca="1">IFERROR(__xludf.DUMMYFUNCTION("""COMPUTED_VALUE"""),"Emalyn Gharakhanian")</f>
        <v>Emalyn Gharakhanian</v>
      </c>
      <c r="T401" s="123" t="str">
        <f ca="1">IFERROR(__xludf.DUMMYFUNCTION("""COMPUTED_VALUE"""),"Isacc Peterson")</f>
        <v>Isacc Peterson</v>
      </c>
    </row>
    <row r="402" spans="1:20" ht="13.8">
      <c r="A402" s="118" t="str">
        <f ca="1">IFERROR(__xludf.DUMMYFUNCTION("""COMPUTED_VALUE"""),"DL")</f>
        <v>DL</v>
      </c>
      <c r="B402" s="119" t="str">
        <f ca="1">IFERROR(__xludf.DUMMYFUNCTION("""COMPUTED_VALUE"""),"Zouli Alexandratos")</f>
        <v>Zouli Alexandratos</v>
      </c>
      <c r="C402" s="118">
        <f ca="1">IFERROR(__xludf.DUMMYFUNCTION("""COMPUTED_VALUE"""),13)</f>
        <v>13</v>
      </c>
      <c r="D402" s="118" t="str">
        <f ca="1">IFERROR(__xludf.DUMMYFUNCTION("""COMPUTED_VALUE"""),"B")</f>
        <v>B</v>
      </c>
      <c r="E402" s="118" t="str">
        <f ca="1">IFERROR(__xludf.DUMMYFUNCTION("""COMPUTED_VALUE"""),"I")</f>
        <v>I</v>
      </c>
      <c r="F402" s="118" t="str">
        <f ca="1">IFERROR(__xludf.DUMMYFUNCTION("""COMPUTED_VALUE"""),"S")</f>
        <v>S</v>
      </c>
      <c r="G402" s="118">
        <f ca="1">IFERROR(__xludf.DUMMYFUNCTION("""COMPUTED_VALUE"""),3)</f>
        <v>3</v>
      </c>
      <c r="H402" s="118" t="str">
        <f ca="1">IFERROR(__xludf.DUMMYFUNCTION("""COMPUTED_VALUE"""),"DL")</f>
        <v>DL</v>
      </c>
      <c r="I402" s="118">
        <f ca="1">IFERROR(__xludf.DUMMYFUNCTION("""COMPUTED_VALUE"""),9)</f>
        <v>9</v>
      </c>
      <c r="J402" s="118">
        <f ca="1">IFERROR(__xludf.DUMMYFUNCTION("""COMPUTED_VALUE"""),4)</f>
        <v>4</v>
      </c>
      <c r="K402" s="120">
        <f ca="1">IFERROR(__xludf.DUMMYFUNCTION("""COMPUTED_VALUE"""),109.7)</f>
        <v>109.7</v>
      </c>
      <c r="L402" s="121"/>
      <c r="M402" s="120"/>
      <c r="N402" s="121"/>
      <c r="O402" s="120">
        <f ca="1">IFERROR(__xludf.DUMMYFUNCTION("""COMPUTED_VALUE"""),109.7)</f>
        <v>109.7</v>
      </c>
      <c r="P402" s="122"/>
      <c r="Q402" s="123" t="str">
        <f ca="1">IFERROR(__xludf.DUMMYFUNCTION("""COMPUTED_VALUE"""),"Gaia Salcedo")</f>
        <v>Gaia Salcedo</v>
      </c>
      <c r="R402" s="123" t="str">
        <f ca="1">IFERROR(__xludf.DUMMYFUNCTION("""COMPUTED_VALUE"""),"Lincoln Kemp")</f>
        <v>Lincoln Kemp</v>
      </c>
      <c r="S402" s="123" t="str">
        <f ca="1">IFERROR(__xludf.DUMMYFUNCTION("""COMPUTED_VALUE"""),"Emerie Woods")</f>
        <v>Emerie Woods</v>
      </c>
      <c r="T402" s="123" t="str">
        <f ca="1">IFERROR(__xludf.DUMMYFUNCTION("""COMPUTED_VALUE"""),"Isaiah Lora-Pena")</f>
        <v>Isaiah Lora-Pena</v>
      </c>
    </row>
    <row r="403" spans="1:20" ht="13.8">
      <c r="A403" s="118" t="str">
        <f ca="1">IFERROR(__xludf.DUMMYFUNCTION("""COMPUTED_VALUE"""),"DL")</f>
        <v>DL</v>
      </c>
      <c r="B403" s="119" t="str">
        <f ca="1">IFERROR(__xludf.DUMMYFUNCTION("""COMPUTED_VALUE"""),"Kiran Vasudevan")</f>
        <v>Kiran Vasudevan</v>
      </c>
      <c r="C403" s="118">
        <f ca="1">IFERROR(__xludf.DUMMYFUNCTION("""COMPUTED_VALUE"""),15)</f>
        <v>15</v>
      </c>
      <c r="D403" s="118" t="str">
        <f ca="1">IFERROR(__xludf.DUMMYFUNCTION("""COMPUTED_VALUE"""),"G")</f>
        <v>G</v>
      </c>
      <c r="E403" s="118" t="str">
        <f ca="1">IFERROR(__xludf.DUMMYFUNCTION("""COMPUTED_VALUE"""),"S")</f>
        <v>S</v>
      </c>
      <c r="F403" s="118" t="str">
        <f ca="1">IFERROR(__xludf.DUMMYFUNCTION("""COMPUTED_VALUE"""),"S")</f>
        <v>S</v>
      </c>
      <c r="G403" s="118">
        <f ca="1">IFERROR(__xludf.DUMMYFUNCTION("""COMPUTED_VALUE"""),3)</f>
        <v>3</v>
      </c>
      <c r="H403" s="118" t="str">
        <f ca="1">IFERROR(__xludf.DUMMYFUNCTION("""COMPUTED_VALUE"""),"DL")</f>
        <v>DL</v>
      </c>
      <c r="I403" s="118">
        <f ca="1">IFERROR(__xludf.DUMMYFUNCTION("""COMPUTED_VALUE"""),10)</f>
        <v>10</v>
      </c>
      <c r="J403" s="118">
        <f ca="1">IFERROR(__xludf.DUMMYFUNCTION("""COMPUTED_VALUE"""),5)</f>
        <v>5</v>
      </c>
      <c r="K403" s="120">
        <f ca="1">IFERROR(__xludf.DUMMYFUNCTION("""COMPUTED_VALUE"""),154.65)</f>
        <v>154.65</v>
      </c>
      <c r="L403" s="121"/>
      <c r="M403" s="120">
        <f ca="1">IFERROR(__xludf.DUMMYFUNCTION("""COMPUTED_VALUE"""),153.25)</f>
        <v>153.25</v>
      </c>
      <c r="N403" s="121"/>
      <c r="O403" s="120">
        <f ca="1">IFERROR(__xludf.DUMMYFUNCTION("""COMPUTED_VALUE"""),154.65)</f>
        <v>154.65</v>
      </c>
      <c r="P403" s="122"/>
      <c r="Q403" s="123" t="str">
        <f ca="1">IFERROR(__xludf.DUMMYFUNCTION("""COMPUTED_VALUE"""),"Georgie Marra")</f>
        <v>Georgie Marra</v>
      </c>
      <c r="R403" s="123" t="str">
        <f ca="1">IFERROR(__xludf.DUMMYFUNCTION("""COMPUTED_VALUE"""),"Lincoln Wade")</f>
        <v>Lincoln Wade</v>
      </c>
      <c r="S403" s="123" t="str">
        <f ca="1">IFERROR(__xludf.DUMMYFUNCTION("""COMPUTED_VALUE"""),"Emersyn Wilbur")</f>
        <v>Emersyn Wilbur</v>
      </c>
      <c r="T403" s="123" t="str">
        <f ca="1">IFERROR(__xludf.DUMMYFUNCTION("""COMPUTED_VALUE"""),"Isaiah Phillips")</f>
        <v>Isaiah Phillips</v>
      </c>
    </row>
    <row r="404" spans="1:20" ht="13.8">
      <c r="A404" s="118" t="str">
        <f ca="1">IFERROR(__xludf.DUMMYFUNCTION("""COMPUTED_VALUE"""),"DL")</f>
        <v>DL</v>
      </c>
      <c r="B404" s="119" t="str">
        <f ca="1">IFERROR(__xludf.DUMMYFUNCTION("""COMPUTED_VALUE"""),"Joshua Taliaferro")</f>
        <v>Joshua Taliaferro</v>
      </c>
      <c r="C404" s="118">
        <f ca="1">IFERROR(__xludf.DUMMYFUNCTION("""COMPUTED_VALUE"""),15)</f>
        <v>15</v>
      </c>
      <c r="D404" s="118" t="str">
        <f ca="1">IFERROR(__xludf.DUMMYFUNCTION("""COMPUTED_VALUE"""),"B")</f>
        <v>B</v>
      </c>
      <c r="E404" s="118" t="str">
        <f ca="1">IFERROR(__xludf.DUMMYFUNCTION("""COMPUTED_VALUE"""),"S")</f>
        <v>S</v>
      </c>
      <c r="F404" s="118" t="str">
        <f ca="1">IFERROR(__xludf.DUMMYFUNCTION("""COMPUTED_VALUE"""),"S")</f>
        <v>S</v>
      </c>
      <c r="G404" s="118">
        <f ca="1">IFERROR(__xludf.DUMMYFUNCTION("""COMPUTED_VALUE"""),3)</f>
        <v>3</v>
      </c>
      <c r="H404" s="118" t="str">
        <f ca="1">IFERROR(__xludf.DUMMYFUNCTION("""COMPUTED_VALUE"""),"DL")</f>
        <v>DL</v>
      </c>
      <c r="I404" s="118">
        <f ca="1">IFERROR(__xludf.DUMMYFUNCTION("""COMPUTED_VALUE"""),11)</f>
        <v>11</v>
      </c>
      <c r="J404" s="118">
        <f ca="1">IFERROR(__xludf.DUMMYFUNCTION("""COMPUTED_VALUE"""),5)</f>
        <v>5</v>
      </c>
      <c r="K404" s="120">
        <f ca="1">IFERROR(__xludf.DUMMYFUNCTION("""COMPUTED_VALUE"""),159.5)</f>
        <v>159.5</v>
      </c>
      <c r="L404" s="121"/>
      <c r="M404" s="120">
        <f ca="1">IFERROR(__xludf.DUMMYFUNCTION("""COMPUTED_VALUE"""),156.85)</f>
        <v>156.85</v>
      </c>
      <c r="N404" s="121"/>
      <c r="O404" s="120">
        <f ca="1">IFERROR(__xludf.DUMMYFUNCTION("""COMPUTED_VALUE"""),159.5)</f>
        <v>159.5</v>
      </c>
      <c r="P404" s="122"/>
      <c r="Q404" s="123" t="str">
        <f ca="1">IFERROR(__xludf.DUMMYFUNCTION("""COMPUTED_VALUE"""),"Gincy Zapf")</f>
        <v>Gincy Zapf</v>
      </c>
      <c r="R404" s="123" t="str">
        <f ca="1">IFERROR(__xludf.DUMMYFUNCTION("""COMPUTED_VALUE"""),"Linus Raring")</f>
        <v>Linus Raring</v>
      </c>
      <c r="S404" s="123" t="str">
        <f ca="1">IFERROR(__xludf.DUMMYFUNCTION("""COMPUTED_VALUE"""),"Emery Carney")</f>
        <v>Emery Carney</v>
      </c>
      <c r="T404" s="123" t="str">
        <f ca="1">IFERROR(__xludf.DUMMYFUNCTION("""COMPUTED_VALUE"""),"Iskandar Aoun")</f>
        <v>Iskandar Aoun</v>
      </c>
    </row>
    <row r="405" spans="1:20" ht="13.8">
      <c r="A405" s="118" t="str">
        <f ca="1">IFERROR(__xludf.DUMMYFUNCTION("""COMPUTED_VALUE"""),"DL")</f>
        <v>DL</v>
      </c>
      <c r="B405" s="119" t="str">
        <f ca="1">IFERROR(__xludf.DUMMYFUNCTION("""COMPUTED_VALUE"""),"Kyle Ratner")</f>
        <v>Kyle Ratner</v>
      </c>
      <c r="C405" s="118">
        <f ca="1">IFERROR(__xludf.DUMMYFUNCTION("""COMPUTED_VALUE"""),16)</f>
        <v>16</v>
      </c>
      <c r="D405" s="118" t="str">
        <f ca="1">IFERROR(__xludf.DUMMYFUNCTION("""COMPUTED_VALUE"""),"B")</f>
        <v>B</v>
      </c>
      <c r="E405" s="118" t="str">
        <f ca="1">IFERROR(__xludf.DUMMYFUNCTION("""COMPUTED_VALUE"""),"S")</f>
        <v>S</v>
      </c>
      <c r="F405" s="118" t="str">
        <f ca="1">IFERROR(__xludf.DUMMYFUNCTION("""COMPUTED_VALUE"""),"S")</f>
        <v>S</v>
      </c>
      <c r="G405" s="118">
        <f ca="1">IFERROR(__xludf.DUMMYFUNCTION("""COMPUTED_VALUE"""),3)</f>
        <v>3</v>
      </c>
      <c r="H405" s="118" t="str">
        <f ca="1">IFERROR(__xludf.DUMMYFUNCTION("""COMPUTED_VALUE"""),"DL")</f>
        <v>DL</v>
      </c>
      <c r="I405" s="118">
        <f ca="1">IFERROR(__xludf.DUMMYFUNCTION("""COMPUTED_VALUE"""),11)</f>
        <v>11</v>
      </c>
      <c r="J405" s="118">
        <f ca="1">IFERROR(__xludf.DUMMYFUNCTION("""COMPUTED_VALUE"""),0)</f>
        <v>0</v>
      </c>
      <c r="K405" s="120"/>
      <c r="L405" s="121"/>
      <c r="M405" s="120"/>
      <c r="N405" s="121"/>
      <c r="O405" s="120"/>
      <c r="P405" s="122"/>
      <c r="Q405" s="123" t="str">
        <f ca="1">IFERROR(__xludf.DUMMYFUNCTION("""COMPUTED_VALUE"""),"Ginny Moore")</f>
        <v>Ginny Moore</v>
      </c>
      <c r="R405" s="123" t="str">
        <f ca="1">IFERROR(__xludf.DUMMYFUNCTION("""COMPUTED_VALUE"""),"Logan Cao")</f>
        <v>Logan Cao</v>
      </c>
      <c r="S405" s="123" t="str">
        <f ca="1">IFERROR(__xludf.DUMMYFUNCTION("""COMPUTED_VALUE"""),"Emery Mashuda")</f>
        <v>Emery Mashuda</v>
      </c>
      <c r="T405" s="123" t="str">
        <f ca="1">IFERROR(__xludf.DUMMYFUNCTION("""COMPUTED_VALUE"""),"Ivor Brown")</f>
        <v>Ivor Brown</v>
      </c>
    </row>
    <row r="406" spans="1:20" ht="13.8">
      <c r="A406" s="118" t="str">
        <f ca="1">IFERROR(__xludf.DUMMYFUNCTION("""COMPUTED_VALUE"""),"DL")</f>
        <v>DL</v>
      </c>
      <c r="B406" s="119" t="str">
        <f ca="1">IFERROR(__xludf.DUMMYFUNCTION("""COMPUTED_VALUE"""),"Mike DeSando")</f>
        <v>Mike DeSando</v>
      </c>
      <c r="C406" s="118">
        <f ca="1">IFERROR(__xludf.DUMMYFUNCTION("""COMPUTED_VALUE"""),16)</f>
        <v>16</v>
      </c>
      <c r="D406" s="118" t="str">
        <f ca="1">IFERROR(__xludf.DUMMYFUNCTION("""COMPUTED_VALUE"""),"B")</f>
        <v>B</v>
      </c>
      <c r="E406" s="118" t="str">
        <f ca="1">IFERROR(__xludf.DUMMYFUNCTION("""COMPUTED_VALUE"""),"S")</f>
        <v>S</v>
      </c>
      <c r="F406" s="118" t="str">
        <f ca="1">IFERROR(__xludf.DUMMYFUNCTION("""COMPUTED_VALUE"""),"S")</f>
        <v>S</v>
      </c>
      <c r="G406" s="118">
        <f ca="1">IFERROR(__xludf.DUMMYFUNCTION("""COMPUTED_VALUE"""),3)</f>
        <v>3</v>
      </c>
      <c r="H406" s="118" t="str">
        <f ca="1">IFERROR(__xludf.DUMMYFUNCTION("""COMPUTED_VALUE"""),"DL")</f>
        <v>DL</v>
      </c>
      <c r="I406" s="118">
        <f ca="1">IFERROR(__xludf.DUMMYFUNCTION("""COMPUTED_VALUE"""),11)</f>
        <v>11</v>
      </c>
      <c r="J406" s="118">
        <f ca="1">IFERROR(__xludf.DUMMYFUNCTION("""COMPUTED_VALUE"""),4)</f>
        <v>4</v>
      </c>
      <c r="K406" s="120">
        <f ca="1">IFERROR(__xludf.DUMMYFUNCTION("""COMPUTED_VALUE"""),236.55)</f>
        <v>236.55</v>
      </c>
      <c r="L406" s="121"/>
      <c r="M406" s="120">
        <f ca="1">IFERROR(__xludf.DUMMYFUNCTION("""COMPUTED_VALUE"""),228.85)</f>
        <v>228.85</v>
      </c>
      <c r="N406" s="121"/>
      <c r="O406" s="120">
        <f ca="1">IFERROR(__xludf.DUMMYFUNCTION("""COMPUTED_VALUE"""),236.55)</f>
        <v>236.55</v>
      </c>
      <c r="P406" s="122"/>
      <c r="Q406" s="123" t="str">
        <f ca="1">IFERROR(__xludf.DUMMYFUNCTION("""COMPUTED_VALUE"""),"Gloria Johnson")</f>
        <v>Gloria Johnson</v>
      </c>
      <c r="R406" s="123" t="str">
        <f ca="1">IFERROR(__xludf.DUMMYFUNCTION("""COMPUTED_VALUE"""),"Logan Schuster")</f>
        <v>Logan Schuster</v>
      </c>
      <c r="S406" s="123" t="str">
        <f ca="1">IFERROR(__xludf.DUMMYFUNCTION("""COMPUTED_VALUE"""),"Emilia Schvind")</f>
        <v>Emilia Schvind</v>
      </c>
      <c r="T406" s="123" t="str">
        <f ca="1">IFERROR(__xludf.DUMMYFUNCTION("""COMPUTED_VALUE"""),"Jack Bowman")</f>
        <v>Jack Bowman</v>
      </c>
    </row>
    <row r="407" spans="1:20" ht="13.8">
      <c r="A407" s="118" t="str">
        <f ca="1">IFERROR(__xludf.DUMMYFUNCTION("""COMPUTED_VALUE"""),"DR")</f>
        <v>DR</v>
      </c>
      <c r="B407" s="119" t="str">
        <f ca="1">IFERROR(__xludf.DUMMYFUNCTION("""COMPUTED_VALUE"""),"Addy Kohn")</f>
        <v>Addy Kohn</v>
      </c>
      <c r="C407" s="118">
        <f ca="1">IFERROR(__xludf.DUMMYFUNCTION("""COMPUTED_VALUE"""),8)</f>
        <v>8</v>
      </c>
      <c r="D407" s="118" t="str">
        <f ca="1">IFERROR(__xludf.DUMMYFUNCTION("""COMPUTED_VALUE"""),"G")</f>
        <v>G</v>
      </c>
      <c r="E407" s="118" t="str">
        <f ca="1">IFERROR(__xludf.DUMMYFUNCTION("""COMPUTED_VALUE"""),"F")</f>
        <v>F</v>
      </c>
      <c r="F407" s="118" t="str">
        <f ca="1">IFERROR(__xludf.DUMMYFUNCTION("""COMPUTED_VALUE"""),"J")</f>
        <v>J</v>
      </c>
      <c r="G407" s="118">
        <f ca="1">IFERROR(__xludf.DUMMYFUNCTION("""COMPUTED_VALUE"""),1)</f>
        <v>1</v>
      </c>
      <c r="H407" s="118" t="str">
        <f ca="1">IFERROR(__xludf.DUMMYFUNCTION("""COMPUTED_VALUE"""),"DR")</f>
        <v>DR</v>
      </c>
      <c r="I407" s="118">
        <f ca="1">IFERROR(__xludf.DUMMYFUNCTION("""COMPUTED_VALUE"""),4)</f>
        <v>4</v>
      </c>
      <c r="J407" s="118">
        <f ca="1">IFERROR(__xludf.DUMMYFUNCTION("""COMPUTED_VALUE"""),0)</f>
        <v>0</v>
      </c>
      <c r="K407" s="120"/>
      <c r="L407" s="121"/>
      <c r="M407" s="120"/>
      <c r="N407" s="121"/>
      <c r="O407" s="120"/>
      <c r="P407" s="122"/>
      <c r="Q407" s="123" t="str">
        <f ca="1">IFERROR(__xludf.DUMMYFUNCTION("""COMPUTED_VALUE"""),"Grace Burnett")</f>
        <v>Grace Burnett</v>
      </c>
      <c r="R407" s="123" t="str">
        <f ca="1">IFERROR(__xludf.DUMMYFUNCTION("""COMPUTED_VALUE"""),"Logan Thornsbury")</f>
        <v>Logan Thornsbury</v>
      </c>
      <c r="S407" s="123" t="str">
        <f ca="1">IFERROR(__xludf.DUMMYFUNCTION("""COMPUTED_VALUE"""),"Emilia Vayra")</f>
        <v>Emilia Vayra</v>
      </c>
      <c r="T407" s="123" t="str">
        <f ca="1">IFERROR(__xludf.DUMMYFUNCTION("""COMPUTED_VALUE"""),"Jack Casterline")</f>
        <v>Jack Casterline</v>
      </c>
    </row>
    <row r="408" spans="1:20" ht="13.8">
      <c r="A408" s="118" t="str">
        <f ca="1">IFERROR(__xludf.DUMMYFUNCTION("""COMPUTED_VALUE"""),"DR")</f>
        <v>DR</v>
      </c>
      <c r="B408" s="119" t="str">
        <f ca="1">IFERROR(__xludf.DUMMYFUNCTION("""COMPUTED_VALUE"""),"Alma Cappitelli")</f>
        <v>Alma Cappitelli</v>
      </c>
      <c r="C408" s="118">
        <f ca="1">IFERROR(__xludf.DUMMYFUNCTION("""COMPUTED_VALUE"""),7)</f>
        <v>7</v>
      </c>
      <c r="D408" s="118" t="str">
        <f ca="1">IFERROR(__xludf.DUMMYFUNCTION("""COMPUTED_VALUE"""),"G")</f>
        <v>G</v>
      </c>
      <c r="E408" s="118" t="str">
        <f ca="1">IFERROR(__xludf.DUMMYFUNCTION("""COMPUTED_VALUE"""),"F")</f>
        <v>F</v>
      </c>
      <c r="F408" s="118" t="str">
        <f ca="1">IFERROR(__xludf.DUMMYFUNCTION("""COMPUTED_VALUE"""),"J")</f>
        <v>J</v>
      </c>
      <c r="G408" s="118">
        <f ca="1">IFERROR(__xludf.DUMMYFUNCTION("""COMPUTED_VALUE"""),1)</f>
        <v>1</v>
      </c>
      <c r="H408" s="118" t="str">
        <f ca="1">IFERROR(__xludf.DUMMYFUNCTION("""COMPUTED_VALUE"""),"DR")</f>
        <v>DR</v>
      </c>
      <c r="I408" s="118">
        <f ca="1">IFERROR(__xludf.DUMMYFUNCTION("""COMPUTED_VALUE"""),4)</f>
        <v>4</v>
      </c>
      <c r="J408" s="118">
        <f ca="1">IFERROR(__xludf.DUMMYFUNCTION("""COMPUTED_VALUE"""),0)</f>
        <v>0</v>
      </c>
      <c r="K408" s="120"/>
      <c r="L408" s="121"/>
      <c r="M408" s="120"/>
      <c r="N408" s="121"/>
      <c r="O408" s="120"/>
      <c r="P408" s="122"/>
      <c r="Q408" s="123" t="str">
        <f ca="1">IFERROR(__xludf.DUMMYFUNCTION("""COMPUTED_VALUE"""),"Grace Hawk")</f>
        <v>Grace Hawk</v>
      </c>
      <c r="R408" s="123" t="str">
        <f ca="1">IFERROR(__xludf.DUMMYFUNCTION("""COMPUTED_VALUE"""),"Logan Titus")</f>
        <v>Logan Titus</v>
      </c>
      <c r="S408" s="123" t="str">
        <f ca="1">IFERROR(__xludf.DUMMYFUNCTION("""COMPUTED_VALUE"""),"Emilie Beltz")</f>
        <v>Emilie Beltz</v>
      </c>
      <c r="T408" s="123" t="str">
        <f ca="1">IFERROR(__xludf.DUMMYFUNCTION("""COMPUTED_VALUE"""),"Jack Devlin")</f>
        <v>Jack Devlin</v>
      </c>
    </row>
    <row r="409" spans="1:20" ht="13.8">
      <c r="A409" s="118" t="str">
        <f ca="1">IFERROR(__xludf.DUMMYFUNCTION("""COMPUTED_VALUE"""),"DR")</f>
        <v>DR</v>
      </c>
      <c r="B409" s="119" t="str">
        <f ca="1">IFERROR(__xludf.DUMMYFUNCTION("""COMPUTED_VALUE"""),"Annie Madden")</f>
        <v>Annie Madden</v>
      </c>
      <c r="C409" s="118">
        <f ca="1">IFERROR(__xludf.DUMMYFUNCTION("""COMPUTED_VALUE"""),10)</f>
        <v>10</v>
      </c>
      <c r="D409" s="118" t="str">
        <f ca="1">IFERROR(__xludf.DUMMYFUNCTION("""COMPUTED_VALUE"""),"G")</f>
        <v>G</v>
      </c>
      <c r="E409" s="118" t="str">
        <f ca="1">IFERROR(__xludf.DUMMYFUNCTION("""COMPUTED_VALUE"""),"F")</f>
        <v>F</v>
      </c>
      <c r="F409" s="118" t="str">
        <f ca="1">IFERROR(__xludf.DUMMYFUNCTION("""COMPUTED_VALUE"""),"J")</f>
        <v>J</v>
      </c>
      <c r="G409" s="118">
        <f ca="1">IFERROR(__xludf.DUMMYFUNCTION("""COMPUTED_VALUE"""),1)</f>
        <v>1</v>
      </c>
      <c r="H409" s="118" t="str">
        <f ca="1">IFERROR(__xludf.DUMMYFUNCTION("""COMPUTED_VALUE"""),"DR")</f>
        <v>DR</v>
      </c>
      <c r="I409" s="118">
        <f ca="1">IFERROR(__xludf.DUMMYFUNCTION("""COMPUTED_VALUE"""),4)</f>
        <v>4</v>
      </c>
      <c r="J409" s="118">
        <f ca="1">IFERROR(__xludf.DUMMYFUNCTION("""COMPUTED_VALUE"""),4)</f>
        <v>4</v>
      </c>
      <c r="K409" s="120">
        <f ca="1">IFERROR(__xludf.DUMMYFUNCTION("""COMPUTED_VALUE"""),67.8)</f>
        <v>67.8</v>
      </c>
      <c r="L409" s="121"/>
      <c r="M409" s="120"/>
      <c r="N409" s="121"/>
      <c r="O409" s="120">
        <f ca="1">IFERROR(__xludf.DUMMYFUNCTION("""COMPUTED_VALUE"""),42.85)</f>
        <v>42.85</v>
      </c>
      <c r="P409" s="122"/>
      <c r="Q409" s="123" t="str">
        <f ca="1">IFERROR(__xludf.DUMMYFUNCTION("""COMPUTED_VALUE"""),"Grace Johnson")</f>
        <v>Grace Johnson</v>
      </c>
      <c r="R409" s="123" t="str">
        <f ca="1">IFERROR(__xludf.DUMMYFUNCTION("""COMPUTED_VALUE"""),"Logan Varner")</f>
        <v>Logan Varner</v>
      </c>
      <c r="S409" s="123" t="str">
        <f ca="1">IFERROR(__xludf.DUMMYFUNCTION("""COMPUTED_VALUE"""),"Emilie Glass")</f>
        <v>Emilie Glass</v>
      </c>
      <c r="T409" s="123" t="str">
        <f ca="1">IFERROR(__xludf.DUMMYFUNCTION("""COMPUTED_VALUE"""),"Jack Englerth")</f>
        <v>Jack Englerth</v>
      </c>
    </row>
    <row r="410" spans="1:20" ht="13.8">
      <c r="A410" s="118" t="str">
        <f ca="1">IFERROR(__xludf.DUMMYFUNCTION("""COMPUTED_VALUE"""),"DR")</f>
        <v>DR</v>
      </c>
      <c r="B410" s="119" t="str">
        <f ca="1">IFERROR(__xludf.DUMMYFUNCTION("""COMPUTED_VALUE"""),"Audrey Moore")</f>
        <v>Audrey Moore</v>
      </c>
      <c r="C410" s="118">
        <f ca="1">IFERROR(__xludf.DUMMYFUNCTION("""COMPUTED_VALUE"""),8)</f>
        <v>8</v>
      </c>
      <c r="D410" s="118" t="str">
        <f ca="1">IFERROR(__xludf.DUMMYFUNCTION("""COMPUTED_VALUE"""),"G")</f>
        <v>G</v>
      </c>
      <c r="E410" s="118" t="str">
        <f ca="1">IFERROR(__xludf.DUMMYFUNCTION("""COMPUTED_VALUE"""),"F")</f>
        <v>F</v>
      </c>
      <c r="F410" s="118" t="str">
        <f ca="1">IFERROR(__xludf.DUMMYFUNCTION("""COMPUTED_VALUE"""),"J")</f>
        <v>J</v>
      </c>
      <c r="G410" s="118">
        <f ca="1">IFERROR(__xludf.DUMMYFUNCTION("""COMPUTED_VALUE"""),1)</f>
        <v>1</v>
      </c>
      <c r="H410" s="118" t="str">
        <f ca="1">IFERROR(__xludf.DUMMYFUNCTION("""COMPUTED_VALUE"""),"DR")</f>
        <v>DR</v>
      </c>
      <c r="I410" s="118">
        <f ca="1">IFERROR(__xludf.DUMMYFUNCTION("""COMPUTED_VALUE"""),4)</f>
        <v>4</v>
      </c>
      <c r="J410" s="118">
        <f ca="1">IFERROR(__xludf.DUMMYFUNCTION("""COMPUTED_VALUE"""),0)</f>
        <v>0</v>
      </c>
      <c r="K410" s="120"/>
      <c r="L410" s="121"/>
      <c r="M410" s="120"/>
      <c r="N410" s="121"/>
      <c r="O410" s="120"/>
      <c r="P410" s="122"/>
      <c r="Q410" s="123" t="str">
        <f ca="1">IFERROR(__xludf.DUMMYFUNCTION("""COMPUTED_VALUE"""),"Grace Luk")</f>
        <v>Grace Luk</v>
      </c>
      <c r="R410" s="123" t="str">
        <f ca="1">IFERROR(__xludf.DUMMYFUNCTION("""COMPUTED_VALUE"""),"Lorenzo Hardin")</f>
        <v>Lorenzo Hardin</v>
      </c>
      <c r="S410" s="123" t="str">
        <f ca="1">IFERROR(__xludf.DUMMYFUNCTION("""COMPUTED_VALUE"""),"Emily Ahern")</f>
        <v>Emily Ahern</v>
      </c>
      <c r="T410" s="123" t="str">
        <f ca="1">IFERROR(__xludf.DUMMYFUNCTION("""COMPUTED_VALUE"""),"Jack Ferrill")</f>
        <v>Jack Ferrill</v>
      </c>
    </row>
    <row r="411" spans="1:20" ht="13.8">
      <c r="A411" s="118" t="str">
        <f ca="1">IFERROR(__xludf.DUMMYFUNCTION("""COMPUTED_VALUE"""),"DR")</f>
        <v>DR</v>
      </c>
      <c r="B411" s="119" t="str">
        <f ca="1">IFERROR(__xludf.DUMMYFUNCTION("""COMPUTED_VALUE"""),"Avery Thoman")</f>
        <v>Avery Thoman</v>
      </c>
      <c r="C411" s="118">
        <f ca="1">IFERROR(__xludf.DUMMYFUNCTION("""COMPUTED_VALUE"""),6)</f>
        <v>6</v>
      </c>
      <c r="D411" s="118" t="str">
        <f ca="1">IFERROR(__xludf.DUMMYFUNCTION("""COMPUTED_VALUE"""),"G")</f>
        <v>G</v>
      </c>
      <c r="E411" s="118" t="str">
        <f ca="1">IFERROR(__xludf.DUMMYFUNCTION("""COMPUTED_VALUE"""),"F")</f>
        <v>F</v>
      </c>
      <c r="F411" s="118" t="str">
        <f ca="1">IFERROR(__xludf.DUMMYFUNCTION("""COMPUTED_VALUE"""),"J")</f>
        <v>J</v>
      </c>
      <c r="G411" s="118">
        <f ca="1">IFERROR(__xludf.DUMMYFUNCTION("""COMPUTED_VALUE"""),1)</f>
        <v>1</v>
      </c>
      <c r="H411" s="118" t="str">
        <f ca="1">IFERROR(__xludf.DUMMYFUNCTION("""COMPUTED_VALUE"""),"DR")</f>
        <v>DR</v>
      </c>
      <c r="I411" s="118">
        <f ca="1">IFERROR(__xludf.DUMMYFUNCTION("""COMPUTED_VALUE"""),4)</f>
        <v>4</v>
      </c>
      <c r="J411" s="118">
        <f ca="1">IFERROR(__xludf.DUMMYFUNCTION("""COMPUTED_VALUE"""),0)</f>
        <v>0</v>
      </c>
      <c r="K411" s="120"/>
      <c r="L411" s="121"/>
      <c r="M411" s="120"/>
      <c r="N411" s="121"/>
      <c r="O411" s="120"/>
      <c r="P411" s="122"/>
      <c r="Q411" s="123" t="str">
        <f ca="1">IFERROR(__xludf.DUMMYFUNCTION("""COMPUTED_VALUE"""),"Grace Middendorf")</f>
        <v>Grace Middendorf</v>
      </c>
      <c r="R411" s="123" t="str">
        <f ca="1">IFERROR(__xludf.DUMMYFUNCTION("""COMPUTED_VALUE"""),"Louie Marra")</f>
        <v>Louie Marra</v>
      </c>
      <c r="S411" s="123" t="str">
        <f ca="1">IFERROR(__xludf.DUMMYFUNCTION("""COMPUTED_VALUE"""),"Emily Bracken")</f>
        <v>Emily Bracken</v>
      </c>
      <c r="T411" s="123" t="str">
        <f ca="1">IFERROR(__xludf.DUMMYFUNCTION("""COMPUTED_VALUE"""),"Jack Flanagan")</f>
        <v>Jack Flanagan</v>
      </c>
    </row>
    <row r="412" spans="1:20" ht="13.8">
      <c r="A412" s="118" t="str">
        <f ca="1">IFERROR(__xludf.DUMMYFUNCTION("""COMPUTED_VALUE"""),"DR")</f>
        <v>DR</v>
      </c>
      <c r="B412" s="119" t="str">
        <f ca="1">IFERROR(__xludf.DUMMYFUNCTION("""COMPUTED_VALUE"""),"Callie Moriarty")</f>
        <v>Callie Moriarty</v>
      </c>
      <c r="C412" s="118">
        <f ca="1">IFERROR(__xludf.DUMMYFUNCTION("""COMPUTED_VALUE"""),10)</f>
        <v>10</v>
      </c>
      <c r="D412" s="118" t="str">
        <f ca="1">IFERROR(__xludf.DUMMYFUNCTION("""COMPUTED_VALUE"""),"G")</f>
        <v>G</v>
      </c>
      <c r="E412" s="118" t="str">
        <f ca="1">IFERROR(__xludf.DUMMYFUNCTION("""COMPUTED_VALUE"""),"F")</f>
        <v>F</v>
      </c>
      <c r="F412" s="118" t="str">
        <f ca="1">IFERROR(__xludf.DUMMYFUNCTION("""COMPUTED_VALUE"""),"J")</f>
        <v>J</v>
      </c>
      <c r="G412" s="118">
        <f ca="1">IFERROR(__xludf.DUMMYFUNCTION("""COMPUTED_VALUE"""),1)</f>
        <v>1</v>
      </c>
      <c r="H412" s="118" t="str">
        <f ca="1">IFERROR(__xludf.DUMMYFUNCTION("""COMPUTED_VALUE"""),"DR")</f>
        <v>DR</v>
      </c>
      <c r="I412" s="118">
        <f ca="1">IFERROR(__xludf.DUMMYFUNCTION("""COMPUTED_VALUE"""),4)</f>
        <v>4</v>
      </c>
      <c r="J412" s="118">
        <f ca="1">IFERROR(__xludf.DUMMYFUNCTION("""COMPUTED_VALUE"""),3)</f>
        <v>3</v>
      </c>
      <c r="K412" s="120">
        <f ca="1">IFERROR(__xludf.DUMMYFUNCTION("""COMPUTED_VALUE"""),77.75)</f>
        <v>77.75</v>
      </c>
      <c r="L412" s="121"/>
      <c r="M412" s="120">
        <f ca="1">IFERROR(__xludf.DUMMYFUNCTION("""COMPUTED_VALUE"""),52)</f>
        <v>52</v>
      </c>
      <c r="N412" s="121"/>
      <c r="O412" s="120"/>
      <c r="P412" s="122"/>
      <c r="Q412" s="123" t="str">
        <f ca="1">IFERROR(__xludf.DUMMYFUNCTION("""COMPUTED_VALUE"""),"Grace Rose")</f>
        <v>Grace Rose</v>
      </c>
      <c r="R412" s="123" t="str">
        <f ca="1">IFERROR(__xludf.DUMMYFUNCTION("""COMPUTED_VALUE"""),"Louis Mintzer")</f>
        <v>Louis Mintzer</v>
      </c>
      <c r="S412" s="123" t="str">
        <f ca="1">IFERROR(__xludf.DUMMYFUNCTION("""COMPUTED_VALUE"""),"Emily Bush")</f>
        <v>Emily Bush</v>
      </c>
      <c r="T412" s="123" t="str">
        <f ca="1">IFERROR(__xludf.DUMMYFUNCTION("""COMPUTED_VALUE"""),"Jack Murphy")</f>
        <v>Jack Murphy</v>
      </c>
    </row>
    <row r="413" spans="1:20" ht="13.8">
      <c r="A413" s="118" t="str">
        <f ca="1">IFERROR(__xludf.DUMMYFUNCTION("""COMPUTED_VALUE"""),"DR")</f>
        <v>DR</v>
      </c>
      <c r="B413" s="119" t="str">
        <f ca="1">IFERROR(__xludf.DUMMYFUNCTION("""COMPUTED_VALUE"""),"Charleigh Healey")</f>
        <v>Charleigh Healey</v>
      </c>
      <c r="C413" s="118">
        <f ca="1">IFERROR(__xludf.DUMMYFUNCTION("""COMPUTED_VALUE"""),8)</f>
        <v>8</v>
      </c>
      <c r="D413" s="118" t="str">
        <f ca="1">IFERROR(__xludf.DUMMYFUNCTION("""COMPUTED_VALUE"""),"G")</f>
        <v>G</v>
      </c>
      <c r="E413" s="118" t="str">
        <f ca="1">IFERROR(__xludf.DUMMYFUNCTION("""COMPUTED_VALUE"""),"F")</f>
        <v>F</v>
      </c>
      <c r="F413" s="118" t="str">
        <f ca="1">IFERROR(__xludf.DUMMYFUNCTION("""COMPUTED_VALUE"""),"J")</f>
        <v>J</v>
      </c>
      <c r="G413" s="118">
        <f ca="1">IFERROR(__xludf.DUMMYFUNCTION("""COMPUTED_VALUE"""),1)</f>
        <v>1</v>
      </c>
      <c r="H413" s="118" t="str">
        <f ca="1">IFERROR(__xludf.DUMMYFUNCTION("""COMPUTED_VALUE"""),"DR")</f>
        <v>DR</v>
      </c>
      <c r="I413" s="118">
        <f ca="1">IFERROR(__xludf.DUMMYFUNCTION("""COMPUTED_VALUE"""),4)</f>
        <v>4</v>
      </c>
      <c r="J413" s="118">
        <f ca="1">IFERROR(__xludf.DUMMYFUNCTION("""COMPUTED_VALUE"""),0)</f>
        <v>0</v>
      </c>
      <c r="K413" s="120"/>
      <c r="L413" s="121"/>
      <c r="M413" s="120"/>
      <c r="N413" s="121"/>
      <c r="O413" s="120"/>
      <c r="P413" s="122"/>
      <c r="Q413" s="123" t="str">
        <f ca="1">IFERROR(__xludf.DUMMYFUNCTION("""COMPUTED_VALUE"""),"Grace Swihart")</f>
        <v>Grace Swihart</v>
      </c>
      <c r="R413" s="123" t="str">
        <f ca="1">IFERROR(__xludf.DUMMYFUNCTION("""COMPUTED_VALUE"""),"Luca Bucci")</f>
        <v>Luca Bucci</v>
      </c>
      <c r="S413" s="123" t="str">
        <f ca="1">IFERROR(__xludf.DUMMYFUNCTION("""COMPUTED_VALUE"""),"Emily Dunn")</f>
        <v>Emily Dunn</v>
      </c>
      <c r="T413" s="123" t="str">
        <f ca="1">IFERROR(__xludf.DUMMYFUNCTION("""COMPUTED_VALUE"""),"Jack O'Donnell")</f>
        <v>Jack O'Donnell</v>
      </c>
    </row>
    <row r="414" spans="1:20" ht="13.8">
      <c r="A414" s="118" t="str">
        <f ca="1">IFERROR(__xludf.DUMMYFUNCTION("""COMPUTED_VALUE"""),"DR")</f>
        <v>DR</v>
      </c>
      <c r="B414" s="119" t="str">
        <f ca="1">IFERROR(__xludf.DUMMYFUNCTION("""COMPUTED_VALUE"""),"Charlotte Fayhee")</f>
        <v>Charlotte Fayhee</v>
      </c>
      <c r="C414" s="118">
        <f ca="1">IFERROR(__xludf.DUMMYFUNCTION("""COMPUTED_VALUE"""),10)</f>
        <v>10</v>
      </c>
      <c r="D414" s="118" t="str">
        <f ca="1">IFERROR(__xludf.DUMMYFUNCTION("""COMPUTED_VALUE"""),"G")</f>
        <v>G</v>
      </c>
      <c r="E414" s="118" t="str">
        <f ca="1">IFERROR(__xludf.DUMMYFUNCTION("""COMPUTED_VALUE"""),"F")</f>
        <v>F</v>
      </c>
      <c r="F414" s="118" t="str">
        <f ca="1">IFERROR(__xludf.DUMMYFUNCTION("""COMPUTED_VALUE"""),"J")</f>
        <v>J</v>
      </c>
      <c r="G414" s="118">
        <f ca="1">IFERROR(__xludf.DUMMYFUNCTION("""COMPUTED_VALUE"""),1)</f>
        <v>1</v>
      </c>
      <c r="H414" s="118" t="str">
        <f ca="1">IFERROR(__xludf.DUMMYFUNCTION("""COMPUTED_VALUE"""),"DR")</f>
        <v>DR</v>
      </c>
      <c r="I414" s="118">
        <f ca="1">IFERROR(__xludf.DUMMYFUNCTION("""COMPUTED_VALUE"""),4)</f>
        <v>4</v>
      </c>
      <c r="J414" s="118">
        <f ca="1">IFERROR(__xludf.DUMMYFUNCTION("""COMPUTED_VALUE"""),0)</f>
        <v>0</v>
      </c>
      <c r="K414" s="120"/>
      <c r="L414" s="121"/>
      <c r="M414" s="120"/>
      <c r="N414" s="121"/>
      <c r="O414" s="120"/>
      <c r="P414" s="122"/>
      <c r="Q414" s="123" t="str">
        <f ca="1">IFERROR(__xludf.DUMMYFUNCTION("""COMPUTED_VALUE"""),"Grace Wegner")</f>
        <v>Grace Wegner</v>
      </c>
      <c r="R414" s="123" t="str">
        <f ca="1">IFERROR(__xludf.DUMMYFUNCTION("""COMPUTED_VALUE"""),"Luca Hardin")</f>
        <v>Luca Hardin</v>
      </c>
      <c r="S414" s="123" t="str">
        <f ca="1">IFERROR(__xludf.DUMMYFUNCTION("""COMPUTED_VALUE"""),"Emily Fay")</f>
        <v>Emily Fay</v>
      </c>
      <c r="T414" s="123" t="str">
        <f ca="1">IFERROR(__xludf.DUMMYFUNCTION("""COMPUTED_VALUE"""),"Jack Pacheco-Manetti")</f>
        <v>Jack Pacheco-Manetti</v>
      </c>
    </row>
    <row r="415" spans="1:20" ht="13.8">
      <c r="A415" s="118" t="str">
        <f ca="1">IFERROR(__xludf.DUMMYFUNCTION("""COMPUTED_VALUE"""),"DR")</f>
        <v>DR</v>
      </c>
      <c r="B415" s="119" t="str">
        <f ca="1">IFERROR(__xludf.DUMMYFUNCTION("""COMPUTED_VALUE"""),"Daphne Conquest")</f>
        <v>Daphne Conquest</v>
      </c>
      <c r="C415" s="118">
        <f ca="1">IFERROR(__xludf.DUMMYFUNCTION("""COMPUTED_VALUE"""),6)</f>
        <v>6</v>
      </c>
      <c r="D415" s="118" t="str">
        <f ca="1">IFERROR(__xludf.DUMMYFUNCTION("""COMPUTED_VALUE"""),"G")</f>
        <v>G</v>
      </c>
      <c r="E415" s="118" t="str">
        <f ca="1">IFERROR(__xludf.DUMMYFUNCTION("""COMPUTED_VALUE"""),"F")</f>
        <v>F</v>
      </c>
      <c r="F415" s="118" t="str">
        <f ca="1">IFERROR(__xludf.DUMMYFUNCTION("""COMPUTED_VALUE"""),"J")</f>
        <v>J</v>
      </c>
      <c r="G415" s="118">
        <f ca="1">IFERROR(__xludf.DUMMYFUNCTION("""COMPUTED_VALUE"""),1)</f>
        <v>1</v>
      </c>
      <c r="H415" s="118" t="str">
        <f ca="1">IFERROR(__xludf.DUMMYFUNCTION("""COMPUTED_VALUE"""),"DR")</f>
        <v>DR</v>
      </c>
      <c r="I415" s="118">
        <f ca="1">IFERROR(__xludf.DUMMYFUNCTION("""COMPUTED_VALUE"""),4)</f>
        <v>4</v>
      </c>
      <c r="J415" s="118">
        <f ca="1">IFERROR(__xludf.DUMMYFUNCTION("""COMPUTED_VALUE"""),0)</f>
        <v>0</v>
      </c>
      <c r="K415" s="120"/>
      <c r="L415" s="121"/>
      <c r="M415" s="120"/>
      <c r="N415" s="121"/>
      <c r="O415" s="120"/>
      <c r="P415" s="122"/>
      <c r="Q415" s="123" t="str">
        <f ca="1">IFERROR(__xludf.DUMMYFUNCTION("""COMPUTED_VALUE"""),"Gracie Weide")</f>
        <v>Gracie Weide</v>
      </c>
      <c r="R415" s="123" t="str">
        <f ca="1">IFERROR(__xludf.DUMMYFUNCTION("""COMPUTED_VALUE"""),"Lucas Lynn")</f>
        <v>Lucas Lynn</v>
      </c>
      <c r="S415" s="123" t="str">
        <f ca="1">IFERROR(__xludf.DUMMYFUNCTION("""COMPUTED_VALUE"""),"Emily Field")</f>
        <v>Emily Field</v>
      </c>
      <c r="T415" s="123" t="str">
        <f ca="1">IFERROR(__xludf.DUMMYFUNCTION("""COMPUTED_VALUE"""),"Jack Reed")</f>
        <v>Jack Reed</v>
      </c>
    </row>
    <row r="416" spans="1:20" ht="13.8">
      <c r="A416" s="118" t="str">
        <f ca="1">IFERROR(__xludf.DUMMYFUNCTION("""COMPUTED_VALUE"""),"DR")</f>
        <v>DR</v>
      </c>
      <c r="B416" s="119" t="str">
        <f ca="1">IFERROR(__xludf.DUMMYFUNCTION("""COMPUTED_VALUE"""),"Delaney Weaver")</f>
        <v>Delaney Weaver</v>
      </c>
      <c r="C416" s="118">
        <f ca="1">IFERROR(__xludf.DUMMYFUNCTION("""COMPUTED_VALUE"""),5)</f>
        <v>5</v>
      </c>
      <c r="D416" s="118" t="str">
        <f ca="1">IFERROR(__xludf.DUMMYFUNCTION("""COMPUTED_VALUE"""),"G")</f>
        <v>G</v>
      </c>
      <c r="E416" s="118" t="str">
        <f ca="1">IFERROR(__xludf.DUMMYFUNCTION("""COMPUTED_VALUE"""),"F")</f>
        <v>F</v>
      </c>
      <c r="F416" s="118" t="str">
        <f ca="1">IFERROR(__xludf.DUMMYFUNCTION("""COMPUTED_VALUE"""),"J")</f>
        <v>J</v>
      </c>
      <c r="G416" s="118">
        <f ca="1">IFERROR(__xludf.DUMMYFUNCTION("""COMPUTED_VALUE"""),1)</f>
        <v>1</v>
      </c>
      <c r="H416" s="118" t="str">
        <f ca="1">IFERROR(__xludf.DUMMYFUNCTION("""COMPUTED_VALUE"""),"DR")</f>
        <v>DR</v>
      </c>
      <c r="I416" s="118">
        <f ca="1">IFERROR(__xludf.DUMMYFUNCTION("""COMPUTED_VALUE"""),4)</f>
        <v>4</v>
      </c>
      <c r="J416" s="118">
        <f ca="1">IFERROR(__xludf.DUMMYFUNCTION("""COMPUTED_VALUE"""),0)</f>
        <v>0</v>
      </c>
      <c r="K416" s="120"/>
      <c r="L416" s="121"/>
      <c r="M416" s="120"/>
      <c r="N416" s="121"/>
      <c r="O416" s="120"/>
      <c r="P416" s="122"/>
      <c r="Q416" s="123" t="str">
        <f ca="1">IFERROR(__xludf.DUMMYFUNCTION("""COMPUTED_VALUE"""),"Graciela Padilla")</f>
        <v>Graciela Padilla</v>
      </c>
      <c r="R416" s="123" t="str">
        <f ca="1">IFERROR(__xludf.DUMMYFUNCTION("""COMPUTED_VALUE"""),"Lucas Moreno")</f>
        <v>Lucas Moreno</v>
      </c>
      <c r="S416" s="123" t="str">
        <f ca="1">IFERROR(__xludf.DUMMYFUNCTION("""COMPUTED_VALUE"""),"Emily Flach")</f>
        <v>Emily Flach</v>
      </c>
      <c r="T416" s="123" t="str">
        <f ca="1">IFERROR(__xludf.DUMMYFUNCTION("""COMPUTED_VALUE"""),"Jack Snow")</f>
        <v>Jack Snow</v>
      </c>
    </row>
    <row r="417" spans="1:20" ht="13.8">
      <c r="A417" s="118" t="str">
        <f ca="1">IFERROR(__xludf.DUMMYFUNCTION("""COMPUTED_VALUE"""),"DR")</f>
        <v>DR</v>
      </c>
      <c r="B417" s="119" t="str">
        <f ca="1">IFERROR(__xludf.DUMMYFUNCTION("""COMPUTED_VALUE"""),"Elanor Fitzgerald")</f>
        <v>Elanor Fitzgerald</v>
      </c>
      <c r="C417" s="118">
        <f ca="1">IFERROR(__xludf.DUMMYFUNCTION("""COMPUTED_VALUE"""),7)</f>
        <v>7</v>
      </c>
      <c r="D417" s="118" t="str">
        <f ca="1">IFERROR(__xludf.DUMMYFUNCTION("""COMPUTED_VALUE"""),"G")</f>
        <v>G</v>
      </c>
      <c r="E417" s="118" t="str">
        <f ca="1">IFERROR(__xludf.DUMMYFUNCTION("""COMPUTED_VALUE"""),"F")</f>
        <v>F</v>
      </c>
      <c r="F417" s="118" t="str">
        <f ca="1">IFERROR(__xludf.DUMMYFUNCTION("""COMPUTED_VALUE"""),"J")</f>
        <v>J</v>
      </c>
      <c r="G417" s="118">
        <f ca="1">IFERROR(__xludf.DUMMYFUNCTION("""COMPUTED_VALUE"""),1)</f>
        <v>1</v>
      </c>
      <c r="H417" s="118" t="str">
        <f ca="1">IFERROR(__xludf.DUMMYFUNCTION("""COMPUTED_VALUE"""),"DR")</f>
        <v>DR</v>
      </c>
      <c r="I417" s="118">
        <f ca="1">IFERROR(__xludf.DUMMYFUNCTION("""COMPUTED_VALUE"""),4)</f>
        <v>4</v>
      </c>
      <c r="J417" s="118">
        <f ca="1">IFERROR(__xludf.DUMMYFUNCTION("""COMPUTED_VALUE"""),5)</f>
        <v>5</v>
      </c>
      <c r="K417" s="120">
        <f ca="1">IFERROR(__xludf.DUMMYFUNCTION("""COMPUTED_VALUE"""),48.8)</f>
        <v>48.8</v>
      </c>
      <c r="L417" s="121"/>
      <c r="M417" s="120">
        <f ca="1">IFERROR(__xludf.DUMMYFUNCTION("""COMPUTED_VALUE"""),41.5)</f>
        <v>41.5</v>
      </c>
      <c r="N417" s="121"/>
      <c r="O417" s="120">
        <f ca="1">IFERROR(__xludf.DUMMYFUNCTION("""COMPUTED_VALUE"""),36.15)</f>
        <v>36.15</v>
      </c>
      <c r="P417" s="122"/>
      <c r="Q417" s="123" t="str">
        <f ca="1">IFERROR(__xludf.DUMMYFUNCTION("""COMPUTED_VALUE"""),"Graham Nicholson")</f>
        <v>Graham Nicholson</v>
      </c>
      <c r="R417" s="123" t="str">
        <f ca="1">IFERROR(__xludf.DUMMYFUNCTION("""COMPUTED_VALUE"""),"Lucas Nguyen")</f>
        <v>Lucas Nguyen</v>
      </c>
      <c r="S417" s="123" t="str">
        <f ca="1">IFERROR(__xludf.DUMMYFUNCTION("""COMPUTED_VALUE"""),"Emily Gu")</f>
        <v>Emily Gu</v>
      </c>
      <c r="T417" s="123" t="str">
        <f ca="1">IFERROR(__xludf.DUMMYFUNCTION("""COMPUTED_VALUE"""),"Jack Taylor")</f>
        <v>Jack Taylor</v>
      </c>
    </row>
    <row r="418" spans="1:20" ht="13.8">
      <c r="A418" s="118" t="str">
        <f ca="1">IFERROR(__xludf.DUMMYFUNCTION("""COMPUTED_VALUE"""),"DR")</f>
        <v>DR</v>
      </c>
      <c r="B418" s="119" t="str">
        <f ca="1">IFERROR(__xludf.DUMMYFUNCTION("""COMPUTED_VALUE"""),"Eliza Simms")</f>
        <v>Eliza Simms</v>
      </c>
      <c r="C418" s="118">
        <f ca="1">IFERROR(__xludf.DUMMYFUNCTION("""COMPUTED_VALUE"""),5)</f>
        <v>5</v>
      </c>
      <c r="D418" s="118" t="str">
        <f ca="1">IFERROR(__xludf.DUMMYFUNCTION("""COMPUTED_VALUE"""),"G")</f>
        <v>G</v>
      </c>
      <c r="E418" s="118" t="str">
        <f ca="1">IFERROR(__xludf.DUMMYFUNCTION("""COMPUTED_VALUE"""),"F")</f>
        <v>F</v>
      </c>
      <c r="F418" s="118" t="str">
        <f ca="1">IFERROR(__xludf.DUMMYFUNCTION("""COMPUTED_VALUE"""),"J")</f>
        <v>J</v>
      </c>
      <c r="G418" s="118">
        <f ca="1">IFERROR(__xludf.DUMMYFUNCTION("""COMPUTED_VALUE"""),1)</f>
        <v>1</v>
      </c>
      <c r="H418" s="118" t="str">
        <f ca="1">IFERROR(__xludf.DUMMYFUNCTION("""COMPUTED_VALUE"""),"DR")</f>
        <v>DR</v>
      </c>
      <c r="I418" s="118">
        <f ca="1">IFERROR(__xludf.DUMMYFUNCTION("""COMPUTED_VALUE"""),4)</f>
        <v>4</v>
      </c>
      <c r="J418" s="118">
        <f ca="1">IFERROR(__xludf.DUMMYFUNCTION("""COMPUTED_VALUE"""),0)</f>
        <v>0</v>
      </c>
      <c r="K418" s="120"/>
      <c r="L418" s="121"/>
      <c r="M418" s="120"/>
      <c r="N418" s="121"/>
      <c r="O418" s="120"/>
      <c r="P418" s="122"/>
      <c r="Q418" s="123" t="str">
        <f ca="1">IFERROR(__xludf.DUMMYFUNCTION("""COMPUTED_VALUE"""),"Gray Cotter")</f>
        <v>Gray Cotter</v>
      </c>
      <c r="R418" s="123" t="str">
        <f ca="1">IFERROR(__xludf.DUMMYFUNCTION("""COMPUTED_VALUE"""),"Lucas Vida")</f>
        <v>Lucas Vida</v>
      </c>
      <c r="S418" s="123" t="str">
        <f ca="1">IFERROR(__xludf.DUMMYFUNCTION("""COMPUTED_VALUE"""),"Emily Lauffer")</f>
        <v>Emily Lauffer</v>
      </c>
      <c r="T418" s="123" t="str">
        <f ca="1">IFERROR(__xludf.DUMMYFUNCTION("""COMPUTED_VALUE"""),"Jack Zecher")</f>
        <v>Jack Zecher</v>
      </c>
    </row>
    <row r="419" spans="1:20" ht="13.8">
      <c r="A419" s="118" t="str">
        <f ca="1">IFERROR(__xludf.DUMMYFUNCTION("""COMPUTED_VALUE"""),"DR")</f>
        <v>DR</v>
      </c>
      <c r="B419" s="119" t="str">
        <f ca="1">IFERROR(__xludf.DUMMYFUNCTION("""COMPUTED_VALUE"""),"Emily Bracken")</f>
        <v>Emily Bracken</v>
      </c>
      <c r="C419" s="118">
        <f ca="1">IFERROR(__xludf.DUMMYFUNCTION("""COMPUTED_VALUE"""),7)</f>
        <v>7</v>
      </c>
      <c r="D419" s="118" t="str">
        <f ca="1">IFERROR(__xludf.DUMMYFUNCTION("""COMPUTED_VALUE"""),"G")</f>
        <v>G</v>
      </c>
      <c r="E419" s="118" t="str">
        <f ca="1">IFERROR(__xludf.DUMMYFUNCTION("""COMPUTED_VALUE"""),"F")</f>
        <v>F</v>
      </c>
      <c r="F419" s="118" t="str">
        <f ca="1">IFERROR(__xludf.DUMMYFUNCTION("""COMPUTED_VALUE"""),"J")</f>
        <v>J</v>
      </c>
      <c r="G419" s="118">
        <f ca="1">IFERROR(__xludf.DUMMYFUNCTION("""COMPUTED_VALUE"""),1)</f>
        <v>1</v>
      </c>
      <c r="H419" s="118" t="str">
        <f ca="1">IFERROR(__xludf.DUMMYFUNCTION("""COMPUTED_VALUE"""),"DR")</f>
        <v>DR</v>
      </c>
      <c r="I419" s="118">
        <f ca="1">IFERROR(__xludf.DUMMYFUNCTION("""COMPUTED_VALUE"""),4)</f>
        <v>4</v>
      </c>
      <c r="J419" s="118">
        <f ca="1">IFERROR(__xludf.DUMMYFUNCTION("""COMPUTED_VALUE"""),0)</f>
        <v>0</v>
      </c>
      <c r="K419" s="120"/>
      <c r="L419" s="121"/>
      <c r="M419" s="120"/>
      <c r="N419" s="121"/>
      <c r="O419" s="120"/>
      <c r="P419" s="122"/>
      <c r="Q419" s="123" t="str">
        <f ca="1">IFERROR(__xludf.DUMMYFUNCTION("""COMPUTED_VALUE"""),"Greta Bowser")</f>
        <v>Greta Bowser</v>
      </c>
      <c r="R419" s="123" t="str">
        <f ca="1">IFERROR(__xludf.DUMMYFUNCTION("""COMPUTED_VALUE"""),"Luis Peter Fernandez")</f>
        <v>Luis Peter Fernandez</v>
      </c>
      <c r="S419" s="123" t="str">
        <f ca="1">IFERROR(__xludf.DUMMYFUNCTION("""COMPUTED_VALUE"""),"Emily McKinnon")</f>
        <v>Emily McKinnon</v>
      </c>
      <c r="T419" s="123" t="str">
        <f ca="1">IFERROR(__xludf.DUMMYFUNCTION("""COMPUTED_VALUE"""),"Jackson Beall")</f>
        <v>Jackson Beall</v>
      </c>
    </row>
    <row r="420" spans="1:20" ht="13.8">
      <c r="A420" s="118" t="str">
        <f ca="1">IFERROR(__xludf.DUMMYFUNCTION("""COMPUTED_VALUE"""),"DR")</f>
        <v>DR</v>
      </c>
      <c r="B420" s="119" t="str">
        <f ca="1">IFERROR(__xludf.DUMMYFUNCTION("""COMPUTED_VALUE"""),"Finley McDonnell")</f>
        <v>Finley McDonnell</v>
      </c>
      <c r="C420" s="118">
        <f ca="1">IFERROR(__xludf.DUMMYFUNCTION("""COMPUTED_VALUE"""),10)</f>
        <v>10</v>
      </c>
      <c r="D420" s="118" t="str">
        <f ca="1">IFERROR(__xludf.DUMMYFUNCTION("""COMPUTED_VALUE"""),"G")</f>
        <v>G</v>
      </c>
      <c r="E420" s="118" t="str">
        <f ca="1">IFERROR(__xludf.DUMMYFUNCTION("""COMPUTED_VALUE"""),"F")</f>
        <v>F</v>
      </c>
      <c r="F420" s="118" t="str">
        <f ca="1">IFERROR(__xludf.DUMMYFUNCTION("""COMPUTED_VALUE"""),"J")</f>
        <v>J</v>
      </c>
      <c r="G420" s="118">
        <f ca="1">IFERROR(__xludf.DUMMYFUNCTION("""COMPUTED_VALUE"""),1)</f>
        <v>1</v>
      </c>
      <c r="H420" s="118" t="str">
        <f ca="1">IFERROR(__xludf.DUMMYFUNCTION("""COMPUTED_VALUE"""),"DR")</f>
        <v>DR</v>
      </c>
      <c r="I420" s="118">
        <f ca="1">IFERROR(__xludf.DUMMYFUNCTION("""COMPUTED_VALUE"""),4)</f>
        <v>4</v>
      </c>
      <c r="J420" s="118">
        <f ca="1">IFERROR(__xludf.DUMMYFUNCTION("""COMPUTED_VALUE"""),5)</f>
        <v>5</v>
      </c>
      <c r="K420" s="120">
        <f ca="1">IFERROR(__xludf.DUMMYFUNCTION("""COMPUTED_VALUE"""),77.5)</f>
        <v>77.5</v>
      </c>
      <c r="L420" s="121"/>
      <c r="M420" s="120">
        <f ca="1">IFERROR(__xludf.DUMMYFUNCTION("""COMPUTED_VALUE"""),64.8)</f>
        <v>64.8</v>
      </c>
      <c r="N420" s="121"/>
      <c r="O420" s="120">
        <f ca="1">IFERROR(__xludf.DUMMYFUNCTION("""COMPUTED_VALUE"""),57)</f>
        <v>57</v>
      </c>
      <c r="P420" s="122"/>
      <c r="Q420" s="123" t="str">
        <f ca="1">IFERROR(__xludf.DUMMYFUNCTION("""COMPUTED_VALUE"""),"Greta Goehring")</f>
        <v>Greta Goehring</v>
      </c>
      <c r="R420" s="123" t="str">
        <f ca="1">IFERROR(__xludf.DUMMYFUNCTION("""COMPUTED_VALUE"""),"Luka Dodd")</f>
        <v>Luka Dodd</v>
      </c>
      <c r="S420" s="123" t="str">
        <f ca="1">IFERROR(__xludf.DUMMYFUNCTION("""COMPUTED_VALUE"""),"Emily Newton")</f>
        <v>Emily Newton</v>
      </c>
      <c r="T420" s="123" t="str">
        <f ca="1">IFERROR(__xludf.DUMMYFUNCTION("""COMPUTED_VALUE"""),"Jackson Brabender")</f>
        <v>Jackson Brabender</v>
      </c>
    </row>
    <row r="421" spans="1:20" ht="13.8">
      <c r="A421" s="118" t="str">
        <f ca="1">IFERROR(__xludf.DUMMYFUNCTION("""COMPUTED_VALUE"""),"DR")</f>
        <v>DR</v>
      </c>
      <c r="B421" s="119" t="str">
        <f ca="1">IFERROR(__xludf.DUMMYFUNCTION("""COMPUTED_VALUE"""),"Ginny Moore")</f>
        <v>Ginny Moore</v>
      </c>
      <c r="C421" s="118">
        <f ca="1">IFERROR(__xludf.DUMMYFUNCTION("""COMPUTED_VALUE"""),10)</f>
        <v>10</v>
      </c>
      <c r="D421" s="118" t="str">
        <f ca="1">IFERROR(__xludf.DUMMYFUNCTION("""COMPUTED_VALUE"""),"G")</f>
        <v>G</v>
      </c>
      <c r="E421" s="118" t="str">
        <f ca="1">IFERROR(__xludf.DUMMYFUNCTION("""COMPUTED_VALUE"""),"F")</f>
        <v>F</v>
      </c>
      <c r="F421" s="118" t="str">
        <f ca="1">IFERROR(__xludf.DUMMYFUNCTION("""COMPUTED_VALUE"""),"J")</f>
        <v>J</v>
      </c>
      <c r="G421" s="118">
        <f ca="1">IFERROR(__xludf.DUMMYFUNCTION("""COMPUTED_VALUE"""),1)</f>
        <v>1</v>
      </c>
      <c r="H421" s="118" t="str">
        <f ca="1">IFERROR(__xludf.DUMMYFUNCTION("""COMPUTED_VALUE"""),"DR")</f>
        <v>DR</v>
      </c>
      <c r="I421" s="118">
        <f ca="1">IFERROR(__xludf.DUMMYFUNCTION("""COMPUTED_VALUE"""),4)</f>
        <v>4</v>
      </c>
      <c r="J421" s="118">
        <f ca="1">IFERROR(__xludf.DUMMYFUNCTION("""COMPUTED_VALUE"""),0)</f>
        <v>0</v>
      </c>
      <c r="K421" s="120"/>
      <c r="L421" s="121"/>
      <c r="M421" s="120"/>
      <c r="N421" s="121"/>
      <c r="O421" s="120"/>
      <c r="P421" s="122"/>
      <c r="Q421" s="123" t="str">
        <f ca="1">IFERROR(__xludf.DUMMYFUNCTION("""COMPUTED_VALUE"""),"Hadley Chen")</f>
        <v>Hadley Chen</v>
      </c>
      <c r="R421" s="123" t="str">
        <f ca="1">IFERROR(__xludf.DUMMYFUNCTION("""COMPUTED_VALUE"""),"Luke Bergeron")</f>
        <v>Luke Bergeron</v>
      </c>
      <c r="S421" s="123" t="str">
        <f ca="1">IFERROR(__xludf.DUMMYFUNCTION("""COMPUTED_VALUE"""),"Emily Sander")</f>
        <v>Emily Sander</v>
      </c>
      <c r="T421" s="123" t="str">
        <f ca="1">IFERROR(__xludf.DUMMYFUNCTION("""COMPUTED_VALUE"""),"Jackson Lopez")</f>
        <v>Jackson Lopez</v>
      </c>
    </row>
    <row r="422" spans="1:20" ht="13.8">
      <c r="A422" s="118" t="str">
        <f ca="1">IFERROR(__xludf.DUMMYFUNCTION("""COMPUTED_VALUE"""),"DR")</f>
        <v>DR</v>
      </c>
      <c r="B422" s="119" t="str">
        <f ca="1">IFERROR(__xludf.DUMMYFUNCTION("""COMPUTED_VALUE"""),"Isabel Jacobs")</f>
        <v>Isabel Jacobs</v>
      </c>
      <c r="C422" s="118">
        <f ca="1">IFERROR(__xludf.DUMMYFUNCTION("""COMPUTED_VALUE"""),9)</f>
        <v>9</v>
      </c>
      <c r="D422" s="118" t="str">
        <f ca="1">IFERROR(__xludf.DUMMYFUNCTION("""COMPUTED_VALUE"""),"G")</f>
        <v>G</v>
      </c>
      <c r="E422" s="118" t="str">
        <f ca="1">IFERROR(__xludf.DUMMYFUNCTION("""COMPUTED_VALUE"""),"F")</f>
        <v>F</v>
      </c>
      <c r="F422" s="118" t="str">
        <f ca="1">IFERROR(__xludf.DUMMYFUNCTION("""COMPUTED_VALUE"""),"J")</f>
        <v>J</v>
      </c>
      <c r="G422" s="118">
        <f ca="1">IFERROR(__xludf.DUMMYFUNCTION("""COMPUTED_VALUE"""),1)</f>
        <v>1</v>
      </c>
      <c r="H422" s="118" t="str">
        <f ca="1">IFERROR(__xludf.DUMMYFUNCTION("""COMPUTED_VALUE"""),"DR")</f>
        <v>DR</v>
      </c>
      <c r="I422" s="118">
        <f ca="1">IFERROR(__xludf.DUMMYFUNCTION("""COMPUTED_VALUE"""),4)</f>
        <v>4</v>
      </c>
      <c r="J422" s="118">
        <f ca="1">IFERROR(__xludf.DUMMYFUNCTION("""COMPUTED_VALUE"""),0)</f>
        <v>0</v>
      </c>
      <c r="K422" s="120"/>
      <c r="L422" s="121"/>
      <c r="M422" s="120"/>
      <c r="N422" s="121"/>
      <c r="O422" s="120"/>
      <c r="P422" s="122"/>
      <c r="Q422" s="123" t="str">
        <f ca="1">IFERROR(__xludf.DUMMYFUNCTION("""COMPUTED_VALUE"""),"Hadley Miller")</f>
        <v>Hadley Miller</v>
      </c>
      <c r="R422" s="123" t="str">
        <f ca="1">IFERROR(__xludf.DUMMYFUNCTION("""COMPUTED_VALUE"""),"Luke Bracken")</f>
        <v>Luke Bracken</v>
      </c>
      <c r="S422" s="123" t="str">
        <f ca="1">IFERROR(__xludf.DUMMYFUNCTION("""COMPUTED_VALUE"""),"Emily Skolnitsky")</f>
        <v>Emily Skolnitsky</v>
      </c>
      <c r="T422" s="123" t="str">
        <f ca="1">IFERROR(__xludf.DUMMYFUNCTION("""COMPUTED_VALUE"""),"Jackson Markey")</f>
        <v>Jackson Markey</v>
      </c>
    </row>
    <row r="423" spans="1:20" ht="13.8">
      <c r="A423" s="118" t="str">
        <f ca="1">IFERROR(__xludf.DUMMYFUNCTION("""COMPUTED_VALUE"""),"DR")</f>
        <v>DR</v>
      </c>
      <c r="B423" s="119" t="str">
        <f ca="1">IFERROR(__xludf.DUMMYFUNCTION("""COMPUTED_VALUE"""),"Kate Edgerton")</f>
        <v>Kate Edgerton</v>
      </c>
      <c r="C423" s="118">
        <f ca="1">IFERROR(__xludf.DUMMYFUNCTION("""COMPUTED_VALUE"""),8)</f>
        <v>8</v>
      </c>
      <c r="D423" s="118" t="str">
        <f ca="1">IFERROR(__xludf.DUMMYFUNCTION("""COMPUTED_VALUE"""),"G")</f>
        <v>G</v>
      </c>
      <c r="E423" s="118" t="str">
        <f ca="1">IFERROR(__xludf.DUMMYFUNCTION("""COMPUTED_VALUE"""),"F")</f>
        <v>F</v>
      </c>
      <c r="F423" s="118" t="str">
        <f ca="1">IFERROR(__xludf.DUMMYFUNCTION("""COMPUTED_VALUE"""),"J")</f>
        <v>J</v>
      </c>
      <c r="G423" s="118">
        <f ca="1">IFERROR(__xludf.DUMMYFUNCTION("""COMPUTED_VALUE"""),1)</f>
        <v>1</v>
      </c>
      <c r="H423" s="118" t="str">
        <f ca="1">IFERROR(__xludf.DUMMYFUNCTION("""COMPUTED_VALUE"""),"DR")</f>
        <v>DR</v>
      </c>
      <c r="I423" s="118">
        <f ca="1">IFERROR(__xludf.DUMMYFUNCTION("""COMPUTED_VALUE"""),4)</f>
        <v>4</v>
      </c>
      <c r="J423" s="118">
        <f ca="1">IFERROR(__xludf.DUMMYFUNCTION("""COMPUTED_VALUE"""),3)</f>
        <v>3</v>
      </c>
      <c r="K423" s="120">
        <f ca="1">IFERROR(__xludf.DUMMYFUNCTION("""COMPUTED_VALUE"""),37.65)</f>
        <v>37.65</v>
      </c>
      <c r="L423" s="121"/>
      <c r="M423" s="120">
        <f ca="1">IFERROR(__xludf.DUMMYFUNCTION("""COMPUTED_VALUE"""),30.85)</f>
        <v>30.85</v>
      </c>
      <c r="N423" s="121"/>
      <c r="O423" s="120">
        <f ca="1">IFERROR(__xludf.DUMMYFUNCTION("""COMPUTED_VALUE"""),36)</f>
        <v>36</v>
      </c>
      <c r="P423" s="122"/>
      <c r="Q423" s="123" t="str">
        <f ca="1">IFERROR(__xludf.DUMMYFUNCTION("""COMPUTED_VALUE"""),"Hailey DiVincenzo")</f>
        <v>Hailey DiVincenzo</v>
      </c>
      <c r="R423" s="123" t="str">
        <f ca="1">IFERROR(__xludf.DUMMYFUNCTION("""COMPUTED_VALUE"""),"Luke Brannan")</f>
        <v>Luke Brannan</v>
      </c>
      <c r="S423" s="123" t="str">
        <f ca="1">IFERROR(__xludf.DUMMYFUNCTION("""COMPUTED_VALUE"""),"Emily Wills")</f>
        <v>Emily Wills</v>
      </c>
      <c r="T423" s="123" t="str">
        <f ca="1">IFERROR(__xludf.DUMMYFUNCTION("""COMPUTED_VALUE"""),"Jackson Phung")</f>
        <v>Jackson Phung</v>
      </c>
    </row>
    <row r="424" spans="1:20" ht="13.8">
      <c r="A424" s="118" t="str">
        <f ca="1">IFERROR(__xludf.DUMMYFUNCTION("""COMPUTED_VALUE"""),"DR")</f>
        <v>DR</v>
      </c>
      <c r="B424" s="119" t="str">
        <f ca="1">IFERROR(__xludf.DUMMYFUNCTION("""COMPUTED_VALUE"""),"Katie Weaver")</f>
        <v>Katie Weaver</v>
      </c>
      <c r="C424" s="118">
        <f ca="1">IFERROR(__xludf.DUMMYFUNCTION("""COMPUTED_VALUE"""),7)</f>
        <v>7</v>
      </c>
      <c r="D424" s="118" t="str">
        <f ca="1">IFERROR(__xludf.DUMMYFUNCTION("""COMPUTED_VALUE"""),"G")</f>
        <v>G</v>
      </c>
      <c r="E424" s="118" t="str">
        <f ca="1">IFERROR(__xludf.DUMMYFUNCTION("""COMPUTED_VALUE"""),"F")</f>
        <v>F</v>
      </c>
      <c r="F424" s="118" t="str">
        <f ca="1">IFERROR(__xludf.DUMMYFUNCTION("""COMPUTED_VALUE"""),"J")</f>
        <v>J</v>
      </c>
      <c r="G424" s="118">
        <f ca="1">IFERROR(__xludf.DUMMYFUNCTION("""COMPUTED_VALUE"""),1)</f>
        <v>1</v>
      </c>
      <c r="H424" s="118" t="str">
        <f ca="1">IFERROR(__xludf.DUMMYFUNCTION("""COMPUTED_VALUE"""),"DR")</f>
        <v>DR</v>
      </c>
      <c r="I424" s="118">
        <f ca="1">IFERROR(__xludf.DUMMYFUNCTION("""COMPUTED_VALUE"""),4)</f>
        <v>4</v>
      </c>
      <c r="J424" s="118">
        <f ca="1">IFERROR(__xludf.DUMMYFUNCTION("""COMPUTED_VALUE"""),0)</f>
        <v>0</v>
      </c>
      <c r="K424" s="120"/>
      <c r="L424" s="121"/>
      <c r="M424" s="120"/>
      <c r="N424" s="121"/>
      <c r="O424" s="120"/>
      <c r="P424" s="122"/>
      <c r="Q424" s="123" t="str">
        <f ca="1">IFERROR(__xludf.DUMMYFUNCTION("""COMPUTED_VALUE"""),"Hailey Randazzo")</f>
        <v>Hailey Randazzo</v>
      </c>
      <c r="R424" s="123" t="str">
        <f ca="1">IFERROR(__xludf.DUMMYFUNCTION("""COMPUTED_VALUE"""),"Luke Joyner")</f>
        <v>Luke Joyner</v>
      </c>
      <c r="S424" s="123" t="str">
        <f ca="1">IFERROR(__xludf.DUMMYFUNCTION("""COMPUTED_VALUE"""),"Emily Zahalsky")</f>
        <v>Emily Zahalsky</v>
      </c>
      <c r="T424" s="123" t="str">
        <f ca="1">IFERROR(__xludf.DUMMYFUNCTION("""COMPUTED_VALUE"""),"Jackson Plevniak")</f>
        <v>Jackson Plevniak</v>
      </c>
    </row>
    <row r="425" spans="1:20" ht="13.8">
      <c r="A425" s="118" t="str">
        <f ca="1">IFERROR(__xludf.DUMMYFUNCTION("""COMPUTED_VALUE"""),"DR")</f>
        <v>DR</v>
      </c>
      <c r="B425" s="119" t="str">
        <f ca="1">IFERROR(__xludf.DUMMYFUNCTION("""COMPUTED_VALUE"""),"Laura Krumins")</f>
        <v>Laura Krumins</v>
      </c>
      <c r="C425" s="118">
        <f ca="1">IFERROR(__xludf.DUMMYFUNCTION("""COMPUTED_VALUE"""),8)</f>
        <v>8</v>
      </c>
      <c r="D425" s="118" t="str">
        <f ca="1">IFERROR(__xludf.DUMMYFUNCTION("""COMPUTED_VALUE"""),"G")</f>
        <v>G</v>
      </c>
      <c r="E425" s="118" t="str">
        <f ca="1">IFERROR(__xludf.DUMMYFUNCTION("""COMPUTED_VALUE"""),"F")</f>
        <v>F</v>
      </c>
      <c r="F425" s="118" t="str">
        <f ca="1">IFERROR(__xludf.DUMMYFUNCTION("""COMPUTED_VALUE"""),"J")</f>
        <v>J</v>
      </c>
      <c r="G425" s="118">
        <f ca="1">IFERROR(__xludf.DUMMYFUNCTION("""COMPUTED_VALUE"""),1)</f>
        <v>1</v>
      </c>
      <c r="H425" s="118" t="str">
        <f ca="1">IFERROR(__xludf.DUMMYFUNCTION("""COMPUTED_VALUE"""),"DR")</f>
        <v>DR</v>
      </c>
      <c r="I425" s="118">
        <f ca="1">IFERROR(__xludf.DUMMYFUNCTION("""COMPUTED_VALUE"""),4)</f>
        <v>4</v>
      </c>
      <c r="J425" s="118">
        <f ca="1">IFERROR(__xludf.DUMMYFUNCTION("""COMPUTED_VALUE"""),0)</f>
        <v>0</v>
      </c>
      <c r="K425" s="120"/>
      <c r="L425" s="121"/>
      <c r="M425" s="120"/>
      <c r="N425" s="121"/>
      <c r="O425" s="120"/>
      <c r="P425" s="122"/>
      <c r="Q425" s="123" t="str">
        <f ca="1">IFERROR(__xludf.DUMMYFUNCTION("""COMPUTED_VALUE"""),"Hailey Walkenhorst")</f>
        <v>Hailey Walkenhorst</v>
      </c>
      <c r="R425" s="123" t="str">
        <f ca="1">IFERROR(__xludf.DUMMYFUNCTION("""COMPUTED_VALUE"""),"Luke Kieffer")</f>
        <v>Luke Kieffer</v>
      </c>
      <c r="S425" s="123" t="str">
        <f ca="1">IFERROR(__xludf.DUMMYFUNCTION("""COMPUTED_VALUE"""),"Emily Zellers")</f>
        <v>Emily Zellers</v>
      </c>
      <c r="T425" s="123" t="str">
        <f ca="1">IFERROR(__xludf.DUMMYFUNCTION("""COMPUTED_VALUE"""),"Jackson Waller")</f>
        <v>Jackson Waller</v>
      </c>
    </row>
    <row r="426" spans="1:20" ht="13.8">
      <c r="A426" s="118" t="str">
        <f ca="1">IFERROR(__xludf.DUMMYFUNCTION("""COMPUTED_VALUE"""),"DR")</f>
        <v>DR</v>
      </c>
      <c r="B426" s="119" t="str">
        <f ca="1">IFERROR(__xludf.DUMMYFUNCTION("""COMPUTED_VALUE"""),"Lucy Brannan")</f>
        <v>Lucy Brannan</v>
      </c>
      <c r="C426" s="118">
        <f ca="1">IFERROR(__xludf.DUMMYFUNCTION("""COMPUTED_VALUE"""),7)</f>
        <v>7</v>
      </c>
      <c r="D426" s="118" t="str">
        <f ca="1">IFERROR(__xludf.DUMMYFUNCTION("""COMPUTED_VALUE"""),"G")</f>
        <v>G</v>
      </c>
      <c r="E426" s="118" t="str">
        <f ca="1">IFERROR(__xludf.DUMMYFUNCTION("""COMPUTED_VALUE"""),"F")</f>
        <v>F</v>
      </c>
      <c r="F426" s="118" t="str">
        <f ca="1">IFERROR(__xludf.DUMMYFUNCTION("""COMPUTED_VALUE"""),"J")</f>
        <v>J</v>
      </c>
      <c r="G426" s="118">
        <f ca="1">IFERROR(__xludf.DUMMYFUNCTION("""COMPUTED_VALUE"""),1)</f>
        <v>1</v>
      </c>
      <c r="H426" s="118" t="str">
        <f ca="1">IFERROR(__xludf.DUMMYFUNCTION("""COMPUTED_VALUE"""),"DR")</f>
        <v>DR</v>
      </c>
      <c r="I426" s="118">
        <f ca="1">IFERROR(__xludf.DUMMYFUNCTION("""COMPUTED_VALUE"""),4)</f>
        <v>4</v>
      </c>
      <c r="J426" s="118">
        <f ca="1">IFERROR(__xludf.DUMMYFUNCTION("""COMPUTED_VALUE"""),0)</f>
        <v>0</v>
      </c>
      <c r="K426" s="120"/>
      <c r="L426" s="121"/>
      <c r="M426" s="120"/>
      <c r="N426" s="121"/>
      <c r="O426" s="120"/>
      <c r="P426" s="122"/>
      <c r="Q426" s="123" t="str">
        <f ca="1">IFERROR(__xludf.DUMMYFUNCTION("""COMPUTED_VALUE"""),"Halley Hughes")</f>
        <v>Halley Hughes</v>
      </c>
      <c r="R426" s="123" t="str">
        <f ca="1">IFERROR(__xludf.DUMMYFUNCTION("""COMPUTED_VALUE"""),"Luke Payne")</f>
        <v>Luke Payne</v>
      </c>
      <c r="S426" s="123" t="str">
        <f ca="1">IFERROR(__xludf.DUMMYFUNCTION("""COMPUTED_VALUE"""),"Emma Denardo")</f>
        <v>Emma Denardo</v>
      </c>
      <c r="T426" s="123" t="str">
        <f ca="1">IFERROR(__xludf.DUMMYFUNCTION("""COMPUTED_VALUE"""),"Jackson Warner")</f>
        <v>Jackson Warner</v>
      </c>
    </row>
    <row r="427" spans="1:20" ht="13.8">
      <c r="A427" s="118" t="str">
        <f ca="1">IFERROR(__xludf.DUMMYFUNCTION("""COMPUTED_VALUE"""),"DR")</f>
        <v>DR</v>
      </c>
      <c r="B427" s="119" t="str">
        <f ca="1">IFERROR(__xludf.DUMMYFUNCTION("""COMPUTED_VALUE"""),"Lucy Mullinix")</f>
        <v>Lucy Mullinix</v>
      </c>
      <c r="C427" s="118">
        <f ca="1">IFERROR(__xludf.DUMMYFUNCTION("""COMPUTED_VALUE"""),7)</f>
        <v>7</v>
      </c>
      <c r="D427" s="118" t="str">
        <f ca="1">IFERROR(__xludf.DUMMYFUNCTION("""COMPUTED_VALUE"""),"G")</f>
        <v>G</v>
      </c>
      <c r="E427" s="118" t="str">
        <f ca="1">IFERROR(__xludf.DUMMYFUNCTION("""COMPUTED_VALUE"""),"F")</f>
        <v>F</v>
      </c>
      <c r="F427" s="118" t="str">
        <f ca="1">IFERROR(__xludf.DUMMYFUNCTION("""COMPUTED_VALUE"""),"J")</f>
        <v>J</v>
      </c>
      <c r="G427" s="118">
        <f ca="1">IFERROR(__xludf.DUMMYFUNCTION("""COMPUTED_VALUE"""),1)</f>
        <v>1</v>
      </c>
      <c r="H427" s="118" t="str">
        <f ca="1">IFERROR(__xludf.DUMMYFUNCTION("""COMPUTED_VALUE"""),"DR")</f>
        <v>DR</v>
      </c>
      <c r="I427" s="118">
        <f ca="1">IFERROR(__xludf.DUMMYFUNCTION("""COMPUTED_VALUE"""),4)</f>
        <v>4</v>
      </c>
      <c r="J427" s="118">
        <f ca="1">IFERROR(__xludf.DUMMYFUNCTION("""COMPUTED_VALUE"""),0)</f>
        <v>0</v>
      </c>
      <c r="K427" s="120"/>
      <c r="L427" s="121"/>
      <c r="M427" s="120"/>
      <c r="N427" s="121"/>
      <c r="O427" s="120"/>
      <c r="P427" s="122"/>
      <c r="Q427" s="123" t="str">
        <f ca="1">IFERROR(__xludf.DUMMYFUNCTION("""COMPUTED_VALUE"""),"Hana LaCroix")</f>
        <v>Hana LaCroix</v>
      </c>
      <c r="R427" s="123" t="str">
        <f ca="1">IFERROR(__xludf.DUMMYFUNCTION("""COMPUTED_VALUE"""),"Luke Peters")</f>
        <v>Luke Peters</v>
      </c>
      <c r="S427" s="123" t="str">
        <f ca="1">IFERROR(__xludf.DUMMYFUNCTION("""COMPUTED_VALUE"""),"Emma Dewhirst")</f>
        <v>Emma Dewhirst</v>
      </c>
      <c r="T427" s="123" t="str">
        <f ca="1">IFERROR(__xludf.DUMMYFUNCTION("""COMPUTED_VALUE"""),"Jackson Zuroweste")</f>
        <v>Jackson Zuroweste</v>
      </c>
    </row>
    <row r="428" spans="1:20" ht="13.8">
      <c r="A428" s="118" t="str">
        <f ca="1">IFERROR(__xludf.DUMMYFUNCTION("""COMPUTED_VALUE"""),"DR")</f>
        <v>DR</v>
      </c>
      <c r="B428" s="119" t="str">
        <f ca="1">IFERROR(__xludf.DUMMYFUNCTION("""COMPUTED_VALUE"""),"Mabel Mullinix")</f>
        <v>Mabel Mullinix</v>
      </c>
      <c r="C428" s="118">
        <f ca="1">IFERROR(__xludf.DUMMYFUNCTION("""COMPUTED_VALUE"""),7)</f>
        <v>7</v>
      </c>
      <c r="D428" s="118" t="str">
        <f ca="1">IFERROR(__xludf.DUMMYFUNCTION("""COMPUTED_VALUE"""),"G")</f>
        <v>G</v>
      </c>
      <c r="E428" s="118" t="str">
        <f ca="1">IFERROR(__xludf.DUMMYFUNCTION("""COMPUTED_VALUE"""),"F")</f>
        <v>F</v>
      </c>
      <c r="F428" s="118" t="str">
        <f ca="1">IFERROR(__xludf.DUMMYFUNCTION("""COMPUTED_VALUE"""),"J")</f>
        <v>J</v>
      </c>
      <c r="G428" s="118">
        <f ca="1">IFERROR(__xludf.DUMMYFUNCTION("""COMPUTED_VALUE"""),1)</f>
        <v>1</v>
      </c>
      <c r="H428" s="118" t="str">
        <f ca="1">IFERROR(__xludf.DUMMYFUNCTION("""COMPUTED_VALUE"""),"DR")</f>
        <v>DR</v>
      </c>
      <c r="I428" s="118">
        <f ca="1">IFERROR(__xludf.DUMMYFUNCTION("""COMPUTED_VALUE"""),4)</f>
        <v>4</v>
      </c>
      <c r="J428" s="118">
        <f ca="1">IFERROR(__xludf.DUMMYFUNCTION("""COMPUTED_VALUE"""),0)</f>
        <v>0</v>
      </c>
      <c r="K428" s="120"/>
      <c r="L428" s="121"/>
      <c r="M428" s="120"/>
      <c r="N428" s="121"/>
      <c r="O428" s="120"/>
      <c r="P428" s="122"/>
      <c r="Q428" s="123" t="str">
        <f ca="1">IFERROR(__xludf.DUMMYFUNCTION("""COMPUTED_VALUE"""),"Hannah Barry")</f>
        <v>Hannah Barry</v>
      </c>
      <c r="R428" s="123" t="str">
        <f ca="1">IFERROR(__xludf.DUMMYFUNCTION("""COMPUTED_VALUE"""),"Luke Ritter")</f>
        <v>Luke Ritter</v>
      </c>
      <c r="S428" s="123" t="str">
        <f ca="1">IFERROR(__xludf.DUMMYFUNCTION("""COMPUTED_VALUE"""),"Emma Fricke")</f>
        <v>Emma Fricke</v>
      </c>
      <c r="T428" s="123" t="str">
        <f ca="1">IFERROR(__xludf.DUMMYFUNCTION("""COMPUTED_VALUE"""),"Jacob Arenstein")</f>
        <v>Jacob Arenstein</v>
      </c>
    </row>
    <row r="429" spans="1:20" ht="13.8">
      <c r="A429" s="118" t="str">
        <f ca="1">IFERROR(__xludf.DUMMYFUNCTION("""COMPUTED_VALUE"""),"DR")</f>
        <v>DR</v>
      </c>
      <c r="B429" s="119" t="str">
        <f ca="1">IFERROR(__xludf.DUMMYFUNCTION("""COMPUTED_VALUE"""),"Mae Moriarty")</f>
        <v>Mae Moriarty</v>
      </c>
      <c r="C429" s="118">
        <f ca="1">IFERROR(__xludf.DUMMYFUNCTION("""COMPUTED_VALUE"""),6)</f>
        <v>6</v>
      </c>
      <c r="D429" s="118" t="str">
        <f ca="1">IFERROR(__xludf.DUMMYFUNCTION("""COMPUTED_VALUE"""),"G")</f>
        <v>G</v>
      </c>
      <c r="E429" s="118" t="str">
        <f ca="1">IFERROR(__xludf.DUMMYFUNCTION("""COMPUTED_VALUE"""),"F")</f>
        <v>F</v>
      </c>
      <c r="F429" s="118" t="str">
        <f ca="1">IFERROR(__xludf.DUMMYFUNCTION("""COMPUTED_VALUE"""),"J")</f>
        <v>J</v>
      </c>
      <c r="G429" s="118">
        <f ca="1">IFERROR(__xludf.DUMMYFUNCTION("""COMPUTED_VALUE"""),1)</f>
        <v>1</v>
      </c>
      <c r="H429" s="118" t="str">
        <f ca="1">IFERROR(__xludf.DUMMYFUNCTION("""COMPUTED_VALUE"""),"DR")</f>
        <v>DR</v>
      </c>
      <c r="I429" s="118">
        <f ca="1">IFERROR(__xludf.DUMMYFUNCTION("""COMPUTED_VALUE"""),4)</f>
        <v>4</v>
      </c>
      <c r="J429" s="118">
        <f ca="1">IFERROR(__xludf.DUMMYFUNCTION("""COMPUTED_VALUE"""),0)</f>
        <v>0</v>
      </c>
      <c r="K429" s="120"/>
      <c r="L429" s="121"/>
      <c r="M429" s="120"/>
      <c r="N429" s="121"/>
      <c r="O429" s="120"/>
      <c r="P429" s="122"/>
      <c r="Q429" s="123" t="str">
        <f ca="1">IFERROR(__xludf.DUMMYFUNCTION("""COMPUTED_VALUE"""),"Hannah Berthe")</f>
        <v>Hannah Berthe</v>
      </c>
      <c r="R429" s="123" t="str">
        <f ca="1">IFERROR(__xludf.DUMMYFUNCTION("""COMPUTED_VALUE"""),"Luke Smith")</f>
        <v>Luke Smith</v>
      </c>
      <c r="S429" s="123" t="str">
        <f ca="1">IFERROR(__xludf.DUMMYFUNCTION("""COMPUTED_VALUE"""),"Emma Hill")</f>
        <v>Emma Hill</v>
      </c>
      <c r="T429" s="123" t="str">
        <f ca="1">IFERROR(__xludf.DUMMYFUNCTION("""COMPUTED_VALUE"""),"Jacob Bowser")</f>
        <v>Jacob Bowser</v>
      </c>
    </row>
    <row r="430" spans="1:20" ht="13.8">
      <c r="A430" s="118" t="str">
        <f ca="1">IFERROR(__xludf.DUMMYFUNCTION("""COMPUTED_VALUE"""),"DR")</f>
        <v>DR</v>
      </c>
      <c r="B430" s="119" t="str">
        <f ca="1">IFERROR(__xludf.DUMMYFUNCTION("""COMPUTED_VALUE"""),"Noreen Dhaliwal")</f>
        <v>Noreen Dhaliwal</v>
      </c>
      <c r="C430" s="118">
        <f ca="1">IFERROR(__xludf.DUMMYFUNCTION("""COMPUTED_VALUE"""),9)</f>
        <v>9</v>
      </c>
      <c r="D430" s="118" t="str">
        <f ca="1">IFERROR(__xludf.DUMMYFUNCTION("""COMPUTED_VALUE"""),"G")</f>
        <v>G</v>
      </c>
      <c r="E430" s="118" t="str">
        <f ca="1">IFERROR(__xludf.DUMMYFUNCTION("""COMPUTED_VALUE"""),"F")</f>
        <v>F</v>
      </c>
      <c r="F430" s="118" t="str">
        <f ca="1">IFERROR(__xludf.DUMMYFUNCTION("""COMPUTED_VALUE"""),"J")</f>
        <v>J</v>
      </c>
      <c r="G430" s="118">
        <f ca="1">IFERROR(__xludf.DUMMYFUNCTION("""COMPUTED_VALUE"""),1)</f>
        <v>1</v>
      </c>
      <c r="H430" s="118" t="str">
        <f ca="1">IFERROR(__xludf.DUMMYFUNCTION("""COMPUTED_VALUE"""),"DR")</f>
        <v>DR</v>
      </c>
      <c r="I430" s="118">
        <f ca="1">IFERROR(__xludf.DUMMYFUNCTION("""COMPUTED_VALUE"""),4)</f>
        <v>4</v>
      </c>
      <c r="J430" s="118">
        <f ca="1">IFERROR(__xludf.DUMMYFUNCTION("""COMPUTED_VALUE"""),0)</f>
        <v>0</v>
      </c>
      <c r="K430" s="120"/>
      <c r="L430" s="121"/>
      <c r="M430" s="120"/>
      <c r="N430" s="121"/>
      <c r="O430" s="120"/>
      <c r="P430" s="122"/>
      <c r="Q430" s="123" t="str">
        <f ca="1">IFERROR(__xludf.DUMMYFUNCTION("""COMPUTED_VALUE"""),"Hannah Brubeck")</f>
        <v>Hannah Brubeck</v>
      </c>
      <c r="R430" s="123" t="str">
        <f ca="1">IFERROR(__xludf.DUMMYFUNCTION("""COMPUTED_VALUE"""),"Luke Swanson")</f>
        <v>Luke Swanson</v>
      </c>
      <c r="S430" s="123" t="str">
        <f ca="1">IFERROR(__xludf.DUMMYFUNCTION("""COMPUTED_VALUE"""),"Emma Hsai")</f>
        <v>Emma Hsai</v>
      </c>
      <c r="T430" s="123" t="str">
        <f ca="1">IFERROR(__xludf.DUMMYFUNCTION("""COMPUTED_VALUE"""),"Jacob Chodos")</f>
        <v>Jacob Chodos</v>
      </c>
    </row>
    <row r="431" spans="1:20" ht="13.8">
      <c r="A431" s="118" t="str">
        <f ca="1">IFERROR(__xludf.DUMMYFUNCTION("""COMPUTED_VALUE"""),"DR")</f>
        <v>DR</v>
      </c>
      <c r="B431" s="119" t="str">
        <f ca="1">IFERROR(__xludf.DUMMYFUNCTION("""COMPUTED_VALUE"""),"Paige Lobue")</f>
        <v>Paige Lobue</v>
      </c>
      <c r="C431" s="118">
        <f ca="1">IFERROR(__xludf.DUMMYFUNCTION("""COMPUTED_VALUE"""),9)</f>
        <v>9</v>
      </c>
      <c r="D431" s="118" t="str">
        <f ca="1">IFERROR(__xludf.DUMMYFUNCTION("""COMPUTED_VALUE"""),"G")</f>
        <v>G</v>
      </c>
      <c r="E431" s="118" t="str">
        <f ca="1">IFERROR(__xludf.DUMMYFUNCTION("""COMPUTED_VALUE"""),"F")</f>
        <v>F</v>
      </c>
      <c r="F431" s="118" t="str">
        <f ca="1">IFERROR(__xludf.DUMMYFUNCTION("""COMPUTED_VALUE"""),"J")</f>
        <v>J</v>
      </c>
      <c r="G431" s="118">
        <f ca="1">IFERROR(__xludf.DUMMYFUNCTION("""COMPUTED_VALUE"""),1)</f>
        <v>1</v>
      </c>
      <c r="H431" s="118" t="str">
        <f ca="1">IFERROR(__xludf.DUMMYFUNCTION("""COMPUTED_VALUE"""),"DR")</f>
        <v>DR</v>
      </c>
      <c r="I431" s="118">
        <f ca="1">IFERROR(__xludf.DUMMYFUNCTION("""COMPUTED_VALUE"""),4)</f>
        <v>4</v>
      </c>
      <c r="J431" s="118">
        <f ca="1">IFERROR(__xludf.DUMMYFUNCTION("""COMPUTED_VALUE"""),1)</f>
        <v>1</v>
      </c>
      <c r="K431" s="120">
        <f ca="1">IFERROR(__xludf.DUMMYFUNCTION("""COMPUTED_VALUE"""),28.85)</f>
        <v>28.85</v>
      </c>
      <c r="L431" s="121"/>
      <c r="M431" s="120">
        <f ca="1">IFERROR(__xludf.DUMMYFUNCTION("""COMPUTED_VALUE"""),28.85)</f>
        <v>28.85</v>
      </c>
      <c r="N431" s="121"/>
      <c r="O431" s="120"/>
      <c r="P431" s="122"/>
      <c r="Q431" s="123" t="str">
        <f ca="1">IFERROR(__xludf.DUMMYFUNCTION("""COMPUTED_VALUE"""),"Hannah Carr")</f>
        <v>Hannah Carr</v>
      </c>
      <c r="R431" s="123" t="str">
        <f ca="1">IFERROR(__xludf.DUMMYFUNCTION("""COMPUTED_VALUE"""),"Luke Taggert")</f>
        <v>Luke Taggert</v>
      </c>
      <c r="S431" s="123" t="str">
        <f ca="1">IFERROR(__xludf.DUMMYFUNCTION("""COMPUTED_VALUE"""),"Emma Kalfus")</f>
        <v>Emma Kalfus</v>
      </c>
      <c r="T431" s="123" t="str">
        <f ca="1">IFERROR(__xludf.DUMMYFUNCTION("""COMPUTED_VALUE"""),"Jacob Couchman")</f>
        <v>Jacob Couchman</v>
      </c>
    </row>
    <row r="432" spans="1:20" ht="13.8">
      <c r="A432" s="118" t="str">
        <f ca="1">IFERROR(__xludf.DUMMYFUNCTION("""COMPUTED_VALUE"""),"DR")</f>
        <v>DR</v>
      </c>
      <c r="B432" s="119" t="str">
        <f ca="1">IFERROR(__xludf.DUMMYFUNCTION("""COMPUTED_VALUE"""),"Rosalie Fitzgerald")</f>
        <v>Rosalie Fitzgerald</v>
      </c>
      <c r="C432" s="118">
        <f ca="1">IFERROR(__xludf.DUMMYFUNCTION("""COMPUTED_VALUE"""),9)</f>
        <v>9</v>
      </c>
      <c r="D432" s="118" t="str">
        <f ca="1">IFERROR(__xludf.DUMMYFUNCTION("""COMPUTED_VALUE"""),"G")</f>
        <v>G</v>
      </c>
      <c r="E432" s="118" t="str">
        <f ca="1">IFERROR(__xludf.DUMMYFUNCTION("""COMPUTED_VALUE"""),"F")</f>
        <v>F</v>
      </c>
      <c r="F432" s="118" t="str">
        <f ca="1">IFERROR(__xludf.DUMMYFUNCTION("""COMPUTED_VALUE"""),"J")</f>
        <v>J</v>
      </c>
      <c r="G432" s="118">
        <f ca="1">IFERROR(__xludf.DUMMYFUNCTION("""COMPUTED_VALUE"""),1)</f>
        <v>1</v>
      </c>
      <c r="H432" s="118" t="str">
        <f ca="1">IFERROR(__xludf.DUMMYFUNCTION("""COMPUTED_VALUE"""),"DR")</f>
        <v>DR</v>
      </c>
      <c r="I432" s="118">
        <f ca="1">IFERROR(__xludf.DUMMYFUNCTION("""COMPUTED_VALUE"""),4)</f>
        <v>4</v>
      </c>
      <c r="J432" s="118">
        <f ca="1">IFERROR(__xludf.DUMMYFUNCTION("""COMPUTED_VALUE"""),5)</f>
        <v>5</v>
      </c>
      <c r="K432" s="120">
        <f ca="1">IFERROR(__xludf.DUMMYFUNCTION("""COMPUTED_VALUE"""),56)</f>
        <v>56</v>
      </c>
      <c r="L432" s="121"/>
      <c r="M432" s="120">
        <f ca="1">IFERROR(__xludf.DUMMYFUNCTION("""COMPUTED_VALUE"""),54.15)</f>
        <v>54.15</v>
      </c>
      <c r="N432" s="121"/>
      <c r="O432" s="120">
        <f ca="1">IFERROR(__xludf.DUMMYFUNCTION("""COMPUTED_VALUE"""),38.2)</f>
        <v>38.200000000000003</v>
      </c>
      <c r="P432" s="122"/>
      <c r="Q432" s="123" t="str">
        <f ca="1">IFERROR(__xludf.DUMMYFUNCTION("""COMPUTED_VALUE"""),"Hannah DeLong")</f>
        <v>Hannah DeLong</v>
      </c>
      <c r="R432" s="123" t="str">
        <f ca="1">IFERROR(__xludf.DUMMYFUNCTION("""COMPUTED_VALUE"""),"Luke Tang")</f>
        <v>Luke Tang</v>
      </c>
      <c r="S432" s="123" t="str">
        <f ca="1">IFERROR(__xludf.DUMMYFUNCTION("""COMPUTED_VALUE"""),"Emma Khuc")</f>
        <v>Emma Khuc</v>
      </c>
      <c r="T432" s="123" t="str">
        <f ca="1">IFERROR(__xludf.DUMMYFUNCTION("""COMPUTED_VALUE"""),"Jacob Hurt")</f>
        <v>Jacob Hurt</v>
      </c>
    </row>
    <row r="433" spans="1:20" ht="13.8">
      <c r="A433" s="118" t="str">
        <f ca="1">IFERROR(__xludf.DUMMYFUNCTION("""COMPUTED_VALUE"""),"DR")</f>
        <v>DR</v>
      </c>
      <c r="B433" s="119" t="str">
        <f ca="1">IFERROR(__xludf.DUMMYFUNCTION("""COMPUTED_VALUE"""),"Sydney Magnuson")</f>
        <v>Sydney Magnuson</v>
      </c>
      <c r="C433" s="118">
        <f ca="1">IFERROR(__xludf.DUMMYFUNCTION("""COMPUTED_VALUE"""),9)</f>
        <v>9</v>
      </c>
      <c r="D433" s="118" t="str">
        <f ca="1">IFERROR(__xludf.DUMMYFUNCTION("""COMPUTED_VALUE"""),"G")</f>
        <v>G</v>
      </c>
      <c r="E433" s="118" t="str">
        <f ca="1">IFERROR(__xludf.DUMMYFUNCTION("""COMPUTED_VALUE"""),"F")</f>
        <v>F</v>
      </c>
      <c r="F433" s="118" t="str">
        <f ca="1">IFERROR(__xludf.DUMMYFUNCTION("""COMPUTED_VALUE"""),"J")</f>
        <v>J</v>
      </c>
      <c r="G433" s="118">
        <f ca="1">IFERROR(__xludf.DUMMYFUNCTION("""COMPUTED_VALUE"""),1)</f>
        <v>1</v>
      </c>
      <c r="H433" s="118" t="str">
        <f ca="1">IFERROR(__xludf.DUMMYFUNCTION("""COMPUTED_VALUE"""),"DR")</f>
        <v>DR</v>
      </c>
      <c r="I433" s="118">
        <f ca="1">IFERROR(__xludf.DUMMYFUNCTION("""COMPUTED_VALUE"""),4)</f>
        <v>4</v>
      </c>
      <c r="J433" s="118">
        <f ca="1">IFERROR(__xludf.DUMMYFUNCTION("""COMPUTED_VALUE"""),0)</f>
        <v>0</v>
      </c>
      <c r="K433" s="120"/>
      <c r="L433" s="121"/>
      <c r="M433" s="120"/>
      <c r="N433" s="121"/>
      <c r="O433" s="120"/>
      <c r="P433" s="122"/>
      <c r="Q433" s="123" t="str">
        <f ca="1">IFERROR(__xludf.DUMMYFUNCTION("""COMPUTED_VALUE"""),"Hannah Dho")</f>
        <v>Hannah Dho</v>
      </c>
      <c r="R433" s="123" t="str">
        <f ca="1">IFERROR(__xludf.DUMMYFUNCTION("""COMPUTED_VALUE"""),"Mac McGeorge")</f>
        <v>Mac McGeorge</v>
      </c>
      <c r="S433" s="123" t="str">
        <f ca="1">IFERROR(__xludf.DUMMYFUNCTION("""COMPUTED_VALUE"""),"Emma Kowalchick")</f>
        <v>Emma Kowalchick</v>
      </c>
      <c r="T433" s="123" t="str">
        <f ca="1">IFERROR(__xludf.DUMMYFUNCTION("""COMPUTED_VALUE"""),"Jacob Ross")</f>
        <v>Jacob Ross</v>
      </c>
    </row>
    <row r="434" spans="1:20" ht="13.8">
      <c r="A434" s="118" t="str">
        <f ca="1">IFERROR(__xludf.DUMMYFUNCTION("""COMPUTED_VALUE"""),"DR")</f>
        <v>DR</v>
      </c>
      <c r="B434" s="119" t="str">
        <f ca="1">IFERROR(__xludf.DUMMYFUNCTION("""COMPUTED_VALUE"""),"Violet Yam")</f>
        <v>Violet Yam</v>
      </c>
      <c r="C434" s="118">
        <f ca="1">IFERROR(__xludf.DUMMYFUNCTION("""COMPUTED_VALUE"""),8)</f>
        <v>8</v>
      </c>
      <c r="D434" s="118" t="str">
        <f ca="1">IFERROR(__xludf.DUMMYFUNCTION("""COMPUTED_VALUE"""),"G")</f>
        <v>G</v>
      </c>
      <c r="E434" s="118" t="str">
        <f ca="1">IFERROR(__xludf.DUMMYFUNCTION("""COMPUTED_VALUE"""),"F")</f>
        <v>F</v>
      </c>
      <c r="F434" s="118" t="str">
        <f ca="1">IFERROR(__xludf.DUMMYFUNCTION("""COMPUTED_VALUE"""),"J")</f>
        <v>J</v>
      </c>
      <c r="G434" s="118">
        <f ca="1">IFERROR(__xludf.DUMMYFUNCTION("""COMPUTED_VALUE"""),1)</f>
        <v>1</v>
      </c>
      <c r="H434" s="118" t="str">
        <f ca="1">IFERROR(__xludf.DUMMYFUNCTION("""COMPUTED_VALUE"""),"DR")</f>
        <v>DR</v>
      </c>
      <c r="I434" s="118">
        <f ca="1">IFERROR(__xludf.DUMMYFUNCTION("""COMPUTED_VALUE"""),4)</f>
        <v>4</v>
      </c>
      <c r="J434" s="118">
        <f ca="1">IFERROR(__xludf.DUMMYFUNCTION("""COMPUTED_VALUE"""),0)</f>
        <v>0</v>
      </c>
      <c r="K434" s="120"/>
      <c r="L434" s="121"/>
      <c r="M434" s="120"/>
      <c r="N434" s="121"/>
      <c r="O434" s="120"/>
      <c r="P434" s="122"/>
      <c r="Q434" s="123" t="str">
        <f ca="1">IFERROR(__xludf.DUMMYFUNCTION("""COMPUTED_VALUE"""),"Hannah Gibson")</f>
        <v>Hannah Gibson</v>
      </c>
      <c r="R434" s="123" t="str">
        <f ca="1">IFERROR(__xludf.DUMMYFUNCTION("""COMPUTED_VALUE"""),"Mack Klink")</f>
        <v>Mack Klink</v>
      </c>
      <c r="S434" s="123" t="str">
        <f ca="1">IFERROR(__xludf.DUMMYFUNCTION("""COMPUTED_VALUE"""),"Emma Magness")</f>
        <v>Emma Magness</v>
      </c>
      <c r="T434" s="123" t="str">
        <f ca="1">IFERROR(__xludf.DUMMYFUNCTION("""COMPUTED_VALUE"""),"Jacob Stanley")</f>
        <v>Jacob Stanley</v>
      </c>
    </row>
    <row r="435" spans="1:20" ht="13.8">
      <c r="A435" s="118" t="str">
        <f ca="1">IFERROR(__xludf.DUMMYFUNCTION("""COMPUTED_VALUE"""),"DR")</f>
        <v>DR</v>
      </c>
      <c r="B435" s="119" t="str">
        <f ca="1">IFERROR(__xludf.DUMMYFUNCTION("""COMPUTED_VALUE"""),"Wrenna Humphries-Do")</f>
        <v>Wrenna Humphries-Do</v>
      </c>
      <c r="C435" s="118">
        <f ca="1">IFERROR(__xludf.DUMMYFUNCTION("""COMPUTED_VALUE"""),7)</f>
        <v>7</v>
      </c>
      <c r="D435" s="118" t="str">
        <f ca="1">IFERROR(__xludf.DUMMYFUNCTION("""COMPUTED_VALUE"""),"G")</f>
        <v>G</v>
      </c>
      <c r="E435" s="118" t="str">
        <f ca="1">IFERROR(__xludf.DUMMYFUNCTION("""COMPUTED_VALUE"""),"F")</f>
        <v>F</v>
      </c>
      <c r="F435" s="118" t="str">
        <f ca="1">IFERROR(__xludf.DUMMYFUNCTION("""COMPUTED_VALUE"""),"J")</f>
        <v>J</v>
      </c>
      <c r="G435" s="118">
        <f ca="1">IFERROR(__xludf.DUMMYFUNCTION("""COMPUTED_VALUE"""),1)</f>
        <v>1</v>
      </c>
      <c r="H435" s="118" t="str">
        <f ca="1">IFERROR(__xludf.DUMMYFUNCTION("""COMPUTED_VALUE"""),"DR")</f>
        <v>DR</v>
      </c>
      <c r="I435" s="118">
        <f ca="1">IFERROR(__xludf.DUMMYFUNCTION("""COMPUTED_VALUE"""),4)</f>
        <v>4</v>
      </c>
      <c r="J435" s="118">
        <f ca="1">IFERROR(__xludf.DUMMYFUNCTION("""COMPUTED_VALUE"""),0)</f>
        <v>0</v>
      </c>
      <c r="K435" s="120"/>
      <c r="L435" s="121"/>
      <c r="M435" s="120"/>
      <c r="N435" s="121"/>
      <c r="O435" s="120"/>
      <c r="P435" s="122"/>
      <c r="Q435" s="123" t="str">
        <f ca="1">IFERROR(__xludf.DUMMYFUNCTION("""COMPUTED_VALUE"""),"Hannah Murawski")</f>
        <v>Hannah Murawski</v>
      </c>
      <c r="R435" s="123" t="str">
        <f ca="1">IFERROR(__xludf.DUMMYFUNCTION("""COMPUTED_VALUE"""),"Marco Fazio")</f>
        <v>Marco Fazio</v>
      </c>
      <c r="S435" s="123" t="str">
        <f ca="1">IFERROR(__xludf.DUMMYFUNCTION("""COMPUTED_VALUE"""),"Emma Perkins")</f>
        <v>Emma Perkins</v>
      </c>
      <c r="T435" s="123" t="str">
        <f ca="1">IFERROR(__xludf.DUMMYFUNCTION("""COMPUTED_VALUE"""),"Jacob Taddiken")</f>
        <v>Jacob Taddiken</v>
      </c>
    </row>
    <row r="436" spans="1:20" ht="13.8">
      <c r="A436" s="118" t="str">
        <f ca="1">IFERROR(__xludf.DUMMYFUNCTION("""COMPUTED_VALUE"""),"DR")</f>
        <v>DR</v>
      </c>
      <c r="B436" s="119" t="str">
        <f ca="1">IFERROR(__xludf.DUMMYFUNCTION("""COMPUTED_VALUE"""),"Arlo Kapadia")</f>
        <v>Arlo Kapadia</v>
      </c>
      <c r="C436" s="118">
        <f ca="1">IFERROR(__xludf.DUMMYFUNCTION("""COMPUTED_VALUE"""),9)</f>
        <v>9</v>
      </c>
      <c r="D436" s="118" t="str">
        <f ca="1">IFERROR(__xludf.DUMMYFUNCTION("""COMPUTED_VALUE"""),"B")</f>
        <v>B</v>
      </c>
      <c r="E436" s="118" t="str">
        <f ca="1">IFERROR(__xludf.DUMMYFUNCTION("""COMPUTED_VALUE"""),"F")</f>
        <v>F</v>
      </c>
      <c r="F436" s="118" t="str">
        <f ca="1">IFERROR(__xludf.DUMMYFUNCTION("""COMPUTED_VALUE"""),"J")</f>
        <v>J</v>
      </c>
      <c r="G436" s="118">
        <f ca="1">IFERROR(__xludf.DUMMYFUNCTION("""COMPUTED_VALUE"""),1)</f>
        <v>1</v>
      </c>
      <c r="H436" s="118" t="str">
        <f ca="1">IFERROR(__xludf.DUMMYFUNCTION("""COMPUTED_VALUE"""),"DR")</f>
        <v>DR</v>
      </c>
      <c r="I436" s="118">
        <f ca="1">IFERROR(__xludf.DUMMYFUNCTION("""COMPUTED_VALUE"""),5)</f>
        <v>5</v>
      </c>
      <c r="J436" s="118">
        <f ca="1">IFERROR(__xludf.DUMMYFUNCTION("""COMPUTED_VALUE"""),0)</f>
        <v>0</v>
      </c>
      <c r="K436" s="120"/>
      <c r="L436" s="121"/>
      <c r="M436" s="120"/>
      <c r="N436" s="121"/>
      <c r="O436" s="120"/>
      <c r="P436" s="122"/>
      <c r="Q436" s="123" t="str">
        <f ca="1">IFERROR(__xludf.DUMMYFUNCTION("""COMPUTED_VALUE"""),"Hannah Robbins")</f>
        <v>Hannah Robbins</v>
      </c>
      <c r="R436" s="123" t="str">
        <f ca="1">IFERROR(__xludf.DUMMYFUNCTION("""COMPUTED_VALUE"""),"Marcus Bryan")</f>
        <v>Marcus Bryan</v>
      </c>
      <c r="S436" s="123" t="str">
        <f ca="1">IFERROR(__xludf.DUMMYFUNCTION("""COMPUTED_VALUE"""),"Emma Phillips")</f>
        <v>Emma Phillips</v>
      </c>
      <c r="T436" s="123" t="str">
        <f ca="1">IFERROR(__xludf.DUMMYFUNCTION("""COMPUTED_VALUE"""),"Jaden Buecher")</f>
        <v>Jaden Buecher</v>
      </c>
    </row>
    <row r="437" spans="1:20" ht="13.8">
      <c r="A437" s="118" t="str">
        <f ca="1">IFERROR(__xludf.DUMMYFUNCTION("""COMPUTED_VALUE"""),"DR")</f>
        <v>DR</v>
      </c>
      <c r="B437" s="119" t="str">
        <f ca="1">IFERROR(__xludf.DUMMYFUNCTION("""COMPUTED_VALUE"""),"Ben Thoman")</f>
        <v>Ben Thoman</v>
      </c>
      <c r="C437" s="118">
        <f ca="1">IFERROR(__xludf.DUMMYFUNCTION("""COMPUTED_VALUE"""),8)</f>
        <v>8</v>
      </c>
      <c r="D437" s="118" t="str">
        <f ca="1">IFERROR(__xludf.DUMMYFUNCTION("""COMPUTED_VALUE"""),"B")</f>
        <v>B</v>
      </c>
      <c r="E437" s="118" t="str">
        <f ca="1">IFERROR(__xludf.DUMMYFUNCTION("""COMPUTED_VALUE"""),"F")</f>
        <v>F</v>
      </c>
      <c r="F437" s="118" t="str">
        <f ca="1">IFERROR(__xludf.DUMMYFUNCTION("""COMPUTED_VALUE"""),"J")</f>
        <v>J</v>
      </c>
      <c r="G437" s="118">
        <f ca="1">IFERROR(__xludf.DUMMYFUNCTION("""COMPUTED_VALUE"""),1)</f>
        <v>1</v>
      </c>
      <c r="H437" s="118" t="str">
        <f ca="1">IFERROR(__xludf.DUMMYFUNCTION("""COMPUTED_VALUE"""),"DR")</f>
        <v>DR</v>
      </c>
      <c r="I437" s="118">
        <f ca="1">IFERROR(__xludf.DUMMYFUNCTION("""COMPUTED_VALUE"""),5)</f>
        <v>5</v>
      </c>
      <c r="J437" s="118">
        <f ca="1">IFERROR(__xludf.DUMMYFUNCTION("""COMPUTED_VALUE"""),0)</f>
        <v>0</v>
      </c>
      <c r="K437" s="120"/>
      <c r="L437" s="121"/>
      <c r="M437" s="120"/>
      <c r="N437" s="121"/>
      <c r="O437" s="120"/>
      <c r="P437" s="122"/>
      <c r="Q437" s="123" t="str">
        <f ca="1">IFERROR(__xludf.DUMMYFUNCTION("""COMPUTED_VALUE"""),"Hannah Snyder")</f>
        <v>Hannah Snyder</v>
      </c>
      <c r="R437" s="123" t="str">
        <f ca="1">IFERROR(__xludf.DUMMYFUNCTION("""COMPUTED_VALUE"""),"Marcus Dempsey")</f>
        <v>Marcus Dempsey</v>
      </c>
      <c r="S437" s="123" t="str">
        <f ca="1">IFERROR(__xludf.DUMMYFUNCTION("""COMPUTED_VALUE"""),"Emma Radich")</f>
        <v>Emma Radich</v>
      </c>
      <c r="T437" s="123" t="str">
        <f ca="1">IFERROR(__xludf.DUMMYFUNCTION("""COMPUTED_VALUE"""),"Jake Conques")</f>
        <v>Jake Conques</v>
      </c>
    </row>
    <row r="438" spans="1:20" ht="13.8">
      <c r="A438" s="118" t="str">
        <f ca="1">IFERROR(__xludf.DUMMYFUNCTION("""COMPUTED_VALUE"""),"DR")</f>
        <v>DR</v>
      </c>
      <c r="B438" s="119" t="str">
        <f ca="1">IFERROR(__xludf.DUMMYFUNCTION("""COMPUTED_VALUE"""),"Bodhi Bailey")</f>
        <v>Bodhi Bailey</v>
      </c>
      <c r="C438" s="118">
        <f ca="1">IFERROR(__xludf.DUMMYFUNCTION("""COMPUTED_VALUE"""),10)</f>
        <v>10</v>
      </c>
      <c r="D438" s="118" t="str">
        <f ca="1">IFERROR(__xludf.DUMMYFUNCTION("""COMPUTED_VALUE"""),"B")</f>
        <v>B</v>
      </c>
      <c r="E438" s="118" t="str">
        <f ca="1">IFERROR(__xludf.DUMMYFUNCTION("""COMPUTED_VALUE"""),"F")</f>
        <v>F</v>
      </c>
      <c r="F438" s="118" t="str">
        <f ca="1">IFERROR(__xludf.DUMMYFUNCTION("""COMPUTED_VALUE"""),"J")</f>
        <v>J</v>
      </c>
      <c r="G438" s="118">
        <f ca="1">IFERROR(__xludf.DUMMYFUNCTION("""COMPUTED_VALUE"""),1)</f>
        <v>1</v>
      </c>
      <c r="H438" s="118" t="str">
        <f ca="1">IFERROR(__xludf.DUMMYFUNCTION("""COMPUTED_VALUE"""),"DR")</f>
        <v>DR</v>
      </c>
      <c r="I438" s="118">
        <f ca="1">IFERROR(__xludf.DUMMYFUNCTION("""COMPUTED_VALUE"""),5)</f>
        <v>5</v>
      </c>
      <c r="J438" s="118">
        <f ca="1">IFERROR(__xludf.DUMMYFUNCTION("""COMPUTED_VALUE"""),0)</f>
        <v>0</v>
      </c>
      <c r="K438" s="120"/>
      <c r="L438" s="121"/>
      <c r="M438" s="120"/>
      <c r="N438" s="121"/>
      <c r="O438" s="120"/>
      <c r="P438" s="122"/>
      <c r="Q438" s="123" t="str">
        <f ca="1">IFERROR(__xludf.DUMMYFUNCTION("""COMPUTED_VALUE"""),"Hannah Trimble")</f>
        <v>Hannah Trimble</v>
      </c>
      <c r="R438" s="123" t="str">
        <f ca="1">IFERROR(__xludf.DUMMYFUNCTION("""COMPUTED_VALUE"""),"Mario Guillen")</f>
        <v>Mario Guillen</v>
      </c>
      <c r="S438" s="123" t="str">
        <f ca="1">IFERROR(__xludf.DUMMYFUNCTION("""COMPUTED_VALUE"""),"Emma Redman")</f>
        <v>Emma Redman</v>
      </c>
      <c r="T438" s="123" t="str">
        <f ca="1">IFERROR(__xludf.DUMMYFUNCTION("""COMPUTED_VALUE"""),"Jake Spears")</f>
        <v>Jake Spears</v>
      </c>
    </row>
    <row r="439" spans="1:20" ht="13.8">
      <c r="A439" s="118" t="str">
        <f ca="1">IFERROR(__xludf.DUMMYFUNCTION("""COMPUTED_VALUE"""),"DR")</f>
        <v>DR</v>
      </c>
      <c r="B439" s="119" t="str">
        <f ca="1">IFERROR(__xludf.DUMMYFUNCTION("""COMPUTED_VALUE"""),"Bruce Sunderland")</f>
        <v>Bruce Sunderland</v>
      </c>
      <c r="C439" s="118">
        <f ca="1">IFERROR(__xludf.DUMMYFUNCTION("""COMPUTED_VALUE"""),7)</f>
        <v>7</v>
      </c>
      <c r="D439" s="118" t="str">
        <f ca="1">IFERROR(__xludf.DUMMYFUNCTION("""COMPUTED_VALUE"""),"B")</f>
        <v>B</v>
      </c>
      <c r="E439" s="118" t="str">
        <f ca="1">IFERROR(__xludf.DUMMYFUNCTION("""COMPUTED_VALUE"""),"F")</f>
        <v>F</v>
      </c>
      <c r="F439" s="118" t="str">
        <f ca="1">IFERROR(__xludf.DUMMYFUNCTION("""COMPUTED_VALUE"""),"J")</f>
        <v>J</v>
      </c>
      <c r="G439" s="118">
        <f ca="1">IFERROR(__xludf.DUMMYFUNCTION("""COMPUTED_VALUE"""),1)</f>
        <v>1</v>
      </c>
      <c r="H439" s="118" t="str">
        <f ca="1">IFERROR(__xludf.DUMMYFUNCTION("""COMPUTED_VALUE"""),"DR")</f>
        <v>DR</v>
      </c>
      <c r="I439" s="118">
        <f ca="1">IFERROR(__xludf.DUMMYFUNCTION("""COMPUTED_VALUE"""),5)</f>
        <v>5</v>
      </c>
      <c r="J439" s="118">
        <f ca="1">IFERROR(__xludf.DUMMYFUNCTION("""COMPUTED_VALUE"""),0)</f>
        <v>0</v>
      </c>
      <c r="K439" s="120"/>
      <c r="L439" s="121"/>
      <c r="M439" s="120"/>
      <c r="N439" s="121"/>
      <c r="O439" s="120"/>
      <c r="P439" s="122"/>
      <c r="Q439" s="123" t="str">
        <f ca="1">IFERROR(__xludf.DUMMYFUNCTION("""COMPUTED_VALUE"""),"Hannah Waters")</f>
        <v>Hannah Waters</v>
      </c>
      <c r="R439" s="123" t="str">
        <f ca="1">IFERROR(__xludf.DUMMYFUNCTION("""COMPUTED_VALUE"""),"Mario Ma")</f>
        <v>Mario Ma</v>
      </c>
      <c r="S439" s="123" t="str">
        <f ca="1">IFERROR(__xludf.DUMMYFUNCTION("""COMPUTED_VALUE"""),"Emma Richard")</f>
        <v>Emma Richard</v>
      </c>
      <c r="T439" s="123" t="str">
        <f ca="1">IFERROR(__xludf.DUMMYFUNCTION("""COMPUTED_VALUE"""),"Jake Themely")</f>
        <v>Jake Themely</v>
      </c>
    </row>
    <row r="440" spans="1:20" ht="13.8">
      <c r="A440" s="118" t="str">
        <f ca="1">IFERROR(__xludf.DUMMYFUNCTION("""COMPUTED_VALUE"""),"DR")</f>
        <v>DR</v>
      </c>
      <c r="B440" s="119" t="str">
        <f ca="1">IFERROR(__xludf.DUMMYFUNCTION("""COMPUTED_VALUE"""),"Christian Jacobs")</f>
        <v>Christian Jacobs</v>
      </c>
      <c r="C440" s="118">
        <f ca="1">IFERROR(__xludf.DUMMYFUNCTION("""COMPUTED_VALUE"""),7)</f>
        <v>7</v>
      </c>
      <c r="D440" s="118" t="str">
        <f ca="1">IFERROR(__xludf.DUMMYFUNCTION("""COMPUTED_VALUE"""),"B")</f>
        <v>B</v>
      </c>
      <c r="E440" s="118" t="str">
        <f ca="1">IFERROR(__xludf.DUMMYFUNCTION("""COMPUTED_VALUE"""),"F")</f>
        <v>F</v>
      </c>
      <c r="F440" s="118" t="str">
        <f ca="1">IFERROR(__xludf.DUMMYFUNCTION("""COMPUTED_VALUE"""),"J")</f>
        <v>J</v>
      </c>
      <c r="G440" s="118">
        <f ca="1">IFERROR(__xludf.DUMMYFUNCTION("""COMPUTED_VALUE"""),1)</f>
        <v>1</v>
      </c>
      <c r="H440" s="118" t="str">
        <f ca="1">IFERROR(__xludf.DUMMYFUNCTION("""COMPUTED_VALUE"""),"DR")</f>
        <v>DR</v>
      </c>
      <c r="I440" s="118">
        <f ca="1">IFERROR(__xludf.DUMMYFUNCTION("""COMPUTED_VALUE"""),5)</f>
        <v>5</v>
      </c>
      <c r="J440" s="118">
        <f ca="1">IFERROR(__xludf.DUMMYFUNCTION("""COMPUTED_VALUE"""),0)</f>
        <v>0</v>
      </c>
      <c r="K440" s="120"/>
      <c r="L440" s="121"/>
      <c r="M440" s="120"/>
      <c r="N440" s="121"/>
      <c r="O440" s="120"/>
      <c r="P440" s="122"/>
      <c r="Q440" s="123" t="str">
        <f ca="1">IFERROR(__xludf.DUMMYFUNCTION("""COMPUTED_VALUE"""),"Hannah Williams")</f>
        <v>Hannah Williams</v>
      </c>
      <c r="R440" s="123" t="str">
        <f ca="1">IFERROR(__xludf.DUMMYFUNCTION("""COMPUTED_VALUE"""),"Markus Krumins")</f>
        <v>Markus Krumins</v>
      </c>
      <c r="S440" s="123" t="str">
        <f ca="1">IFERROR(__xludf.DUMMYFUNCTION("""COMPUTED_VALUE"""),"Emma Stadelmann")</f>
        <v>Emma Stadelmann</v>
      </c>
      <c r="T440" s="123" t="str">
        <f ca="1">IFERROR(__xludf.DUMMYFUNCTION("""COMPUTED_VALUE"""),"James Chen")</f>
        <v>James Chen</v>
      </c>
    </row>
    <row r="441" spans="1:20" ht="13.8">
      <c r="A441" s="118" t="str">
        <f ca="1">IFERROR(__xludf.DUMMYFUNCTION("""COMPUTED_VALUE"""),"DR")</f>
        <v>DR</v>
      </c>
      <c r="B441" s="119" t="str">
        <f ca="1">IFERROR(__xludf.DUMMYFUNCTION("""COMPUTED_VALUE"""),"Conor Stodel")</f>
        <v>Conor Stodel</v>
      </c>
      <c r="C441" s="118">
        <f ca="1">IFERROR(__xludf.DUMMYFUNCTION("""COMPUTED_VALUE"""),8)</f>
        <v>8</v>
      </c>
      <c r="D441" s="118" t="str">
        <f ca="1">IFERROR(__xludf.DUMMYFUNCTION("""COMPUTED_VALUE"""),"B")</f>
        <v>B</v>
      </c>
      <c r="E441" s="118" t="str">
        <f ca="1">IFERROR(__xludf.DUMMYFUNCTION("""COMPUTED_VALUE"""),"F")</f>
        <v>F</v>
      </c>
      <c r="F441" s="118" t="str">
        <f ca="1">IFERROR(__xludf.DUMMYFUNCTION("""COMPUTED_VALUE"""),"J")</f>
        <v>J</v>
      </c>
      <c r="G441" s="118">
        <f ca="1">IFERROR(__xludf.DUMMYFUNCTION("""COMPUTED_VALUE"""),1)</f>
        <v>1</v>
      </c>
      <c r="H441" s="118" t="str">
        <f ca="1">IFERROR(__xludf.DUMMYFUNCTION("""COMPUTED_VALUE"""),"DR")</f>
        <v>DR</v>
      </c>
      <c r="I441" s="118">
        <f ca="1">IFERROR(__xludf.DUMMYFUNCTION("""COMPUTED_VALUE"""),5)</f>
        <v>5</v>
      </c>
      <c r="J441" s="118">
        <f ca="1">IFERROR(__xludf.DUMMYFUNCTION("""COMPUTED_VALUE"""),0)</f>
        <v>0</v>
      </c>
      <c r="K441" s="120"/>
      <c r="L441" s="121"/>
      <c r="M441" s="120"/>
      <c r="N441" s="121"/>
      <c r="O441" s="120"/>
      <c r="P441" s="122"/>
      <c r="Q441" s="123" t="str">
        <f ca="1">IFERROR(__xludf.DUMMYFUNCTION("""COMPUTED_VALUE"""),"Harleigh Spencer")</f>
        <v>Harleigh Spencer</v>
      </c>
      <c r="R441" s="123" t="str">
        <f ca="1">IFERROR(__xludf.DUMMYFUNCTION("""COMPUTED_VALUE"""),"Martin Streckfus-Green")</f>
        <v>Martin Streckfus-Green</v>
      </c>
      <c r="S441" s="123" t="str">
        <f ca="1">IFERROR(__xludf.DUMMYFUNCTION("""COMPUTED_VALUE"""),"Emma Strano")</f>
        <v>Emma Strano</v>
      </c>
      <c r="T441" s="123" t="str">
        <f ca="1">IFERROR(__xludf.DUMMYFUNCTION("""COMPUTED_VALUE"""),"James Lake")</f>
        <v>James Lake</v>
      </c>
    </row>
    <row r="442" spans="1:20" ht="13.8">
      <c r="A442" s="118" t="str">
        <f ca="1">IFERROR(__xludf.DUMMYFUNCTION("""COMPUTED_VALUE"""),"DR")</f>
        <v>DR</v>
      </c>
      <c r="B442" s="119" t="str">
        <f ca="1">IFERROR(__xludf.DUMMYFUNCTION("""COMPUTED_VALUE"""),"Desi Gellie")</f>
        <v>Desi Gellie</v>
      </c>
      <c r="C442" s="118">
        <f ca="1">IFERROR(__xludf.DUMMYFUNCTION("""COMPUTED_VALUE"""),10)</f>
        <v>10</v>
      </c>
      <c r="D442" s="118" t="str">
        <f ca="1">IFERROR(__xludf.DUMMYFUNCTION("""COMPUTED_VALUE"""),"B")</f>
        <v>B</v>
      </c>
      <c r="E442" s="118" t="str">
        <f ca="1">IFERROR(__xludf.DUMMYFUNCTION("""COMPUTED_VALUE"""),"F")</f>
        <v>F</v>
      </c>
      <c r="F442" s="118" t="str">
        <f ca="1">IFERROR(__xludf.DUMMYFUNCTION("""COMPUTED_VALUE"""),"J")</f>
        <v>J</v>
      </c>
      <c r="G442" s="118">
        <f ca="1">IFERROR(__xludf.DUMMYFUNCTION("""COMPUTED_VALUE"""),1)</f>
        <v>1</v>
      </c>
      <c r="H442" s="118" t="str">
        <f ca="1">IFERROR(__xludf.DUMMYFUNCTION("""COMPUTED_VALUE"""),"DR")</f>
        <v>DR</v>
      </c>
      <c r="I442" s="118">
        <f ca="1">IFERROR(__xludf.DUMMYFUNCTION("""COMPUTED_VALUE"""),5)</f>
        <v>5</v>
      </c>
      <c r="J442" s="118">
        <f ca="1">IFERROR(__xludf.DUMMYFUNCTION("""COMPUTED_VALUE"""),0)</f>
        <v>0</v>
      </c>
      <c r="K442" s="120"/>
      <c r="L442" s="121"/>
      <c r="M442" s="120"/>
      <c r="N442" s="121"/>
      <c r="O442" s="120"/>
      <c r="P442" s="122"/>
      <c r="Q442" s="123" t="str">
        <f ca="1">IFERROR(__xludf.DUMMYFUNCTION("""COMPUTED_VALUE"""),"Harper Bassler")</f>
        <v>Harper Bassler</v>
      </c>
      <c r="R442" s="123" t="str">
        <f ca="1">IFERROR(__xludf.DUMMYFUNCTION("""COMPUTED_VALUE"""),"Mason Chang")</f>
        <v>Mason Chang</v>
      </c>
      <c r="S442" s="123" t="str">
        <f ca="1">IFERROR(__xludf.DUMMYFUNCTION("""COMPUTED_VALUE"""),"Emma Tkacz")</f>
        <v>Emma Tkacz</v>
      </c>
      <c r="T442" s="123" t="str">
        <f ca="1">IFERROR(__xludf.DUMMYFUNCTION("""COMPUTED_VALUE"""),"James Shrader")</f>
        <v>James Shrader</v>
      </c>
    </row>
    <row r="443" spans="1:20" ht="13.8">
      <c r="A443" s="118" t="str">
        <f ca="1">IFERROR(__xludf.DUMMYFUNCTION("""COMPUTED_VALUE"""),"DR")</f>
        <v>DR</v>
      </c>
      <c r="B443" s="119" t="str">
        <f ca="1">IFERROR(__xludf.DUMMYFUNCTION("""COMPUTED_VALUE"""),"Dex Weaver")</f>
        <v>Dex Weaver</v>
      </c>
      <c r="C443" s="118">
        <f ca="1">IFERROR(__xludf.DUMMYFUNCTION("""COMPUTED_VALUE"""),9)</f>
        <v>9</v>
      </c>
      <c r="D443" s="118" t="str">
        <f ca="1">IFERROR(__xludf.DUMMYFUNCTION("""COMPUTED_VALUE"""),"B")</f>
        <v>B</v>
      </c>
      <c r="E443" s="118" t="str">
        <f ca="1">IFERROR(__xludf.DUMMYFUNCTION("""COMPUTED_VALUE"""),"F")</f>
        <v>F</v>
      </c>
      <c r="F443" s="118" t="str">
        <f ca="1">IFERROR(__xludf.DUMMYFUNCTION("""COMPUTED_VALUE"""),"J")</f>
        <v>J</v>
      </c>
      <c r="G443" s="118">
        <f ca="1">IFERROR(__xludf.DUMMYFUNCTION("""COMPUTED_VALUE"""),1)</f>
        <v>1</v>
      </c>
      <c r="H443" s="118" t="str">
        <f ca="1">IFERROR(__xludf.DUMMYFUNCTION("""COMPUTED_VALUE"""),"DR")</f>
        <v>DR</v>
      </c>
      <c r="I443" s="118">
        <f ca="1">IFERROR(__xludf.DUMMYFUNCTION("""COMPUTED_VALUE"""),5)</f>
        <v>5</v>
      </c>
      <c r="J443" s="118">
        <f ca="1">IFERROR(__xludf.DUMMYFUNCTION("""COMPUTED_VALUE"""),0)</f>
        <v>0</v>
      </c>
      <c r="K443" s="120"/>
      <c r="L443" s="121"/>
      <c r="M443" s="120"/>
      <c r="N443" s="121"/>
      <c r="O443" s="120"/>
      <c r="P443" s="122"/>
      <c r="Q443" s="123" t="str">
        <f ca="1">IFERROR(__xludf.DUMMYFUNCTION("""COMPUTED_VALUE"""),"Harper Easley")</f>
        <v>Harper Easley</v>
      </c>
      <c r="R443" s="123" t="str">
        <f ca="1">IFERROR(__xludf.DUMMYFUNCTION("""COMPUTED_VALUE"""),"Mason Georgas")</f>
        <v>Mason Georgas</v>
      </c>
      <c r="S443" s="123" t="str">
        <f ca="1">IFERROR(__xludf.DUMMYFUNCTION("""COMPUTED_VALUE"""),"Emma Whaley")</f>
        <v>Emma Whaley</v>
      </c>
      <c r="T443" s="123" t="str">
        <f ca="1">IFERROR(__xludf.DUMMYFUNCTION("""COMPUTED_VALUE"""),"James Wittman")</f>
        <v>James Wittman</v>
      </c>
    </row>
    <row r="444" spans="1:20" ht="13.8">
      <c r="A444" s="118" t="str">
        <f ca="1">IFERROR(__xludf.DUMMYFUNCTION("""COMPUTED_VALUE"""),"DR")</f>
        <v>DR</v>
      </c>
      <c r="B444" s="119" t="str">
        <f ca="1">IFERROR(__xludf.DUMMYFUNCTION("""COMPUTED_VALUE"""),"Edgar Benson")</f>
        <v>Edgar Benson</v>
      </c>
      <c r="C444" s="118">
        <f ca="1">IFERROR(__xludf.DUMMYFUNCTION("""COMPUTED_VALUE"""),6)</f>
        <v>6</v>
      </c>
      <c r="D444" s="118" t="str">
        <f ca="1">IFERROR(__xludf.DUMMYFUNCTION("""COMPUTED_VALUE"""),"B")</f>
        <v>B</v>
      </c>
      <c r="E444" s="118" t="str">
        <f ca="1">IFERROR(__xludf.DUMMYFUNCTION("""COMPUTED_VALUE"""),"F")</f>
        <v>F</v>
      </c>
      <c r="F444" s="118" t="str">
        <f ca="1">IFERROR(__xludf.DUMMYFUNCTION("""COMPUTED_VALUE"""),"J")</f>
        <v>J</v>
      </c>
      <c r="G444" s="118">
        <f ca="1">IFERROR(__xludf.DUMMYFUNCTION("""COMPUTED_VALUE"""),1)</f>
        <v>1</v>
      </c>
      <c r="H444" s="118" t="str">
        <f ca="1">IFERROR(__xludf.DUMMYFUNCTION("""COMPUTED_VALUE"""),"DR")</f>
        <v>DR</v>
      </c>
      <c r="I444" s="118">
        <f ca="1">IFERROR(__xludf.DUMMYFUNCTION("""COMPUTED_VALUE"""),5)</f>
        <v>5</v>
      </c>
      <c r="J444" s="118">
        <f ca="1">IFERROR(__xludf.DUMMYFUNCTION("""COMPUTED_VALUE"""),0)</f>
        <v>0</v>
      </c>
      <c r="K444" s="120"/>
      <c r="L444" s="121"/>
      <c r="M444" s="120"/>
      <c r="N444" s="121"/>
      <c r="O444" s="120"/>
      <c r="P444" s="122"/>
      <c r="Q444" s="123" t="str">
        <f ca="1">IFERROR(__xludf.DUMMYFUNCTION("""COMPUTED_VALUE"""),"Harper Fried")</f>
        <v>Harper Fried</v>
      </c>
      <c r="R444" s="123" t="str">
        <f ca="1">IFERROR(__xludf.DUMMYFUNCTION("""COMPUTED_VALUE"""),"Mason Iams")</f>
        <v>Mason Iams</v>
      </c>
      <c r="S444" s="123" t="str">
        <f ca="1">IFERROR(__xludf.DUMMYFUNCTION("""COMPUTED_VALUE"""),"Emma Wiedemann")</f>
        <v>Emma Wiedemann</v>
      </c>
      <c r="T444" s="123" t="str">
        <f ca="1">IFERROR(__xludf.DUMMYFUNCTION("""COMPUTED_VALUE"""),"Jameson Ham")</f>
        <v>Jameson Ham</v>
      </c>
    </row>
    <row r="445" spans="1:20" ht="13.8">
      <c r="A445" s="118" t="str">
        <f ca="1">IFERROR(__xludf.DUMMYFUNCTION("""COMPUTED_VALUE"""),"DR")</f>
        <v>DR</v>
      </c>
      <c r="B445" s="119" t="str">
        <f ca="1">IFERROR(__xludf.DUMMYFUNCTION("""COMPUTED_VALUE"""),"George Root")</f>
        <v>George Root</v>
      </c>
      <c r="C445" s="118">
        <f ca="1">IFERROR(__xludf.DUMMYFUNCTION("""COMPUTED_VALUE"""),7)</f>
        <v>7</v>
      </c>
      <c r="D445" s="118" t="str">
        <f ca="1">IFERROR(__xludf.DUMMYFUNCTION("""COMPUTED_VALUE"""),"B")</f>
        <v>B</v>
      </c>
      <c r="E445" s="118" t="str">
        <f ca="1">IFERROR(__xludf.DUMMYFUNCTION("""COMPUTED_VALUE"""),"F")</f>
        <v>F</v>
      </c>
      <c r="F445" s="118" t="str">
        <f ca="1">IFERROR(__xludf.DUMMYFUNCTION("""COMPUTED_VALUE"""),"J")</f>
        <v>J</v>
      </c>
      <c r="G445" s="118">
        <f ca="1">IFERROR(__xludf.DUMMYFUNCTION("""COMPUTED_VALUE"""),1)</f>
        <v>1</v>
      </c>
      <c r="H445" s="118" t="str">
        <f ca="1">IFERROR(__xludf.DUMMYFUNCTION("""COMPUTED_VALUE"""),"DR")</f>
        <v>DR</v>
      </c>
      <c r="I445" s="118">
        <f ca="1">IFERROR(__xludf.DUMMYFUNCTION("""COMPUTED_VALUE"""),5)</f>
        <v>5</v>
      </c>
      <c r="J445" s="118">
        <f ca="1">IFERROR(__xludf.DUMMYFUNCTION("""COMPUTED_VALUE"""),0)</f>
        <v>0</v>
      </c>
      <c r="K445" s="120"/>
      <c r="L445" s="121"/>
      <c r="M445" s="120"/>
      <c r="N445" s="121"/>
      <c r="O445" s="120"/>
      <c r="P445" s="122"/>
      <c r="Q445" s="123" t="str">
        <f ca="1">IFERROR(__xludf.DUMMYFUNCTION("""COMPUTED_VALUE"""),"Harper Lichte")</f>
        <v>Harper Lichte</v>
      </c>
      <c r="R445" s="123" t="str">
        <f ca="1">IFERROR(__xludf.DUMMYFUNCTION("""COMPUTED_VALUE"""),"Mathias Olesky-Fizyta")</f>
        <v>Mathias Olesky-Fizyta</v>
      </c>
      <c r="S445" s="123" t="str">
        <f ca="1">IFERROR(__xludf.DUMMYFUNCTION("""COMPUTED_VALUE"""),"Emmanuella DeMers")</f>
        <v>Emmanuella DeMers</v>
      </c>
      <c r="T445" s="123" t="str">
        <f ca="1">IFERROR(__xludf.DUMMYFUNCTION("""COMPUTED_VALUE"""),"Jameson Miller")</f>
        <v>Jameson Miller</v>
      </c>
    </row>
    <row r="446" spans="1:20" ht="13.8">
      <c r="A446" s="118" t="str">
        <f ca="1">IFERROR(__xludf.DUMMYFUNCTION("""COMPUTED_VALUE"""),"DR")</f>
        <v>DR</v>
      </c>
      <c r="B446" s="119" t="str">
        <f ca="1">IFERROR(__xludf.DUMMYFUNCTION("""COMPUTED_VALUE"""),"Grant Scialpi")</f>
        <v>Grant Scialpi</v>
      </c>
      <c r="C446" s="118">
        <f ca="1">IFERROR(__xludf.DUMMYFUNCTION("""COMPUTED_VALUE"""),9)</f>
        <v>9</v>
      </c>
      <c r="D446" s="118" t="str">
        <f ca="1">IFERROR(__xludf.DUMMYFUNCTION("""COMPUTED_VALUE"""),"B")</f>
        <v>B</v>
      </c>
      <c r="E446" s="118" t="str">
        <f ca="1">IFERROR(__xludf.DUMMYFUNCTION("""COMPUTED_VALUE"""),"F")</f>
        <v>F</v>
      </c>
      <c r="F446" s="118" t="str">
        <f ca="1">IFERROR(__xludf.DUMMYFUNCTION("""COMPUTED_VALUE"""),"J")</f>
        <v>J</v>
      </c>
      <c r="G446" s="118">
        <f ca="1">IFERROR(__xludf.DUMMYFUNCTION("""COMPUTED_VALUE"""),1)</f>
        <v>1</v>
      </c>
      <c r="H446" s="118" t="str">
        <f ca="1">IFERROR(__xludf.DUMMYFUNCTION("""COMPUTED_VALUE"""),"DR")</f>
        <v>DR</v>
      </c>
      <c r="I446" s="118">
        <f ca="1">IFERROR(__xludf.DUMMYFUNCTION("""COMPUTED_VALUE"""),5)</f>
        <v>5</v>
      </c>
      <c r="J446" s="118">
        <f ca="1">IFERROR(__xludf.DUMMYFUNCTION("""COMPUTED_VALUE"""),0)</f>
        <v>0</v>
      </c>
      <c r="K446" s="120"/>
      <c r="L446" s="121"/>
      <c r="M446" s="120"/>
      <c r="N446" s="121"/>
      <c r="O446" s="120"/>
      <c r="P446" s="122"/>
      <c r="Q446" s="123" t="str">
        <f ca="1">IFERROR(__xludf.DUMMYFUNCTION("""COMPUTED_VALUE"""),"Harper Pham")</f>
        <v>Harper Pham</v>
      </c>
      <c r="R446" s="123" t="str">
        <f ca="1">IFERROR(__xludf.DUMMYFUNCTION("""COMPUTED_VALUE"""),"Matthew Hughes")</f>
        <v>Matthew Hughes</v>
      </c>
      <c r="S446" s="123" t="str">
        <f ca="1">IFERROR(__xludf.DUMMYFUNCTION("""COMPUTED_VALUE"""),"Emme Bryce")</f>
        <v>Emme Bryce</v>
      </c>
      <c r="T446" s="123" t="str">
        <f ca="1">IFERROR(__xludf.DUMMYFUNCTION("""COMPUTED_VALUE"""),"Jamie Herrick")</f>
        <v>Jamie Herrick</v>
      </c>
    </row>
    <row r="447" spans="1:20" ht="13.8">
      <c r="A447" s="118" t="str">
        <f ca="1">IFERROR(__xludf.DUMMYFUNCTION("""COMPUTED_VALUE"""),"DR")</f>
        <v>DR</v>
      </c>
      <c r="B447" s="119" t="str">
        <f ca="1">IFERROR(__xludf.DUMMYFUNCTION("""COMPUTED_VALUE"""),"Grayson Marsh")</f>
        <v>Grayson Marsh</v>
      </c>
      <c r="C447" s="118">
        <f ca="1">IFERROR(__xludf.DUMMYFUNCTION("""COMPUTED_VALUE"""),9)</f>
        <v>9</v>
      </c>
      <c r="D447" s="118" t="str">
        <f ca="1">IFERROR(__xludf.DUMMYFUNCTION("""COMPUTED_VALUE"""),"B")</f>
        <v>B</v>
      </c>
      <c r="E447" s="118" t="str">
        <f ca="1">IFERROR(__xludf.DUMMYFUNCTION("""COMPUTED_VALUE"""),"F")</f>
        <v>F</v>
      </c>
      <c r="F447" s="118" t="str">
        <f ca="1">IFERROR(__xludf.DUMMYFUNCTION("""COMPUTED_VALUE"""),"J")</f>
        <v>J</v>
      </c>
      <c r="G447" s="118">
        <f ca="1">IFERROR(__xludf.DUMMYFUNCTION("""COMPUTED_VALUE"""),1)</f>
        <v>1</v>
      </c>
      <c r="H447" s="118" t="str">
        <f ca="1">IFERROR(__xludf.DUMMYFUNCTION("""COMPUTED_VALUE"""),"DR")</f>
        <v>DR</v>
      </c>
      <c r="I447" s="118">
        <f ca="1">IFERROR(__xludf.DUMMYFUNCTION("""COMPUTED_VALUE"""),5)</f>
        <v>5</v>
      </c>
      <c r="J447" s="118">
        <f ca="1">IFERROR(__xludf.DUMMYFUNCTION("""COMPUTED_VALUE"""),0)</f>
        <v>0</v>
      </c>
      <c r="K447" s="120"/>
      <c r="L447" s="121"/>
      <c r="M447" s="120"/>
      <c r="N447" s="121"/>
      <c r="O447" s="120"/>
      <c r="P447" s="122"/>
      <c r="Q447" s="123" t="str">
        <f ca="1">IFERROR(__xludf.DUMMYFUNCTION("""COMPUTED_VALUE"""),"Harper Vida")</f>
        <v>Harper Vida</v>
      </c>
      <c r="R447" s="123" t="str">
        <f ca="1">IFERROR(__xludf.DUMMYFUNCTION("""COMPUTED_VALUE"""),"Matthew Rempe")</f>
        <v>Matthew Rempe</v>
      </c>
      <c r="S447" s="123" t="str">
        <f ca="1">IFERROR(__xludf.DUMMYFUNCTION("""COMPUTED_VALUE"""),"Emme Guy")</f>
        <v>Emme Guy</v>
      </c>
      <c r="T447" s="123" t="str">
        <f ca="1">IFERROR(__xludf.DUMMYFUNCTION("""COMPUTED_VALUE"""),"Jared Navarro")</f>
        <v>Jared Navarro</v>
      </c>
    </row>
    <row r="448" spans="1:20" ht="13.8">
      <c r="A448" s="118" t="str">
        <f ca="1">IFERROR(__xludf.DUMMYFUNCTION("""COMPUTED_VALUE"""),"DR")</f>
        <v>DR</v>
      </c>
      <c r="B448" s="119" t="str">
        <f ca="1">IFERROR(__xludf.DUMMYFUNCTION("""COMPUTED_VALUE"""),"Hunter Sheldon")</f>
        <v>Hunter Sheldon</v>
      </c>
      <c r="C448" s="118">
        <f ca="1">IFERROR(__xludf.DUMMYFUNCTION("""COMPUTED_VALUE"""),10)</f>
        <v>10</v>
      </c>
      <c r="D448" s="118" t="str">
        <f ca="1">IFERROR(__xludf.DUMMYFUNCTION("""COMPUTED_VALUE"""),"B")</f>
        <v>B</v>
      </c>
      <c r="E448" s="118" t="str">
        <f ca="1">IFERROR(__xludf.DUMMYFUNCTION("""COMPUTED_VALUE"""),"F")</f>
        <v>F</v>
      </c>
      <c r="F448" s="118" t="str">
        <f ca="1">IFERROR(__xludf.DUMMYFUNCTION("""COMPUTED_VALUE"""),"J")</f>
        <v>J</v>
      </c>
      <c r="G448" s="118">
        <f ca="1">IFERROR(__xludf.DUMMYFUNCTION("""COMPUTED_VALUE"""),1)</f>
        <v>1</v>
      </c>
      <c r="H448" s="118" t="str">
        <f ca="1">IFERROR(__xludf.DUMMYFUNCTION("""COMPUTED_VALUE"""),"DR")</f>
        <v>DR</v>
      </c>
      <c r="I448" s="118">
        <f ca="1">IFERROR(__xludf.DUMMYFUNCTION("""COMPUTED_VALUE"""),5)</f>
        <v>5</v>
      </c>
      <c r="J448" s="118">
        <f ca="1">IFERROR(__xludf.DUMMYFUNCTION("""COMPUTED_VALUE"""),0)</f>
        <v>0</v>
      </c>
      <c r="K448" s="120"/>
      <c r="L448" s="121"/>
      <c r="M448" s="120"/>
      <c r="N448" s="121"/>
      <c r="O448" s="120"/>
      <c r="P448" s="122"/>
      <c r="Q448" s="123" t="str">
        <f ca="1">IFERROR(__xludf.DUMMYFUNCTION("""COMPUTED_VALUE"""),"Harper Wilder")</f>
        <v>Harper Wilder</v>
      </c>
      <c r="R448" s="123" t="str">
        <f ca="1">IFERROR(__xludf.DUMMYFUNCTION("""COMPUTED_VALUE"""),"Matthew Robertson")</f>
        <v>Matthew Robertson</v>
      </c>
      <c r="S448" s="123" t="str">
        <f ca="1">IFERROR(__xludf.DUMMYFUNCTION("""COMPUTED_VALUE"""),"Emme Waltrup")</f>
        <v>Emme Waltrup</v>
      </c>
      <c r="T448" s="123" t="str">
        <f ca="1">IFERROR(__xludf.DUMMYFUNCTION("""COMPUTED_VALUE"""),"Jarlath Mahoney")</f>
        <v>Jarlath Mahoney</v>
      </c>
    </row>
    <row r="449" spans="1:20" ht="13.8">
      <c r="A449" s="118" t="str">
        <f ca="1">IFERROR(__xludf.DUMMYFUNCTION("""COMPUTED_VALUE"""),"DR")</f>
        <v>DR</v>
      </c>
      <c r="B449" s="119" t="str">
        <f ca="1">IFERROR(__xludf.DUMMYFUNCTION("""COMPUTED_VALUE"""),"Hunter Simms")</f>
        <v>Hunter Simms</v>
      </c>
      <c r="C449" s="118">
        <f ca="1">IFERROR(__xludf.DUMMYFUNCTION("""COMPUTED_VALUE"""),8)</f>
        <v>8</v>
      </c>
      <c r="D449" s="118" t="str">
        <f ca="1">IFERROR(__xludf.DUMMYFUNCTION("""COMPUTED_VALUE"""),"B")</f>
        <v>B</v>
      </c>
      <c r="E449" s="118" t="str">
        <f ca="1">IFERROR(__xludf.DUMMYFUNCTION("""COMPUTED_VALUE"""),"F")</f>
        <v>F</v>
      </c>
      <c r="F449" s="118" t="str">
        <f ca="1">IFERROR(__xludf.DUMMYFUNCTION("""COMPUTED_VALUE"""),"J")</f>
        <v>J</v>
      </c>
      <c r="G449" s="118">
        <f ca="1">IFERROR(__xludf.DUMMYFUNCTION("""COMPUTED_VALUE"""),1)</f>
        <v>1</v>
      </c>
      <c r="H449" s="118" t="str">
        <f ca="1">IFERROR(__xludf.DUMMYFUNCTION("""COMPUTED_VALUE"""),"DR")</f>
        <v>DR</v>
      </c>
      <c r="I449" s="118">
        <f ca="1">IFERROR(__xludf.DUMMYFUNCTION("""COMPUTED_VALUE"""),5)</f>
        <v>5</v>
      </c>
      <c r="J449" s="118">
        <f ca="1">IFERROR(__xludf.DUMMYFUNCTION("""COMPUTED_VALUE"""),4)</f>
        <v>4</v>
      </c>
      <c r="K449" s="120">
        <f ca="1">IFERROR(__xludf.DUMMYFUNCTION("""COMPUTED_VALUE"""),61.45)</f>
        <v>61.45</v>
      </c>
      <c r="L449" s="121"/>
      <c r="M449" s="120">
        <f ca="1">IFERROR(__xludf.DUMMYFUNCTION("""COMPUTED_VALUE"""),48.4)</f>
        <v>48.4</v>
      </c>
      <c r="N449" s="121"/>
      <c r="O449" s="120"/>
      <c r="P449" s="122"/>
      <c r="Q449" s="123" t="str">
        <f ca="1">IFERROR(__xludf.DUMMYFUNCTION("""COMPUTED_VALUE"""),"Hattie Flores")</f>
        <v>Hattie Flores</v>
      </c>
      <c r="R449" s="123" t="str">
        <f ca="1">IFERROR(__xludf.DUMMYFUNCTION("""COMPUTED_VALUE"""),"Maty Brown")</f>
        <v>Maty Brown</v>
      </c>
      <c r="S449" s="123" t="str">
        <f ca="1">IFERROR(__xludf.DUMMYFUNCTION("""COMPUTED_VALUE"""),"Emmeline Boateng")</f>
        <v>Emmeline Boateng</v>
      </c>
      <c r="T449" s="123" t="str">
        <f ca="1">IFERROR(__xludf.DUMMYFUNCTION("""COMPUTED_VALUE"""),"Jasper Albers")</f>
        <v>Jasper Albers</v>
      </c>
    </row>
    <row r="450" spans="1:20" ht="13.8">
      <c r="A450" s="118" t="str">
        <f ca="1">IFERROR(__xludf.DUMMYFUNCTION("""COMPUTED_VALUE"""),"DR")</f>
        <v>DR</v>
      </c>
      <c r="B450" s="119" t="str">
        <f ca="1">IFERROR(__xludf.DUMMYFUNCTION("""COMPUTED_VALUE"""),"Jax Wallace")</f>
        <v>Jax Wallace</v>
      </c>
      <c r="C450" s="118">
        <f ca="1">IFERROR(__xludf.DUMMYFUNCTION("""COMPUTED_VALUE"""),9)</f>
        <v>9</v>
      </c>
      <c r="D450" s="118" t="str">
        <f ca="1">IFERROR(__xludf.DUMMYFUNCTION("""COMPUTED_VALUE"""),"B")</f>
        <v>B</v>
      </c>
      <c r="E450" s="118" t="str">
        <f ca="1">IFERROR(__xludf.DUMMYFUNCTION("""COMPUTED_VALUE"""),"F")</f>
        <v>F</v>
      </c>
      <c r="F450" s="118" t="str">
        <f ca="1">IFERROR(__xludf.DUMMYFUNCTION("""COMPUTED_VALUE"""),"J")</f>
        <v>J</v>
      </c>
      <c r="G450" s="118">
        <f ca="1">IFERROR(__xludf.DUMMYFUNCTION("""COMPUTED_VALUE"""),1)</f>
        <v>1</v>
      </c>
      <c r="H450" s="118" t="str">
        <f ca="1">IFERROR(__xludf.DUMMYFUNCTION("""COMPUTED_VALUE"""),"DR")</f>
        <v>DR</v>
      </c>
      <c r="I450" s="118">
        <f ca="1">IFERROR(__xludf.DUMMYFUNCTION("""COMPUTED_VALUE"""),5)</f>
        <v>5</v>
      </c>
      <c r="J450" s="118">
        <f ca="1">IFERROR(__xludf.DUMMYFUNCTION("""COMPUTED_VALUE"""),0)</f>
        <v>0</v>
      </c>
      <c r="K450" s="120"/>
      <c r="L450" s="121"/>
      <c r="M450" s="120"/>
      <c r="N450" s="121"/>
      <c r="O450" s="120"/>
      <c r="P450" s="122"/>
      <c r="Q450" s="123" t="str">
        <f ca="1">IFERROR(__xludf.DUMMYFUNCTION("""COMPUTED_VALUE"""),"Hayden Carry")</f>
        <v>Hayden Carry</v>
      </c>
      <c r="R450" s="123" t="str">
        <f ca="1">IFERROR(__xludf.DUMMYFUNCTION("""COMPUTED_VALUE"""),"Max Damjan")</f>
        <v>Max Damjan</v>
      </c>
      <c r="S450" s="123" t="str">
        <f ca="1">IFERROR(__xludf.DUMMYFUNCTION("""COMPUTED_VALUE"""),"Erika Noreika")</f>
        <v>Erika Noreika</v>
      </c>
      <c r="T450" s="123" t="str">
        <f ca="1">IFERROR(__xludf.DUMMYFUNCTION("""COMPUTED_VALUE"""),"Jasper Carpenter")</f>
        <v>Jasper Carpenter</v>
      </c>
    </row>
    <row r="451" spans="1:20" ht="13.8">
      <c r="A451" s="118" t="str">
        <f ca="1">IFERROR(__xludf.DUMMYFUNCTION("""COMPUTED_VALUE"""),"DR")</f>
        <v>DR</v>
      </c>
      <c r="B451" s="119" t="str">
        <f ca="1">IFERROR(__xludf.DUMMYFUNCTION("""COMPUTED_VALUE"""),"Lachlan Gellie")</f>
        <v>Lachlan Gellie</v>
      </c>
      <c r="C451" s="118">
        <f ca="1">IFERROR(__xludf.DUMMYFUNCTION("""COMPUTED_VALUE"""),8)</f>
        <v>8</v>
      </c>
      <c r="D451" s="118" t="str">
        <f ca="1">IFERROR(__xludf.DUMMYFUNCTION("""COMPUTED_VALUE"""),"B")</f>
        <v>B</v>
      </c>
      <c r="E451" s="118" t="str">
        <f ca="1">IFERROR(__xludf.DUMMYFUNCTION("""COMPUTED_VALUE"""),"F")</f>
        <v>F</v>
      </c>
      <c r="F451" s="118" t="str">
        <f ca="1">IFERROR(__xludf.DUMMYFUNCTION("""COMPUTED_VALUE"""),"J")</f>
        <v>J</v>
      </c>
      <c r="G451" s="118">
        <f ca="1">IFERROR(__xludf.DUMMYFUNCTION("""COMPUTED_VALUE"""),1)</f>
        <v>1</v>
      </c>
      <c r="H451" s="118" t="str">
        <f ca="1">IFERROR(__xludf.DUMMYFUNCTION("""COMPUTED_VALUE"""),"DR")</f>
        <v>DR</v>
      </c>
      <c r="I451" s="118">
        <f ca="1">IFERROR(__xludf.DUMMYFUNCTION("""COMPUTED_VALUE"""),5)</f>
        <v>5</v>
      </c>
      <c r="J451" s="118">
        <f ca="1">IFERROR(__xludf.DUMMYFUNCTION("""COMPUTED_VALUE"""),0)</f>
        <v>0</v>
      </c>
      <c r="K451" s="120"/>
      <c r="L451" s="121"/>
      <c r="M451" s="120"/>
      <c r="N451" s="121"/>
      <c r="O451" s="120"/>
      <c r="P451" s="122"/>
      <c r="Q451" s="123" t="str">
        <f ca="1">IFERROR(__xludf.DUMMYFUNCTION("""COMPUTED_VALUE"""),"Hayes Hohmann")</f>
        <v>Hayes Hohmann</v>
      </c>
      <c r="R451" s="123" t="str">
        <f ca="1">IFERROR(__xludf.DUMMYFUNCTION("""COMPUTED_VALUE"""),"Max McKnight")</f>
        <v>Max McKnight</v>
      </c>
      <c r="S451" s="123" t="str">
        <f ca="1">IFERROR(__xludf.DUMMYFUNCTION("""COMPUTED_VALUE"""),"Erin Dougherty")</f>
        <v>Erin Dougherty</v>
      </c>
      <c r="T451" s="123" t="str">
        <f ca="1">IFERROR(__xludf.DUMMYFUNCTION("""COMPUTED_VALUE"""),"Jasper Eng")</f>
        <v>Jasper Eng</v>
      </c>
    </row>
    <row r="452" spans="1:20" ht="13.8">
      <c r="A452" s="118" t="str">
        <f ca="1">IFERROR(__xludf.DUMMYFUNCTION("""COMPUTED_VALUE"""),"DR")</f>
        <v>DR</v>
      </c>
      <c r="B452" s="119" t="str">
        <f ca="1">IFERROR(__xludf.DUMMYFUNCTION("""COMPUTED_VALUE"""),"Late Entry")</f>
        <v>Late Entry</v>
      </c>
      <c r="C452" s="118">
        <f ca="1">IFERROR(__xludf.DUMMYFUNCTION("""COMPUTED_VALUE"""),6)</f>
        <v>6</v>
      </c>
      <c r="D452" s="118" t="str">
        <f ca="1">IFERROR(__xludf.DUMMYFUNCTION("""COMPUTED_VALUE"""),"B")</f>
        <v>B</v>
      </c>
      <c r="E452" s="118" t="str">
        <f ca="1">IFERROR(__xludf.DUMMYFUNCTION("""COMPUTED_VALUE"""),"F")</f>
        <v>F</v>
      </c>
      <c r="F452" s="118" t="str">
        <f ca="1">IFERROR(__xludf.DUMMYFUNCTION("""COMPUTED_VALUE"""),"J")</f>
        <v>J</v>
      </c>
      <c r="G452" s="118">
        <f ca="1">IFERROR(__xludf.DUMMYFUNCTION("""COMPUTED_VALUE"""),1)</f>
        <v>1</v>
      </c>
      <c r="H452" s="118" t="str">
        <f ca="1">IFERROR(__xludf.DUMMYFUNCTION("""COMPUTED_VALUE"""),"DR")</f>
        <v>DR</v>
      </c>
      <c r="I452" s="118">
        <f ca="1">IFERROR(__xludf.DUMMYFUNCTION("""COMPUTED_VALUE"""),5)</f>
        <v>5</v>
      </c>
      <c r="J452" s="118">
        <f ca="1">IFERROR(__xludf.DUMMYFUNCTION("""COMPUTED_VALUE"""),0)</f>
        <v>0</v>
      </c>
      <c r="K452" s="120"/>
      <c r="L452" s="121"/>
      <c r="M452" s="120"/>
      <c r="N452" s="121"/>
      <c r="O452" s="120"/>
      <c r="P452" s="122"/>
      <c r="Q452" s="123" t="str">
        <f ca="1">IFERROR(__xludf.DUMMYFUNCTION("""COMPUTED_VALUE"""),"Hazel Johnson")</f>
        <v>Hazel Johnson</v>
      </c>
      <c r="R452" s="123" t="str">
        <f ca="1">IFERROR(__xludf.DUMMYFUNCTION("""COMPUTED_VALUE"""),"Max Misiaszek")</f>
        <v>Max Misiaszek</v>
      </c>
      <c r="S452" s="123" t="str">
        <f ca="1">IFERROR(__xludf.DUMMYFUNCTION("""COMPUTED_VALUE"""),"Erin Edwards")</f>
        <v>Erin Edwards</v>
      </c>
      <c r="T452" s="123" t="str">
        <f ca="1">IFERROR(__xludf.DUMMYFUNCTION("""COMPUTED_VALUE"""),"Jasper Figley")</f>
        <v>Jasper Figley</v>
      </c>
    </row>
    <row r="453" spans="1:20" ht="13.8">
      <c r="A453" s="118" t="str">
        <f ca="1">IFERROR(__xludf.DUMMYFUNCTION("""COMPUTED_VALUE"""),"DR")</f>
        <v>DR</v>
      </c>
      <c r="B453" s="119" t="str">
        <f ca="1">IFERROR(__xludf.DUMMYFUNCTION("""COMPUTED_VALUE"""),"Luke Bracken")</f>
        <v>Luke Bracken</v>
      </c>
      <c r="C453" s="118">
        <f ca="1">IFERROR(__xludf.DUMMYFUNCTION("""COMPUTED_VALUE"""),9)</f>
        <v>9</v>
      </c>
      <c r="D453" s="118" t="str">
        <f ca="1">IFERROR(__xludf.DUMMYFUNCTION("""COMPUTED_VALUE"""),"B")</f>
        <v>B</v>
      </c>
      <c r="E453" s="118" t="str">
        <f ca="1">IFERROR(__xludf.DUMMYFUNCTION("""COMPUTED_VALUE"""),"F")</f>
        <v>F</v>
      </c>
      <c r="F453" s="118" t="str">
        <f ca="1">IFERROR(__xludf.DUMMYFUNCTION("""COMPUTED_VALUE"""),"J")</f>
        <v>J</v>
      </c>
      <c r="G453" s="118">
        <f ca="1">IFERROR(__xludf.DUMMYFUNCTION("""COMPUTED_VALUE"""),1)</f>
        <v>1</v>
      </c>
      <c r="H453" s="118" t="str">
        <f ca="1">IFERROR(__xludf.DUMMYFUNCTION("""COMPUTED_VALUE"""),"DR")</f>
        <v>DR</v>
      </c>
      <c r="I453" s="118">
        <f ca="1">IFERROR(__xludf.DUMMYFUNCTION("""COMPUTED_VALUE"""),5)</f>
        <v>5</v>
      </c>
      <c r="J453" s="118">
        <f ca="1">IFERROR(__xludf.DUMMYFUNCTION("""COMPUTED_VALUE"""),0)</f>
        <v>0</v>
      </c>
      <c r="K453" s="120"/>
      <c r="L453" s="121"/>
      <c r="M453" s="120"/>
      <c r="N453" s="121"/>
      <c r="O453" s="120"/>
      <c r="P453" s="122"/>
      <c r="Q453" s="123" t="str">
        <f ca="1">IFERROR(__xludf.DUMMYFUNCTION("""COMPUTED_VALUE"""),"Hazel Lauver")</f>
        <v>Hazel Lauver</v>
      </c>
      <c r="R453" s="123" t="str">
        <f ca="1">IFERROR(__xludf.DUMMYFUNCTION("""COMPUTED_VALUE"""),"Max Pera")</f>
        <v>Max Pera</v>
      </c>
      <c r="S453" s="123" t="str">
        <f ca="1">IFERROR(__xludf.DUMMYFUNCTION("""COMPUTED_VALUE"""),"Erin Kass")</f>
        <v>Erin Kass</v>
      </c>
      <c r="T453" s="123" t="str">
        <f ca="1">IFERROR(__xludf.DUMMYFUNCTION("""COMPUTED_VALUE"""),"Jax Wallace")</f>
        <v>Jax Wallace</v>
      </c>
    </row>
    <row r="454" spans="1:20" ht="13.8">
      <c r="A454" s="118" t="str">
        <f ca="1">IFERROR(__xludf.DUMMYFUNCTION("""COMPUTED_VALUE"""),"DR")</f>
        <v>DR</v>
      </c>
      <c r="B454" s="119" t="str">
        <f ca="1">IFERROR(__xludf.DUMMYFUNCTION("""COMPUTED_VALUE"""),"Luke Brannan")</f>
        <v>Luke Brannan</v>
      </c>
      <c r="C454" s="118">
        <f ca="1">IFERROR(__xludf.DUMMYFUNCTION("""COMPUTED_VALUE"""),9)</f>
        <v>9</v>
      </c>
      <c r="D454" s="118" t="str">
        <f ca="1">IFERROR(__xludf.DUMMYFUNCTION("""COMPUTED_VALUE"""),"B")</f>
        <v>B</v>
      </c>
      <c r="E454" s="118" t="str">
        <f ca="1">IFERROR(__xludf.DUMMYFUNCTION("""COMPUTED_VALUE"""),"F")</f>
        <v>F</v>
      </c>
      <c r="F454" s="118" t="str">
        <f ca="1">IFERROR(__xludf.DUMMYFUNCTION("""COMPUTED_VALUE"""),"J")</f>
        <v>J</v>
      </c>
      <c r="G454" s="118">
        <f ca="1">IFERROR(__xludf.DUMMYFUNCTION("""COMPUTED_VALUE"""),1)</f>
        <v>1</v>
      </c>
      <c r="H454" s="118" t="str">
        <f ca="1">IFERROR(__xludf.DUMMYFUNCTION("""COMPUTED_VALUE"""),"DR")</f>
        <v>DR</v>
      </c>
      <c r="I454" s="118">
        <f ca="1">IFERROR(__xludf.DUMMYFUNCTION("""COMPUTED_VALUE"""),5)</f>
        <v>5</v>
      </c>
      <c r="J454" s="118">
        <f ca="1">IFERROR(__xludf.DUMMYFUNCTION("""COMPUTED_VALUE"""),4)</f>
        <v>4</v>
      </c>
      <c r="K454" s="120">
        <f ca="1">IFERROR(__xludf.DUMMYFUNCTION("""COMPUTED_VALUE"""),64.75)</f>
        <v>64.75</v>
      </c>
      <c r="L454" s="121"/>
      <c r="M454" s="120">
        <f ca="1">IFERROR(__xludf.DUMMYFUNCTION("""COMPUTED_VALUE"""),53.5)</f>
        <v>53.5</v>
      </c>
      <c r="N454" s="121"/>
      <c r="O454" s="120">
        <f ca="1">IFERROR(__xludf.DUMMYFUNCTION("""COMPUTED_VALUE"""),49.15)</f>
        <v>49.15</v>
      </c>
      <c r="P454" s="122"/>
      <c r="Q454" s="123" t="str">
        <f ca="1">IFERROR(__xludf.DUMMYFUNCTION("""COMPUTED_VALUE"""),"Helen Butler")</f>
        <v>Helen Butler</v>
      </c>
      <c r="R454" s="123" t="str">
        <f ca="1">IFERROR(__xludf.DUMMYFUNCTION("""COMPUTED_VALUE"""),"Max Robinett")</f>
        <v>Max Robinett</v>
      </c>
      <c r="S454" s="123" t="str">
        <f ca="1">IFERROR(__xludf.DUMMYFUNCTION("""COMPUTED_VALUE"""),"Erin Lee")</f>
        <v>Erin Lee</v>
      </c>
      <c r="T454" s="123" t="str">
        <f ca="1">IFERROR(__xludf.DUMMYFUNCTION("""COMPUTED_VALUE"""),"Jayan Penn")</f>
        <v>Jayan Penn</v>
      </c>
    </row>
    <row r="455" spans="1:20" ht="13.8">
      <c r="A455" s="118" t="str">
        <f ca="1">IFERROR(__xludf.DUMMYFUNCTION("""COMPUTED_VALUE"""),"DR")</f>
        <v>DR</v>
      </c>
      <c r="B455" s="119" t="str">
        <f ca="1">IFERROR(__xludf.DUMMYFUNCTION("""COMPUTED_VALUE"""),"Markus Krumins")</f>
        <v>Markus Krumins</v>
      </c>
      <c r="C455" s="118">
        <f ca="1">IFERROR(__xludf.DUMMYFUNCTION("""COMPUTED_VALUE"""),9)</f>
        <v>9</v>
      </c>
      <c r="D455" s="118" t="str">
        <f ca="1">IFERROR(__xludf.DUMMYFUNCTION("""COMPUTED_VALUE"""),"B")</f>
        <v>B</v>
      </c>
      <c r="E455" s="118" t="str">
        <f ca="1">IFERROR(__xludf.DUMMYFUNCTION("""COMPUTED_VALUE"""),"F")</f>
        <v>F</v>
      </c>
      <c r="F455" s="118" t="str">
        <f ca="1">IFERROR(__xludf.DUMMYFUNCTION("""COMPUTED_VALUE"""),"J")</f>
        <v>J</v>
      </c>
      <c r="G455" s="118">
        <f ca="1">IFERROR(__xludf.DUMMYFUNCTION("""COMPUTED_VALUE"""),1)</f>
        <v>1</v>
      </c>
      <c r="H455" s="118" t="str">
        <f ca="1">IFERROR(__xludf.DUMMYFUNCTION("""COMPUTED_VALUE"""),"DR")</f>
        <v>DR</v>
      </c>
      <c r="I455" s="118">
        <f ca="1">IFERROR(__xludf.DUMMYFUNCTION("""COMPUTED_VALUE"""),5)</f>
        <v>5</v>
      </c>
      <c r="J455" s="118">
        <f ca="1">IFERROR(__xludf.DUMMYFUNCTION("""COMPUTED_VALUE"""),5)</f>
        <v>5</v>
      </c>
      <c r="K455" s="120">
        <f ca="1">IFERROR(__xludf.DUMMYFUNCTION("""COMPUTED_VALUE"""),63.15)</f>
        <v>63.15</v>
      </c>
      <c r="L455" s="121"/>
      <c r="M455" s="120">
        <f ca="1">IFERROR(__xludf.DUMMYFUNCTION("""COMPUTED_VALUE"""),53.9)</f>
        <v>53.9</v>
      </c>
      <c r="N455" s="121"/>
      <c r="O455" s="120">
        <f ca="1">IFERROR(__xludf.DUMMYFUNCTION("""COMPUTED_VALUE"""),57.1)</f>
        <v>57.1</v>
      </c>
      <c r="P455" s="122"/>
      <c r="Q455" s="123" t="str">
        <f ca="1">IFERROR(__xludf.DUMMYFUNCTION("""COMPUTED_VALUE"""),"Helen Huggler")</f>
        <v>Helen Huggler</v>
      </c>
      <c r="R455" s="123" t="str">
        <f ca="1">IFERROR(__xludf.DUMMYFUNCTION("""COMPUTED_VALUE"""),"Max Signer")</f>
        <v>Max Signer</v>
      </c>
      <c r="S455" s="123" t="str">
        <f ca="1">IFERROR(__xludf.DUMMYFUNCTION("""COMPUTED_VALUE"""),"Erin Martonik")</f>
        <v>Erin Martonik</v>
      </c>
      <c r="T455" s="123" t="str">
        <f ca="1">IFERROR(__xludf.DUMMYFUNCTION("""COMPUTED_VALUE"""),"Jeremy Chen")</f>
        <v>Jeremy Chen</v>
      </c>
    </row>
    <row r="456" spans="1:20" ht="13.8">
      <c r="A456" s="118" t="str">
        <f ca="1">IFERROR(__xludf.DUMMYFUNCTION("""COMPUTED_VALUE"""),"DR")</f>
        <v>DR</v>
      </c>
      <c r="B456" s="119" t="str">
        <f ca="1">IFERROR(__xludf.DUMMYFUNCTION("""COMPUTED_VALUE"""),"Naveen Saxena")</f>
        <v>Naveen Saxena</v>
      </c>
      <c r="C456" s="118">
        <f ca="1">IFERROR(__xludf.DUMMYFUNCTION("""COMPUTED_VALUE"""),10)</f>
        <v>10</v>
      </c>
      <c r="D456" s="118" t="str">
        <f ca="1">IFERROR(__xludf.DUMMYFUNCTION("""COMPUTED_VALUE"""),"B")</f>
        <v>B</v>
      </c>
      <c r="E456" s="118" t="str">
        <f ca="1">IFERROR(__xludf.DUMMYFUNCTION("""COMPUTED_VALUE"""),"F")</f>
        <v>F</v>
      </c>
      <c r="F456" s="118" t="str">
        <f ca="1">IFERROR(__xludf.DUMMYFUNCTION("""COMPUTED_VALUE"""),"J")</f>
        <v>J</v>
      </c>
      <c r="G456" s="118">
        <f ca="1">IFERROR(__xludf.DUMMYFUNCTION("""COMPUTED_VALUE"""),1)</f>
        <v>1</v>
      </c>
      <c r="H456" s="118" t="str">
        <f ca="1">IFERROR(__xludf.DUMMYFUNCTION("""COMPUTED_VALUE"""),"DR")</f>
        <v>DR</v>
      </c>
      <c r="I456" s="118">
        <f ca="1">IFERROR(__xludf.DUMMYFUNCTION("""COMPUTED_VALUE"""),5)</f>
        <v>5</v>
      </c>
      <c r="J456" s="118">
        <f ca="1">IFERROR(__xludf.DUMMYFUNCTION("""COMPUTED_VALUE"""),1)</f>
        <v>1</v>
      </c>
      <c r="K456" s="120">
        <f ca="1">IFERROR(__xludf.DUMMYFUNCTION("""COMPUTED_VALUE"""),36.7)</f>
        <v>36.700000000000003</v>
      </c>
      <c r="L456" s="121"/>
      <c r="M456" s="120"/>
      <c r="N456" s="121"/>
      <c r="O456" s="120">
        <f ca="1">IFERROR(__xludf.DUMMYFUNCTION("""COMPUTED_VALUE"""),36.7)</f>
        <v>36.700000000000003</v>
      </c>
      <c r="P456" s="122"/>
      <c r="Q456" s="123" t="str">
        <f ca="1">IFERROR(__xludf.DUMMYFUNCTION("""COMPUTED_VALUE"""),"Hodges Newton")</f>
        <v>Hodges Newton</v>
      </c>
      <c r="R456" s="123" t="str">
        <f ca="1">IFERROR(__xludf.DUMMYFUNCTION("""COMPUTED_VALUE"""),"Max Waisberg")</f>
        <v>Max Waisberg</v>
      </c>
      <c r="S456" s="123" t="str">
        <f ca="1">IFERROR(__xludf.DUMMYFUNCTION("""COMPUTED_VALUE"""),"Erin Pinchas")</f>
        <v>Erin Pinchas</v>
      </c>
      <c r="T456" s="123" t="str">
        <f ca="1">IFERROR(__xludf.DUMMYFUNCTION("""COMPUTED_VALUE"""),"Jett Bastow")</f>
        <v>Jett Bastow</v>
      </c>
    </row>
    <row r="457" spans="1:20" ht="13.8">
      <c r="A457" s="118" t="str">
        <f ca="1">IFERROR(__xludf.DUMMYFUNCTION("""COMPUTED_VALUE"""),"DR")</f>
        <v>DR</v>
      </c>
      <c r="B457" s="119" t="str">
        <f ca="1">IFERROR(__xludf.DUMMYFUNCTION("""COMPUTED_VALUE"""),"Oliver Rosenberg")</f>
        <v>Oliver Rosenberg</v>
      </c>
      <c r="C457" s="118">
        <f ca="1">IFERROR(__xludf.DUMMYFUNCTION("""COMPUTED_VALUE"""),8)</f>
        <v>8</v>
      </c>
      <c r="D457" s="118" t="str">
        <f ca="1">IFERROR(__xludf.DUMMYFUNCTION("""COMPUTED_VALUE"""),"B")</f>
        <v>B</v>
      </c>
      <c r="E457" s="118" t="str">
        <f ca="1">IFERROR(__xludf.DUMMYFUNCTION("""COMPUTED_VALUE"""),"F")</f>
        <v>F</v>
      </c>
      <c r="F457" s="118" t="str">
        <f ca="1">IFERROR(__xludf.DUMMYFUNCTION("""COMPUTED_VALUE"""),"J")</f>
        <v>J</v>
      </c>
      <c r="G457" s="118">
        <f ca="1">IFERROR(__xludf.DUMMYFUNCTION("""COMPUTED_VALUE"""),1)</f>
        <v>1</v>
      </c>
      <c r="H457" s="118" t="str">
        <f ca="1">IFERROR(__xludf.DUMMYFUNCTION("""COMPUTED_VALUE"""),"DR")</f>
        <v>DR</v>
      </c>
      <c r="I457" s="118">
        <f ca="1">IFERROR(__xludf.DUMMYFUNCTION("""COMPUTED_VALUE"""),5)</f>
        <v>5</v>
      </c>
      <c r="J457" s="118">
        <f ca="1">IFERROR(__xludf.DUMMYFUNCTION("""COMPUTED_VALUE"""),0)</f>
        <v>0</v>
      </c>
      <c r="K457" s="120"/>
      <c r="L457" s="121"/>
      <c r="M457" s="120"/>
      <c r="N457" s="121"/>
      <c r="O457" s="120"/>
      <c r="P457" s="122"/>
      <c r="Q457" s="123" t="str">
        <f ca="1">IFERROR(__xludf.DUMMYFUNCTION("""COMPUTED_VALUE"""),"Holly Denniston")</f>
        <v>Holly Denniston</v>
      </c>
      <c r="R457" s="123" t="str">
        <f ca="1">IFERROR(__xludf.DUMMYFUNCTION("""COMPUTED_VALUE"""),"Maximus Tabrizi")</f>
        <v>Maximus Tabrizi</v>
      </c>
      <c r="S457" s="123" t="str">
        <f ca="1">IFERROR(__xludf.DUMMYFUNCTION("""COMPUTED_VALUE"""),"Erin Wills")</f>
        <v>Erin Wills</v>
      </c>
      <c r="T457" s="123" t="str">
        <f ca="1">IFERROR(__xludf.DUMMYFUNCTION("""COMPUTED_VALUE"""),"Jimmy Cameron")</f>
        <v>Jimmy Cameron</v>
      </c>
    </row>
    <row r="458" spans="1:20" ht="13.8">
      <c r="A458" s="118" t="str">
        <f ca="1">IFERROR(__xludf.DUMMYFUNCTION("""COMPUTED_VALUE"""),"DR")</f>
        <v>DR</v>
      </c>
      <c r="B458" s="119" t="str">
        <f ca="1">IFERROR(__xludf.DUMMYFUNCTION("""COMPUTED_VALUE"""),"Oliver Shum-Sanders")</f>
        <v>Oliver Shum-Sanders</v>
      </c>
      <c r="C458" s="118">
        <f ca="1">IFERROR(__xludf.DUMMYFUNCTION("""COMPUTED_VALUE"""),10)</f>
        <v>10</v>
      </c>
      <c r="D458" s="118" t="str">
        <f ca="1">IFERROR(__xludf.DUMMYFUNCTION("""COMPUTED_VALUE"""),"B")</f>
        <v>B</v>
      </c>
      <c r="E458" s="118" t="str">
        <f ca="1">IFERROR(__xludf.DUMMYFUNCTION("""COMPUTED_VALUE"""),"F")</f>
        <v>F</v>
      </c>
      <c r="F458" s="118" t="str">
        <f ca="1">IFERROR(__xludf.DUMMYFUNCTION("""COMPUTED_VALUE"""),"J")</f>
        <v>J</v>
      </c>
      <c r="G458" s="118">
        <f ca="1">IFERROR(__xludf.DUMMYFUNCTION("""COMPUTED_VALUE"""),1)</f>
        <v>1</v>
      </c>
      <c r="H458" s="118" t="str">
        <f ca="1">IFERROR(__xludf.DUMMYFUNCTION("""COMPUTED_VALUE"""),"DR")</f>
        <v>DR</v>
      </c>
      <c r="I458" s="118">
        <f ca="1">IFERROR(__xludf.DUMMYFUNCTION("""COMPUTED_VALUE"""),5)</f>
        <v>5</v>
      </c>
      <c r="J458" s="118">
        <f ca="1">IFERROR(__xludf.DUMMYFUNCTION("""COMPUTED_VALUE"""),0)</f>
        <v>0</v>
      </c>
      <c r="K458" s="120"/>
      <c r="L458" s="121"/>
      <c r="M458" s="120"/>
      <c r="N458" s="121"/>
      <c r="O458" s="120"/>
      <c r="P458" s="122"/>
      <c r="Q458" s="123" t="str">
        <f ca="1">IFERROR(__xludf.DUMMYFUNCTION("""COMPUTED_VALUE"""),"Ingrid Lander")</f>
        <v>Ingrid Lander</v>
      </c>
      <c r="R458" s="123" t="str">
        <f ca="1">IFERROR(__xludf.DUMMYFUNCTION("""COMPUTED_VALUE"""),"Maxton Molina-Weir")</f>
        <v>Maxton Molina-Weir</v>
      </c>
      <c r="S458" s="123" t="str">
        <f ca="1">IFERROR(__xludf.DUMMYFUNCTION("""COMPUTED_VALUE"""),"Eris Carney")</f>
        <v>Eris Carney</v>
      </c>
      <c r="T458" s="123" t="str">
        <f ca="1">IFERROR(__xludf.DUMMYFUNCTION("""COMPUTED_VALUE"""),"JJ Froemke")</f>
        <v>JJ Froemke</v>
      </c>
    </row>
    <row r="459" spans="1:20" ht="13.8">
      <c r="A459" s="118" t="str">
        <f ca="1">IFERROR(__xludf.DUMMYFUNCTION("""COMPUTED_VALUE"""),"DR")</f>
        <v>DR</v>
      </c>
      <c r="B459" s="119" t="str">
        <f ca="1">IFERROR(__xludf.DUMMYFUNCTION("""COMPUTED_VALUE"""),"Sam Thoman")</f>
        <v>Sam Thoman</v>
      </c>
      <c r="C459" s="118">
        <f ca="1">IFERROR(__xludf.DUMMYFUNCTION("""COMPUTED_VALUE"""),10)</f>
        <v>10</v>
      </c>
      <c r="D459" s="118" t="str">
        <f ca="1">IFERROR(__xludf.DUMMYFUNCTION("""COMPUTED_VALUE"""),"B")</f>
        <v>B</v>
      </c>
      <c r="E459" s="118" t="str">
        <f ca="1">IFERROR(__xludf.DUMMYFUNCTION("""COMPUTED_VALUE"""),"F")</f>
        <v>F</v>
      </c>
      <c r="F459" s="118" t="str">
        <f ca="1">IFERROR(__xludf.DUMMYFUNCTION("""COMPUTED_VALUE"""),"J")</f>
        <v>J</v>
      </c>
      <c r="G459" s="118">
        <f ca="1">IFERROR(__xludf.DUMMYFUNCTION("""COMPUTED_VALUE"""),1)</f>
        <v>1</v>
      </c>
      <c r="H459" s="118" t="str">
        <f ca="1">IFERROR(__xludf.DUMMYFUNCTION("""COMPUTED_VALUE"""),"DR")</f>
        <v>DR</v>
      </c>
      <c r="I459" s="118">
        <f ca="1">IFERROR(__xludf.DUMMYFUNCTION("""COMPUTED_VALUE"""),5)</f>
        <v>5</v>
      </c>
      <c r="J459" s="118">
        <f ca="1">IFERROR(__xludf.DUMMYFUNCTION("""COMPUTED_VALUE"""),0)</f>
        <v>0</v>
      </c>
      <c r="K459" s="120"/>
      <c r="L459" s="121"/>
      <c r="M459" s="120"/>
      <c r="N459" s="121"/>
      <c r="O459" s="120"/>
      <c r="P459" s="122"/>
      <c r="Q459" s="123" t="str">
        <f ca="1">IFERROR(__xludf.DUMMYFUNCTION("""COMPUTED_VALUE"""),"Iris Williams")</f>
        <v>Iris Williams</v>
      </c>
      <c r="R459" s="123" t="str">
        <f ca="1">IFERROR(__xludf.DUMMYFUNCTION("""COMPUTED_VALUE"""),"Micah Hsai")</f>
        <v>Micah Hsai</v>
      </c>
      <c r="S459" s="123" t="str">
        <f ca="1">IFERROR(__xludf.DUMMYFUNCTION("""COMPUTED_VALUE"""),"Esperanza Hernandez-Giblin")</f>
        <v>Esperanza Hernandez-Giblin</v>
      </c>
      <c r="T459" s="123" t="str">
        <f ca="1">IFERROR(__xludf.DUMMYFUNCTION("""COMPUTED_VALUE"""),"JJ Snyder")</f>
        <v>JJ Snyder</v>
      </c>
    </row>
    <row r="460" spans="1:20" ht="13.8">
      <c r="A460" s="118" t="str">
        <f ca="1">IFERROR(__xludf.DUMMYFUNCTION("""COMPUTED_VALUE"""),"DR")</f>
        <v>DR</v>
      </c>
      <c r="B460" s="119" t="str">
        <f ca="1">IFERROR(__xludf.DUMMYFUNCTION("""COMPUTED_VALUE"""),"Silas Benson")</f>
        <v>Silas Benson</v>
      </c>
      <c r="C460" s="118">
        <f ca="1">IFERROR(__xludf.DUMMYFUNCTION("""COMPUTED_VALUE"""),9)</f>
        <v>9</v>
      </c>
      <c r="D460" s="118" t="str">
        <f ca="1">IFERROR(__xludf.DUMMYFUNCTION("""COMPUTED_VALUE"""),"B")</f>
        <v>B</v>
      </c>
      <c r="E460" s="118" t="str">
        <f ca="1">IFERROR(__xludf.DUMMYFUNCTION("""COMPUTED_VALUE"""),"F")</f>
        <v>F</v>
      </c>
      <c r="F460" s="118" t="str">
        <f ca="1">IFERROR(__xludf.DUMMYFUNCTION("""COMPUTED_VALUE"""),"J")</f>
        <v>J</v>
      </c>
      <c r="G460" s="118">
        <f ca="1">IFERROR(__xludf.DUMMYFUNCTION("""COMPUTED_VALUE"""),1)</f>
        <v>1</v>
      </c>
      <c r="H460" s="118" t="str">
        <f ca="1">IFERROR(__xludf.DUMMYFUNCTION("""COMPUTED_VALUE"""),"DR")</f>
        <v>DR</v>
      </c>
      <c r="I460" s="118">
        <f ca="1">IFERROR(__xludf.DUMMYFUNCTION("""COMPUTED_VALUE"""),5)</f>
        <v>5</v>
      </c>
      <c r="J460" s="118">
        <f ca="1">IFERROR(__xludf.DUMMYFUNCTION("""COMPUTED_VALUE"""),0)</f>
        <v>0</v>
      </c>
      <c r="K460" s="120"/>
      <c r="L460" s="121"/>
      <c r="M460" s="120"/>
      <c r="N460" s="121"/>
      <c r="O460" s="120"/>
      <c r="P460" s="122"/>
      <c r="Q460" s="123" t="str">
        <f ca="1">IFERROR(__xludf.DUMMYFUNCTION("""COMPUTED_VALUE"""),"Isabel Benavides")</f>
        <v>Isabel Benavides</v>
      </c>
      <c r="R460" s="123" t="str">
        <f ca="1">IFERROR(__xludf.DUMMYFUNCTION("""COMPUTED_VALUE"""),"Michael Barnett")</f>
        <v>Michael Barnett</v>
      </c>
      <c r="S460" s="123" t="str">
        <f ca="1">IFERROR(__xludf.DUMMYFUNCTION("""COMPUTED_VALUE"""),"Estelle Gianoli")</f>
        <v>Estelle Gianoli</v>
      </c>
      <c r="T460" s="123" t="str">
        <f ca="1">IFERROR(__xludf.DUMMYFUNCTION("""COMPUTED_VALUE"""),"Joe Clardy")</f>
        <v>Joe Clardy</v>
      </c>
    </row>
    <row r="461" spans="1:20" ht="13.8">
      <c r="A461" s="118" t="str">
        <f ca="1">IFERROR(__xludf.DUMMYFUNCTION("""COMPUTED_VALUE"""),"DR")</f>
        <v>DR</v>
      </c>
      <c r="B461" s="119" t="str">
        <f ca="1">IFERROR(__xludf.DUMMYFUNCTION("""COMPUTED_VALUE"""),"Theo Shum-Sanders")</f>
        <v>Theo Shum-Sanders</v>
      </c>
      <c r="C461" s="118">
        <f ca="1">IFERROR(__xludf.DUMMYFUNCTION("""COMPUTED_VALUE"""),7)</f>
        <v>7</v>
      </c>
      <c r="D461" s="118" t="str">
        <f ca="1">IFERROR(__xludf.DUMMYFUNCTION("""COMPUTED_VALUE"""),"B")</f>
        <v>B</v>
      </c>
      <c r="E461" s="118" t="str">
        <f ca="1">IFERROR(__xludf.DUMMYFUNCTION("""COMPUTED_VALUE"""),"F")</f>
        <v>F</v>
      </c>
      <c r="F461" s="118" t="str">
        <f ca="1">IFERROR(__xludf.DUMMYFUNCTION("""COMPUTED_VALUE"""),"J")</f>
        <v>J</v>
      </c>
      <c r="G461" s="118">
        <f ca="1">IFERROR(__xludf.DUMMYFUNCTION("""COMPUTED_VALUE"""),1)</f>
        <v>1</v>
      </c>
      <c r="H461" s="118" t="str">
        <f ca="1">IFERROR(__xludf.DUMMYFUNCTION("""COMPUTED_VALUE"""),"DR")</f>
        <v>DR</v>
      </c>
      <c r="I461" s="118">
        <f ca="1">IFERROR(__xludf.DUMMYFUNCTION("""COMPUTED_VALUE"""),5)</f>
        <v>5</v>
      </c>
      <c r="J461" s="118">
        <f ca="1">IFERROR(__xludf.DUMMYFUNCTION("""COMPUTED_VALUE"""),0)</f>
        <v>0</v>
      </c>
      <c r="K461" s="120"/>
      <c r="L461" s="121"/>
      <c r="M461" s="120"/>
      <c r="N461" s="121"/>
      <c r="O461" s="120"/>
      <c r="P461" s="122"/>
      <c r="Q461" s="123" t="str">
        <f ca="1">IFERROR(__xludf.DUMMYFUNCTION("""COMPUTED_VALUE"""),"Isabel Jacobs")</f>
        <v>Isabel Jacobs</v>
      </c>
      <c r="R461" s="123" t="str">
        <f ca="1">IFERROR(__xludf.DUMMYFUNCTION("""COMPUTED_VALUE"""),"Michael Borlinghaus")</f>
        <v>Michael Borlinghaus</v>
      </c>
      <c r="S461" s="123" t="str">
        <f ca="1">IFERROR(__xludf.DUMMYFUNCTION("""COMPUTED_VALUE"""),"Esther Dewhirst")</f>
        <v>Esther Dewhirst</v>
      </c>
      <c r="T461" s="123" t="str">
        <f ca="1">IFERROR(__xludf.DUMMYFUNCTION("""COMPUTED_VALUE"""),"Joe Mathieson")</f>
        <v>Joe Mathieson</v>
      </c>
    </row>
    <row r="462" spans="1:20" ht="13.8">
      <c r="A462" s="118" t="str">
        <f ca="1">IFERROR(__xludf.DUMMYFUNCTION("""COMPUTED_VALUE"""),"DR")</f>
        <v>DR</v>
      </c>
      <c r="B462" s="119" t="str">
        <f ca="1">IFERROR(__xludf.DUMMYFUNCTION("""COMPUTED_VALUE"""),"Thomas Scialpi")</f>
        <v>Thomas Scialpi</v>
      </c>
      <c r="C462" s="118">
        <f ca="1">IFERROR(__xludf.DUMMYFUNCTION("""COMPUTED_VALUE"""),6)</f>
        <v>6</v>
      </c>
      <c r="D462" s="118" t="str">
        <f ca="1">IFERROR(__xludf.DUMMYFUNCTION("""COMPUTED_VALUE"""),"B")</f>
        <v>B</v>
      </c>
      <c r="E462" s="118" t="str">
        <f ca="1">IFERROR(__xludf.DUMMYFUNCTION("""COMPUTED_VALUE"""),"F")</f>
        <v>F</v>
      </c>
      <c r="F462" s="118" t="str">
        <f ca="1">IFERROR(__xludf.DUMMYFUNCTION("""COMPUTED_VALUE"""),"J")</f>
        <v>J</v>
      </c>
      <c r="G462" s="118">
        <f ca="1">IFERROR(__xludf.DUMMYFUNCTION("""COMPUTED_VALUE"""),1)</f>
        <v>1</v>
      </c>
      <c r="H462" s="118" t="str">
        <f ca="1">IFERROR(__xludf.DUMMYFUNCTION("""COMPUTED_VALUE"""),"DR")</f>
        <v>DR</v>
      </c>
      <c r="I462" s="118">
        <f ca="1">IFERROR(__xludf.DUMMYFUNCTION("""COMPUTED_VALUE"""),5)</f>
        <v>5</v>
      </c>
      <c r="J462" s="118">
        <f ca="1">IFERROR(__xludf.DUMMYFUNCTION("""COMPUTED_VALUE"""),0)</f>
        <v>0</v>
      </c>
      <c r="K462" s="120"/>
      <c r="L462" s="121"/>
      <c r="M462" s="120"/>
      <c r="N462" s="121"/>
      <c r="O462" s="120"/>
      <c r="P462" s="122"/>
      <c r="Q462" s="123" t="str">
        <f ca="1">IFERROR(__xludf.DUMMYFUNCTION("""COMPUTED_VALUE"""),"Isabella Falsone")</f>
        <v>Isabella Falsone</v>
      </c>
      <c r="R462" s="123" t="str">
        <f ca="1">IFERROR(__xludf.DUMMYFUNCTION("""COMPUTED_VALUE"""),"Michael Bui")</f>
        <v>Michael Bui</v>
      </c>
      <c r="S462" s="123" t="str">
        <f ca="1">IFERROR(__xludf.DUMMYFUNCTION("""COMPUTED_VALUE"""),"Esther Nobles")</f>
        <v>Esther Nobles</v>
      </c>
      <c r="T462" s="123" t="str">
        <f ca="1">IFERROR(__xludf.DUMMYFUNCTION("""COMPUTED_VALUE"""),"Joey Liller")</f>
        <v>Joey Liller</v>
      </c>
    </row>
    <row r="463" spans="1:20" ht="13.8">
      <c r="A463" s="118" t="str">
        <f ca="1">IFERROR(__xludf.DUMMYFUNCTION("""COMPUTED_VALUE"""),"DR")</f>
        <v>DR</v>
      </c>
      <c r="B463" s="119" t="str">
        <f ca="1">IFERROR(__xludf.DUMMYFUNCTION("""COMPUTED_VALUE"""),"Tripp Simms")</f>
        <v>Tripp Simms</v>
      </c>
      <c r="C463" s="118">
        <f ca="1">IFERROR(__xludf.DUMMYFUNCTION("""COMPUTED_VALUE"""),9)</f>
        <v>9</v>
      </c>
      <c r="D463" s="118" t="str">
        <f ca="1">IFERROR(__xludf.DUMMYFUNCTION("""COMPUTED_VALUE"""),"B")</f>
        <v>B</v>
      </c>
      <c r="E463" s="118" t="str">
        <f ca="1">IFERROR(__xludf.DUMMYFUNCTION("""COMPUTED_VALUE"""),"F")</f>
        <v>F</v>
      </c>
      <c r="F463" s="118" t="str">
        <f ca="1">IFERROR(__xludf.DUMMYFUNCTION("""COMPUTED_VALUE"""),"J")</f>
        <v>J</v>
      </c>
      <c r="G463" s="118">
        <f ca="1">IFERROR(__xludf.DUMMYFUNCTION("""COMPUTED_VALUE"""),1)</f>
        <v>1</v>
      </c>
      <c r="H463" s="118" t="str">
        <f ca="1">IFERROR(__xludf.DUMMYFUNCTION("""COMPUTED_VALUE"""),"DR")</f>
        <v>DR</v>
      </c>
      <c r="I463" s="118">
        <f ca="1">IFERROR(__xludf.DUMMYFUNCTION("""COMPUTED_VALUE"""),5)</f>
        <v>5</v>
      </c>
      <c r="J463" s="118">
        <f ca="1">IFERROR(__xludf.DUMMYFUNCTION("""COMPUTED_VALUE"""),3)</f>
        <v>3</v>
      </c>
      <c r="K463" s="120">
        <f ca="1">IFERROR(__xludf.DUMMYFUNCTION("""COMPUTED_VALUE"""),52.85)</f>
        <v>52.85</v>
      </c>
      <c r="L463" s="121"/>
      <c r="M463" s="120"/>
      <c r="N463" s="121"/>
      <c r="O463" s="120"/>
      <c r="P463" s="122"/>
      <c r="Q463" s="123" t="str">
        <f ca="1">IFERROR(__xludf.DUMMYFUNCTION("""COMPUTED_VALUE"""),"Isabelle Dixey")</f>
        <v>Isabelle Dixey</v>
      </c>
      <c r="R463" s="123" t="str">
        <f ca="1">IFERROR(__xludf.DUMMYFUNCTION("""COMPUTED_VALUE"""),"Michael Commette")</f>
        <v>Michael Commette</v>
      </c>
      <c r="S463" s="123" t="str">
        <f ca="1">IFERROR(__xludf.DUMMYFUNCTION("""COMPUTED_VALUE"""),"Etain Heron")</f>
        <v>Etain Heron</v>
      </c>
      <c r="T463" s="123" t="str">
        <f ca="1">IFERROR(__xludf.DUMMYFUNCTION("""COMPUTED_VALUE"""),"Joey Ogrodny")</f>
        <v>Joey Ogrodny</v>
      </c>
    </row>
    <row r="464" spans="1:20" ht="13.8">
      <c r="A464" s="118" t="str">
        <f ca="1">IFERROR(__xludf.DUMMYFUNCTION("""COMPUTED_VALUE"""),"DR")</f>
        <v>DR</v>
      </c>
      <c r="B464" s="119" t="str">
        <f ca="1">IFERROR(__xludf.DUMMYFUNCTION("""COMPUTED_VALUE"""),"Will McCool")</f>
        <v>Will McCool</v>
      </c>
      <c r="C464" s="118">
        <f ca="1">IFERROR(__xludf.DUMMYFUNCTION("""COMPUTED_VALUE"""),10)</f>
        <v>10</v>
      </c>
      <c r="D464" s="118" t="str">
        <f ca="1">IFERROR(__xludf.DUMMYFUNCTION("""COMPUTED_VALUE"""),"B")</f>
        <v>B</v>
      </c>
      <c r="E464" s="118" t="str">
        <f ca="1">IFERROR(__xludf.DUMMYFUNCTION("""COMPUTED_VALUE"""),"F")</f>
        <v>F</v>
      </c>
      <c r="F464" s="118" t="str">
        <f ca="1">IFERROR(__xludf.DUMMYFUNCTION("""COMPUTED_VALUE"""),"J")</f>
        <v>J</v>
      </c>
      <c r="G464" s="118">
        <f ca="1">IFERROR(__xludf.DUMMYFUNCTION("""COMPUTED_VALUE"""),1)</f>
        <v>1</v>
      </c>
      <c r="H464" s="118" t="str">
        <f ca="1">IFERROR(__xludf.DUMMYFUNCTION("""COMPUTED_VALUE"""),"DR")</f>
        <v>DR</v>
      </c>
      <c r="I464" s="118">
        <f ca="1">IFERROR(__xludf.DUMMYFUNCTION("""COMPUTED_VALUE"""),5)</f>
        <v>5</v>
      </c>
      <c r="J464" s="118">
        <f ca="1">IFERROR(__xludf.DUMMYFUNCTION("""COMPUTED_VALUE"""),5)</f>
        <v>5</v>
      </c>
      <c r="K464" s="120">
        <f ca="1">IFERROR(__xludf.DUMMYFUNCTION("""COMPUTED_VALUE"""),83.25)</f>
        <v>83.25</v>
      </c>
      <c r="L464" s="121"/>
      <c r="M464" s="120">
        <f ca="1">IFERROR(__xludf.DUMMYFUNCTION("""COMPUTED_VALUE"""),75.65)</f>
        <v>75.650000000000006</v>
      </c>
      <c r="N464" s="121"/>
      <c r="O464" s="120">
        <f ca="1">IFERROR(__xludf.DUMMYFUNCTION("""COMPUTED_VALUE"""),73.4)</f>
        <v>73.400000000000006</v>
      </c>
      <c r="P464" s="122"/>
      <c r="Q464" s="123" t="str">
        <f ca="1">IFERROR(__xludf.DUMMYFUNCTION("""COMPUTED_VALUE"""),"Isabelle Hoover")</f>
        <v>Isabelle Hoover</v>
      </c>
      <c r="R464" s="123" t="str">
        <f ca="1">IFERROR(__xludf.DUMMYFUNCTION("""COMPUTED_VALUE"""),"Michael Demas")</f>
        <v>Michael Demas</v>
      </c>
      <c r="S464" s="123" t="str">
        <f ca="1">IFERROR(__xludf.DUMMYFUNCTION("""COMPUTED_VALUE"""),"Eva Buonforte")</f>
        <v>Eva Buonforte</v>
      </c>
      <c r="T464" s="123" t="str">
        <f ca="1">IFERROR(__xludf.DUMMYFUNCTION("""COMPUTED_VALUE"""),"John Ahern")</f>
        <v>John Ahern</v>
      </c>
    </row>
    <row r="465" spans="1:20" ht="13.8">
      <c r="A465" s="118" t="str">
        <f ca="1">IFERROR(__xludf.DUMMYFUNCTION("""COMPUTED_VALUE"""),"DR")</f>
        <v>DR</v>
      </c>
      <c r="B465" s="119" t="str">
        <f ca="1">IFERROR(__xludf.DUMMYFUNCTION("""COMPUTED_VALUE"""),"Alex Klimek")</f>
        <v>Alex Klimek</v>
      </c>
      <c r="C465" s="118">
        <f ca="1">IFERROR(__xludf.DUMMYFUNCTION("""COMPUTED_VALUE"""),11)</f>
        <v>11</v>
      </c>
      <c r="D465" s="118" t="str">
        <f ca="1">IFERROR(__xludf.DUMMYFUNCTION("""COMPUTED_VALUE"""),"G")</f>
        <v>G</v>
      </c>
      <c r="E465" s="118" t="str">
        <f ca="1">IFERROR(__xludf.DUMMYFUNCTION("""COMPUTED_VALUE"""),"J")</f>
        <v>J</v>
      </c>
      <c r="F465" s="118" t="str">
        <f ca="1">IFERROR(__xludf.DUMMYFUNCTION("""COMPUTED_VALUE"""),"I")</f>
        <v>I</v>
      </c>
      <c r="G465" s="118">
        <f ca="1">IFERROR(__xludf.DUMMYFUNCTION("""COMPUTED_VALUE"""),1)</f>
        <v>1</v>
      </c>
      <c r="H465" s="118" t="str">
        <f ca="1">IFERROR(__xludf.DUMMYFUNCTION("""COMPUTED_VALUE"""),"DR")</f>
        <v>DR</v>
      </c>
      <c r="I465" s="118">
        <f ca="1">IFERROR(__xludf.DUMMYFUNCTION("""COMPUTED_VALUE"""),6)</f>
        <v>6</v>
      </c>
      <c r="J465" s="118">
        <f ca="1">IFERROR(__xludf.DUMMYFUNCTION("""COMPUTED_VALUE"""),5)</f>
        <v>5</v>
      </c>
      <c r="K465" s="120">
        <f ca="1">IFERROR(__xludf.DUMMYFUNCTION("""COMPUTED_VALUE"""),130.95)</f>
        <v>130.94999999999999</v>
      </c>
      <c r="L465" s="121"/>
      <c r="M465" s="120">
        <f ca="1">IFERROR(__xludf.DUMMYFUNCTION("""COMPUTED_VALUE"""),89.6)</f>
        <v>89.6</v>
      </c>
      <c r="N465" s="121"/>
      <c r="O465" s="120">
        <f ca="1">IFERROR(__xludf.DUMMYFUNCTION("""COMPUTED_VALUE"""),102.35)</f>
        <v>102.35</v>
      </c>
      <c r="P465" s="122"/>
      <c r="Q465" s="123" t="str">
        <f ca="1">IFERROR(__xludf.DUMMYFUNCTION("""COMPUTED_VALUE"""),"Isabelle Willett")</f>
        <v>Isabelle Willett</v>
      </c>
      <c r="R465" s="123" t="str">
        <f ca="1">IFERROR(__xludf.DUMMYFUNCTION("""COMPUTED_VALUE"""),"Michael Moss")</f>
        <v>Michael Moss</v>
      </c>
      <c r="S465" s="123" t="str">
        <f ca="1">IFERROR(__xludf.DUMMYFUNCTION("""COMPUTED_VALUE"""),"Eva Negrelli")</f>
        <v>Eva Negrelli</v>
      </c>
      <c r="T465" s="123" t="str">
        <f ca="1">IFERROR(__xludf.DUMMYFUNCTION("""COMPUTED_VALUE"""),"John Bentson")</f>
        <v>John Bentson</v>
      </c>
    </row>
    <row r="466" spans="1:20" ht="13.8">
      <c r="A466" s="118" t="str">
        <f ca="1">IFERROR(__xludf.DUMMYFUNCTION("""COMPUTED_VALUE"""),"DR")</f>
        <v>DR</v>
      </c>
      <c r="B466" s="119" t="str">
        <f ca="1">IFERROR(__xludf.DUMMYFUNCTION("""COMPUTED_VALUE"""),"Amelia Rigoli")</f>
        <v>Amelia Rigoli</v>
      </c>
      <c r="C466" s="118">
        <f ca="1">IFERROR(__xludf.DUMMYFUNCTION("""COMPUTED_VALUE"""),12)</f>
        <v>12</v>
      </c>
      <c r="D466" s="118" t="str">
        <f ca="1">IFERROR(__xludf.DUMMYFUNCTION("""COMPUTED_VALUE"""),"G")</f>
        <v>G</v>
      </c>
      <c r="E466" s="118" t="str">
        <f ca="1">IFERROR(__xludf.DUMMYFUNCTION("""COMPUTED_VALUE"""),"J")</f>
        <v>J</v>
      </c>
      <c r="F466" s="118" t="str">
        <f ca="1">IFERROR(__xludf.DUMMYFUNCTION("""COMPUTED_VALUE"""),"I")</f>
        <v>I</v>
      </c>
      <c r="G466" s="118">
        <f ca="1">IFERROR(__xludf.DUMMYFUNCTION("""COMPUTED_VALUE"""),1)</f>
        <v>1</v>
      </c>
      <c r="H466" s="118" t="str">
        <f ca="1">IFERROR(__xludf.DUMMYFUNCTION("""COMPUTED_VALUE"""),"DR")</f>
        <v>DR</v>
      </c>
      <c r="I466" s="118">
        <f ca="1">IFERROR(__xludf.DUMMYFUNCTION("""COMPUTED_VALUE"""),6)</f>
        <v>6</v>
      </c>
      <c r="J466" s="118">
        <f ca="1">IFERROR(__xludf.DUMMYFUNCTION("""COMPUTED_VALUE"""),0)</f>
        <v>0</v>
      </c>
      <c r="K466" s="120"/>
      <c r="L466" s="121"/>
      <c r="M466" s="120"/>
      <c r="N466" s="121"/>
      <c r="O466" s="120"/>
      <c r="P466" s="122"/>
      <c r="Q466" s="123" t="str">
        <f ca="1">IFERROR(__xludf.DUMMYFUNCTION("""COMPUTED_VALUE"""),"Isla Cannon")</f>
        <v>Isla Cannon</v>
      </c>
      <c r="R466" s="123" t="str">
        <f ca="1">IFERROR(__xludf.DUMMYFUNCTION("""COMPUTED_VALUE"""),"Michael Tabrizi")</f>
        <v>Michael Tabrizi</v>
      </c>
      <c r="S466" s="123" t="str">
        <f ca="1">IFERROR(__xludf.DUMMYFUNCTION("""COMPUTED_VALUE"""),"Eva Pereira")</f>
        <v>Eva Pereira</v>
      </c>
      <c r="T466" s="123" t="str">
        <f ca="1">IFERROR(__xludf.DUMMYFUNCTION("""COMPUTED_VALUE"""),"John Berik")</f>
        <v>John Berik</v>
      </c>
    </row>
    <row r="467" spans="1:20" ht="13.8">
      <c r="A467" s="118" t="str">
        <f ca="1">IFERROR(__xludf.DUMMYFUNCTION("""COMPUTED_VALUE"""),"DR")</f>
        <v>DR</v>
      </c>
      <c r="B467" s="119" t="str">
        <f ca="1">IFERROR(__xludf.DUMMYFUNCTION("""COMPUTED_VALUE"""),"Ivy Thompson")</f>
        <v>Ivy Thompson</v>
      </c>
      <c r="C467" s="118">
        <f ca="1">IFERROR(__xludf.DUMMYFUNCTION("""COMPUTED_VALUE"""),11)</f>
        <v>11</v>
      </c>
      <c r="D467" s="118" t="str">
        <f ca="1">IFERROR(__xludf.DUMMYFUNCTION("""COMPUTED_VALUE"""),"G")</f>
        <v>G</v>
      </c>
      <c r="E467" s="118" t="str">
        <f ca="1">IFERROR(__xludf.DUMMYFUNCTION("""COMPUTED_VALUE"""),"J")</f>
        <v>J</v>
      </c>
      <c r="F467" s="118" t="str">
        <f ca="1">IFERROR(__xludf.DUMMYFUNCTION("""COMPUTED_VALUE"""),"I")</f>
        <v>I</v>
      </c>
      <c r="G467" s="118">
        <f ca="1">IFERROR(__xludf.DUMMYFUNCTION("""COMPUTED_VALUE"""),1)</f>
        <v>1</v>
      </c>
      <c r="H467" s="118" t="str">
        <f ca="1">IFERROR(__xludf.DUMMYFUNCTION("""COMPUTED_VALUE"""),"DR")</f>
        <v>DR</v>
      </c>
      <c r="I467" s="118">
        <f ca="1">IFERROR(__xludf.DUMMYFUNCTION("""COMPUTED_VALUE"""),6)</f>
        <v>6</v>
      </c>
      <c r="J467" s="118">
        <f ca="1">IFERROR(__xludf.DUMMYFUNCTION("""COMPUTED_VALUE"""),4)</f>
        <v>4</v>
      </c>
      <c r="K467" s="120">
        <f ca="1">IFERROR(__xludf.DUMMYFUNCTION("""COMPUTED_VALUE"""),99.75)</f>
        <v>99.75</v>
      </c>
      <c r="L467" s="121"/>
      <c r="M467" s="120">
        <f ca="1">IFERROR(__xludf.DUMMYFUNCTION("""COMPUTED_VALUE"""),85)</f>
        <v>85</v>
      </c>
      <c r="N467" s="121"/>
      <c r="O467" s="120">
        <f ca="1">IFERROR(__xludf.DUMMYFUNCTION("""COMPUTED_VALUE"""),87.75)</f>
        <v>87.75</v>
      </c>
      <c r="P467" s="122"/>
      <c r="Q467" s="123" t="str">
        <f ca="1">IFERROR(__xludf.DUMMYFUNCTION("""COMPUTED_VALUE"""),"Isla Curry")</f>
        <v>Isla Curry</v>
      </c>
      <c r="R467" s="123" t="str">
        <f ca="1">IFERROR(__xludf.DUMMYFUNCTION("""COMPUTED_VALUE"""),"Michael Walsh")</f>
        <v>Michael Walsh</v>
      </c>
      <c r="S467" s="123" t="str">
        <f ca="1">IFERROR(__xludf.DUMMYFUNCTION("""COMPUTED_VALUE"""),"Eva Schwenzer")</f>
        <v>Eva Schwenzer</v>
      </c>
      <c r="T467" s="123" t="str">
        <f ca="1">IFERROR(__xludf.DUMMYFUNCTION("""COMPUTED_VALUE"""),"John Burns")</f>
        <v>John Burns</v>
      </c>
    </row>
    <row r="468" spans="1:20" ht="13.8">
      <c r="A468" s="118" t="str">
        <f ca="1">IFERROR(__xludf.DUMMYFUNCTION("""COMPUTED_VALUE"""),"DR")</f>
        <v>DR</v>
      </c>
      <c r="B468" s="119" t="str">
        <f ca="1">IFERROR(__xludf.DUMMYFUNCTION("""COMPUTED_VALUE"""),"Jules Olsen")</f>
        <v>Jules Olsen</v>
      </c>
      <c r="C468" s="118">
        <f ca="1">IFERROR(__xludf.DUMMYFUNCTION("""COMPUTED_VALUE"""),11)</f>
        <v>11</v>
      </c>
      <c r="D468" s="118" t="str">
        <f ca="1">IFERROR(__xludf.DUMMYFUNCTION("""COMPUTED_VALUE"""),"G")</f>
        <v>G</v>
      </c>
      <c r="E468" s="118" t="str">
        <f ca="1">IFERROR(__xludf.DUMMYFUNCTION("""COMPUTED_VALUE"""),"J")</f>
        <v>J</v>
      </c>
      <c r="F468" s="118" t="str">
        <f ca="1">IFERROR(__xludf.DUMMYFUNCTION("""COMPUTED_VALUE"""),"I")</f>
        <v>I</v>
      </c>
      <c r="G468" s="118">
        <f ca="1">IFERROR(__xludf.DUMMYFUNCTION("""COMPUTED_VALUE"""),1)</f>
        <v>1</v>
      </c>
      <c r="H468" s="118" t="str">
        <f ca="1">IFERROR(__xludf.DUMMYFUNCTION("""COMPUTED_VALUE"""),"DR")</f>
        <v>DR</v>
      </c>
      <c r="I468" s="118">
        <f ca="1">IFERROR(__xludf.DUMMYFUNCTION("""COMPUTED_VALUE"""),6)</f>
        <v>6</v>
      </c>
      <c r="J468" s="118">
        <f ca="1">IFERROR(__xludf.DUMMYFUNCTION("""COMPUTED_VALUE"""),4)</f>
        <v>4</v>
      </c>
      <c r="K468" s="120">
        <f ca="1">IFERROR(__xludf.DUMMYFUNCTION("""COMPUTED_VALUE"""),92.65)</f>
        <v>92.65</v>
      </c>
      <c r="L468" s="121"/>
      <c r="M468" s="120">
        <f ca="1">IFERROR(__xludf.DUMMYFUNCTION("""COMPUTED_VALUE"""),73.7)</f>
        <v>73.7</v>
      </c>
      <c r="N468" s="121"/>
      <c r="O468" s="120">
        <f ca="1">IFERROR(__xludf.DUMMYFUNCTION("""COMPUTED_VALUE"""),56.7)</f>
        <v>56.7</v>
      </c>
      <c r="P468" s="122"/>
      <c r="Q468" s="123" t="str">
        <f ca="1">IFERROR(__xludf.DUMMYFUNCTION("""COMPUTED_VALUE"""),"Isla Newsad")</f>
        <v>Isla Newsad</v>
      </c>
      <c r="R468" s="123" t="str">
        <f ca="1">IFERROR(__xludf.DUMMYFUNCTION("""COMPUTED_VALUE"""),"Michael Warner")</f>
        <v>Michael Warner</v>
      </c>
      <c r="S468" s="123" t="str">
        <f ca="1">IFERROR(__xludf.DUMMYFUNCTION("""COMPUTED_VALUE"""),"Evah Pho")</f>
        <v>Evah Pho</v>
      </c>
      <c r="T468" s="123" t="str">
        <f ca="1">IFERROR(__xludf.DUMMYFUNCTION("""COMPUTED_VALUE"""),"John McKenzie")</f>
        <v>John McKenzie</v>
      </c>
    </row>
    <row r="469" spans="1:20" ht="13.8">
      <c r="A469" s="118" t="str">
        <f ca="1">IFERROR(__xludf.DUMMYFUNCTION("""COMPUTED_VALUE"""),"DR")</f>
        <v>DR</v>
      </c>
      <c r="B469" s="119" t="str">
        <f ca="1">IFERROR(__xludf.DUMMYFUNCTION("""COMPUTED_VALUE"""),"Kate Freeze")</f>
        <v>Kate Freeze</v>
      </c>
      <c r="C469" s="118">
        <f ca="1">IFERROR(__xludf.DUMMYFUNCTION("""COMPUTED_VALUE"""),11)</f>
        <v>11</v>
      </c>
      <c r="D469" s="118" t="str">
        <f ca="1">IFERROR(__xludf.DUMMYFUNCTION("""COMPUTED_VALUE"""),"G")</f>
        <v>G</v>
      </c>
      <c r="E469" s="118" t="str">
        <f ca="1">IFERROR(__xludf.DUMMYFUNCTION("""COMPUTED_VALUE"""),"J")</f>
        <v>J</v>
      </c>
      <c r="F469" s="118" t="str">
        <f ca="1">IFERROR(__xludf.DUMMYFUNCTION("""COMPUTED_VALUE"""),"I")</f>
        <v>I</v>
      </c>
      <c r="G469" s="118">
        <f ca="1">IFERROR(__xludf.DUMMYFUNCTION("""COMPUTED_VALUE"""),1)</f>
        <v>1</v>
      </c>
      <c r="H469" s="118" t="str">
        <f ca="1">IFERROR(__xludf.DUMMYFUNCTION("""COMPUTED_VALUE"""),"DR")</f>
        <v>DR</v>
      </c>
      <c r="I469" s="118">
        <f ca="1">IFERROR(__xludf.DUMMYFUNCTION("""COMPUTED_VALUE"""),6)</f>
        <v>6</v>
      </c>
      <c r="J469" s="118">
        <f ca="1">IFERROR(__xludf.DUMMYFUNCTION("""COMPUTED_VALUE"""),0)</f>
        <v>0</v>
      </c>
      <c r="K469" s="120"/>
      <c r="L469" s="121"/>
      <c r="M469" s="120"/>
      <c r="N469" s="121"/>
      <c r="O469" s="120"/>
      <c r="P469" s="122"/>
      <c r="Q469" s="123" t="str">
        <f ca="1">IFERROR(__xludf.DUMMYFUNCTION("""COMPUTED_VALUE"""),"Isla Powers")</f>
        <v>Isla Powers</v>
      </c>
      <c r="R469" s="123" t="str">
        <f ca="1">IFERROR(__xludf.DUMMYFUNCTION("""COMPUTED_VALUE"""),"Miles Hacker")</f>
        <v>Miles Hacker</v>
      </c>
      <c r="S469" s="123" t="str">
        <f ca="1">IFERROR(__xludf.DUMMYFUNCTION("""COMPUTED_VALUE"""),"Evan Ringle")</f>
        <v>Evan Ringle</v>
      </c>
      <c r="T469" s="123" t="str">
        <f ca="1">IFERROR(__xludf.DUMMYFUNCTION("""COMPUTED_VALUE"""),"John Nguyen")</f>
        <v>John Nguyen</v>
      </c>
    </row>
    <row r="470" spans="1:20" ht="13.8">
      <c r="A470" s="118" t="str">
        <f ca="1">IFERROR(__xludf.DUMMYFUNCTION("""COMPUTED_VALUE"""),"DR")</f>
        <v>DR</v>
      </c>
      <c r="B470" s="119" t="str">
        <f ca="1">IFERROR(__xludf.DUMMYFUNCTION("""COMPUTED_VALUE"""),"Leah Thoman")</f>
        <v>Leah Thoman</v>
      </c>
      <c r="C470" s="118">
        <f ca="1">IFERROR(__xludf.DUMMYFUNCTION("""COMPUTED_VALUE"""),12)</f>
        <v>12</v>
      </c>
      <c r="D470" s="118" t="str">
        <f ca="1">IFERROR(__xludf.DUMMYFUNCTION("""COMPUTED_VALUE"""),"G")</f>
        <v>G</v>
      </c>
      <c r="E470" s="118" t="str">
        <f ca="1">IFERROR(__xludf.DUMMYFUNCTION("""COMPUTED_VALUE"""),"J")</f>
        <v>J</v>
      </c>
      <c r="F470" s="118" t="str">
        <f ca="1">IFERROR(__xludf.DUMMYFUNCTION("""COMPUTED_VALUE"""),"I")</f>
        <v>I</v>
      </c>
      <c r="G470" s="118">
        <f ca="1">IFERROR(__xludf.DUMMYFUNCTION("""COMPUTED_VALUE"""),1)</f>
        <v>1</v>
      </c>
      <c r="H470" s="118" t="str">
        <f ca="1">IFERROR(__xludf.DUMMYFUNCTION("""COMPUTED_VALUE"""),"DR")</f>
        <v>DR</v>
      </c>
      <c r="I470" s="118">
        <f ca="1">IFERROR(__xludf.DUMMYFUNCTION("""COMPUTED_VALUE"""),6)</f>
        <v>6</v>
      </c>
      <c r="J470" s="118">
        <f ca="1">IFERROR(__xludf.DUMMYFUNCTION("""COMPUTED_VALUE"""),0)</f>
        <v>0</v>
      </c>
      <c r="K470" s="120"/>
      <c r="L470" s="121"/>
      <c r="M470" s="120"/>
      <c r="N470" s="121"/>
      <c r="O470" s="120"/>
      <c r="P470" s="122"/>
      <c r="Q470" s="123" t="str">
        <f ca="1">IFERROR(__xludf.DUMMYFUNCTION("""COMPUTED_VALUE"""),"Isla-Kate Reese")</f>
        <v>Isla-Kate Reese</v>
      </c>
      <c r="R470" s="123" t="str">
        <f ca="1">IFERROR(__xludf.DUMMYFUNCTION("""COMPUTED_VALUE"""),"Miles McWilliams")</f>
        <v>Miles McWilliams</v>
      </c>
      <c r="S470" s="123" t="str">
        <f ca="1">IFERROR(__xludf.DUMMYFUNCTION("""COMPUTED_VALUE"""),"Evangeline Thome")</f>
        <v>Evangeline Thome</v>
      </c>
      <c r="T470" s="123" t="str">
        <f ca="1">IFERROR(__xludf.DUMMYFUNCTION("""COMPUTED_VALUE"""),"John Raber")</f>
        <v>John Raber</v>
      </c>
    </row>
    <row r="471" spans="1:20" ht="13.8">
      <c r="A471" s="118" t="str">
        <f ca="1">IFERROR(__xludf.DUMMYFUNCTION("""COMPUTED_VALUE"""),"DR")</f>
        <v>DR</v>
      </c>
      <c r="B471" s="119" t="str">
        <f ca="1">IFERROR(__xludf.DUMMYFUNCTION("""COMPUTED_VALUE"""),"Lily Klein")</f>
        <v>Lily Klein</v>
      </c>
      <c r="C471" s="118">
        <f ca="1">IFERROR(__xludf.DUMMYFUNCTION("""COMPUTED_VALUE"""),12)</f>
        <v>12</v>
      </c>
      <c r="D471" s="118" t="str">
        <f ca="1">IFERROR(__xludf.DUMMYFUNCTION("""COMPUTED_VALUE"""),"G")</f>
        <v>G</v>
      </c>
      <c r="E471" s="118" t="str">
        <f ca="1">IFERROR(__xludf.DUMMYFUNCTION("""COMPUTED_VALUE"""),"J")</f>
        <v>J</v>
      </c>
      <c r="F471" s="118" t="str">
        <f ca="1">IFERROR(__xludf.DUMMYFUNCTION("""COMPUTED_VALUE"""),"I")</f>
        <v>I</v>
      </c>
      <c r="G471" s="118">
        <f ca="1">IFERROR(__xludf.DUMMYFUNCTION("""COMPUTED_VALUE"""),1)</f>
        <v>1</v>
      </c>
      <c r="H471" s="118" t="str">
        <f ca="1">IFERROR(__xludf.DUMMYFUNCTION("""COMPUTED_VALUE"""),"DR")</f>
        <v>DR</v>
      </c>
      <c r="I471" s="118">
        <f ca="1">IFERROR(__xludf.DUMMYFUNCTION("""COMPUTED_VALUE"""),6)</f>
        <v>6</v>
      </c>
      <c r="J471" s="118">
        <f ca="1">IFERROR(__xludf.DUMMYFUNCTION("""COMPUTED_VALUE"""),5)</f>
        <v>5</v>
      </c>
      <c r="K471" s="120">
        <f ca="1">IFERROR(__xludf.DUMMYFUNCTION("""COMPUTED_VALUE"""),-132.55)</f>
        <v>-132.55000000000001</v>
      </c>
      <c r="L471" s="121"/>
      <c r="M471" s="120">
        <f ca="1">IFERROR(__xludf.DUMMYFUNCTION("""COMPUTED_VALUE"""),-156.75)</f>
        <v>-156.75</v>
      </c>
      <c r="N471" s="121"/>
      <c r="O471" s="120">
        <f ca="1">IFERROR(__xludf.DUMMYFUNCTION("""COMPUTED_VALUE"""),-132.55)</f>
        <v>-132.55000000000001</v>
      </c>
      <c r="P471" s="122"/>
      <c r="Q471" s="123" t="str">
        <f ca="1">IFERROR(__xludf.DUMMYFUNCTION("""COMPUTED_VALUE"""),"Ivy Rasmussen")</f>
        <v>Ivy Rasmussen</v>
      </c>
      <c r="R471" s="123" t="str">
        <f ca="1">IFERROR(__xludf.DUMMYFUNCTION("""COMPUTED_VALUE"""),"Miller Supple")</f>
        <v>Miller Supple</v>
      </c>
      <c r="S471" s="123" t="str">
        <f ca="1">IFERROR(__xludf.DUMMYFUNCTION("""COMPUTED_VALUE"""),"Evelyn Banko")</f>
        <v>Evelyn Banko</v>
      </c>
      <c r="T471" s="123" t="str">
        <f ca="1">IFERROR(__xludf.DUMMYFUNCTION("""COMPUTED_VALUE"""),"John Richard")</f>
        <v>John Richard</v>
      </c>
    </row>
    <row r="472" spans="1:20" ht="13.8">
      <c r="A472" s="118" t="str">
        <f ca="1">IFERROR(__xludf.DUMMYFUNCTION("""COMPUTED_VALUE"""),"DR")</f>
        <v>DR</v>
      </c>
      <c r="B472" s="119" t="str">
        <f ca="1">IFERROR(__xludf.DUMMYFUNCTION("""COMPUTED_VALUE"""),"Livy Jane Abbey")</f>
        <v>Livy Jane Abbey</v>
      </c>
      <c r="C472" s="118">
        <f ca="1">IFERROR(__xludf.DUMMYFUNCTION("""COMPUTED_VALUE"""),11)</f>
        <v>11</v>
      </c>
      <c r="D472" s="118" t="str">
        <f ca="1">IFERROR(__xludf.DUMMYFUNCTION("""COMPUTED_VALUE"""),"G")</f>
        <v>G</v>
      </c>
      <c r="E472" s="118" t="str">
        <f ca="1">IFERROR(__xludf.DUMMYFUNCTION("""COMPUTED_VALUE"""),"J")</f>
        <v>J</v>
      </c>
      <c r="F472" s="118" t="str">
        <f ca="1">IFERROR(__xludf.DUMMYFUNCTION("""COMPUTED_VALUE"""),"I")</f>
        <v>I</v>
      </c>
      <c r="G472" s="118">
        <f ca="1">IFERROR(__xludf.DUMMYFUNCTION("""COMPUTED_VALUE"""),1)</f>
        <v>1</v>
      </c>
      <c r="H472" s="118" t="str">
        <f ca="1">IFERROR(__xludf.DUMMYFUNCTION("""COMPUTED_VALUE"""),"DR")</f>
        <v>DR</v>
      </c>
      <c r="I472" s="118">
        <f ca="1">IFERROR(__xludf.DUMMYFUNCTION("""COMPUTED_VALUE"""),6)</f>
        <v>6</v>
      </c>
      <c r="J472" s="118">
        <f ca="1">IFERROR(__xludf.DUMMYFUNCTION("""COMPUTED_VALUE"""),0)</f>
        <v>0</v>
      </c>
      <c r="K472" s="120"/>
      <c r="L472" s="121"/>
      <c r="M472" s="120"/>
      <c r="N472" s="121"/>
      <c r="O472" s="120"/>
      <c r="P472" s="122"/>
      <c r="Q472" s="123" t="str">
        <f ca="1">IFERROR(__xludf.DUMMYFUNCTION("""COMPUTED_VALUE"""),"Ivy Thompson")</f>
        <v>Ivy Thompson</v>
      </c>
      <c r="R472" s="123" t="str">
        <f ca="1">IFERROR(__xludf.DUMMYFUNCTION("""COMPUTED_VALUE"""),"MJ Whitecar")</f>
        <v>MJ Whitecar</v>
      </c>
      <c r="S472" s="123" t="str">
        <f ca="1">IFERROR(__xludf.DUMMYFUNCTION("""COMPUTED_VALUE"""),"Evelyn Emmert")</f>
        <v>Evelyn Emmert</v>
      </c>
      <c r="T472" s="123" t="str">
        <f ca="1">IFERROR(__xludf.DUMMYFUNCTION("""COMPUTED_VALUE"""),"John Tarr")</f>
        <v>John Tarr</v>
      </c>
    </row>
    <row r="473" spans="1:20" ht="13.8">
      <c r="A473" s="118" t="str">
        <f ca="1">IFERROR(__xludf.DUMMYFUNCTION("""COMPUTED_VALUE"""),"DR")</f>
        <v>DR</v>
      </c>
      <c r="B473" s="119" t="str">
        <f ca="1">IFERROR(__xludf.DUMMYFUNCTION("""COMPUTED_VALUE"""),"Pippa Chin-Fatt")</f>
        <v>Pippa Chin-Fatt</v>
      </c>
      <c r="C473" s="118">
        <f ca="1">IFERROR(__xludf.DUMMYFUNCTION("""COMPUTED_VALUE"""),11)</f>
        <v>11</v>
      </c>
      <c r="D473" s="118" t="str">
        <f ca="1">IFERROR(__xludf.DUMMYFUNCTION("""COMPUTED_VALUE"""),"G")</f>
        <v>G</v>
      </c>
      <c r="E473" s="118" t="str">
        <f ca="1">IFERROR(__xludf.DUMMYFUNCTION("""COMPUTED_VALUE"""),"J")</f>
        <v>J</v>
      </c>
      <c r="F473" s="118" t="str">
        <f ca="1">IFERROR(__xludf.DUMMYFUNCTION("""COMPUTED_VALUE"""),"I")</f>
        <v>I</v>
      </c>
      <c r="G473" s="118">
        <f ca="1">IFERROR(__xludf.DUMMYFUNCTION("""COMPUTED_VALUE"""),1)</f>
        <v>1</v>
      </c>
      <c r="H473" s="118" t="str">
        <f ca="1">IFERROR(__xludf.DUMMYFUNCTION("""COMPUTED_VALUE"""),"DR")</f>
        <v>DR</v>
      </c>
      <c r="I473" s="118">
        <f ca="1">IFERROR(__xludf.DUMMYFUNCTION("""COMPUTED_VALUE"""),6)</f>
        <v>6</v>
      </c>
      <c r="J473" s="118">
        <f ca="1">IFERROR(__xludf.DUMMYFUNCTION("""COMPUTED_VALUE"""),5)</f>
        <v>5</v>
      </c>
      <c r="K473" s="120">
        <f ca="1">IFERROR(__xludf.DUMMYFUNCTION("""COMPUTED_VALUE"""),124.65)</f>
        <v>124.65</v>
      </c>
      <c r="L473" s="121"/>
      <c r="M473" s="120">
        <f ca="1">IFERROR(__xludf.DUMMYFUNCTION("""COMPUTED_VALUE"""),91.45)</f>
        <v>91.45</v>
      </c>
      <c r="N473" s="121"/>
      <c r="O473" s="120">
        <f ca="1">IFERROR(__xludf.DUMMYFUNCTION("""COMPUTED_VALUE"""),98.2)</f>
        <v>98.2</v>
      </c>
      <c r="P473" s="122"/>
      <c r="Q473" s="123" t="str">
        <f ca="1">IFERROR(__xludf.DUMMYFUNCTION("""COMPUTED_VALUE"""),"Izzy Demas")</f>
        <v>Izzy Demas</v>
      </c>
      <c r="R473" s="123" t="str">
        <f ca="1">IFERROR(__xludf.DUMMYFUNCTION("""COMPUTED_VALUE"""),"Nabil Senhadji")</f>
        <v>Nabil Senhadji</v>
      </c>
      <c r="S473" s="123" t="str">
        <f ca="1">IFERROR(__xludf.DUMMYFUNCTION("""COMPUTED_VALUE"""),"Evelyn Sanders")</f>
        <v>Evelyn Sanders</v>
      </c>
      <c r="T473" s="123" t="str">
        <f ca="1">IFERROR(__xludf.DUMMYFUNCTION("""COMPUTED_VALUE"""),"John Zhu")</f>
        <v>John Zhu</v>
      </c>
    </row>
    <row r="474" spans="1:20" ht="13.8">
      <c r="A474" s="118" t="str">
        <f ca="1">IFERROR(__xludf.DUMMYFUNCTION("""COMPUTED_VALUE"""),"DR")</f>
        <v>DR</v>
      </c>
      <c r="B474" s="119" t="str">
        <f ca="1">IFERROR(__xludf.DUMMYFUNCTION("""COMPUTED_VALUE"""),"Violet Marsh")</f>
        <v>Violet Marsh</v>
      </c>
      <c r="C474" s="118">
        <f ca="1">IFERROR(__xludf.DUMMYFUNCTION("""COMPUTED_VALUE"""),12)</f>
        <v>12</v>
      </c>
      <c r="D474" s="118" t="str">
        <f ca="1">IFERROR(__xludf.DUMMYFUNCTION("""COMPUTED_VALUE"""),"G")</f>
        <v>G</v>
      </c>
      <c r="E474" s="118" t="str">
        <f ca="1">IFERROR(__xludf.DUMMYFUNCTION("""COMPUTED_VALUE"""),"J")</f>
        <v>J</v>
      </c>
      <c r="F474" s="118" t="str">
        <f ca="1">IFERROR(__xludf.DUMMYFUNCTION("""COMPUTED_VALUE"""),"I")</f>
        <v>I</v>
      </c>
      <c r="G474" s="118">
        <f ca="1">IFERROR(__xludf.DUMMYFUNCTION("""COMPUTED_VALUE"""),1)</f>
        <v>1</v>
      </c>
      <c r="H474" s="118" t="str">
        <f ca="1">IFERROR(__xludf.DUMMYFUNCTION("""COMPUTED_VALUE"""),"DR")</f>
        <v>DR</v>
      </c>
      <c r="I474" s="118">
        <f ca="1">IFERROR(__xludf.DUMMYFUNCTION("""COMPUTED_VALUE"""),6)</f>
        <v>6</v>
      </c>
      <c r="J474" s="118">
        <f ca="1">IFERROR(__xludf.DUMMYFUNCTION("""COMPUTED_VALUE"""),1)</f>
        <v>1</v>
      </c>
      <c r="K474" s="120">
        <f ca="1">IFERROR(__xludf.DUMMYFUNCTION("""COMPUTED_VALUE"""),81.8)</f>
        <v>81.8</v>
      </c>
      <c r="L474" s="121"/>
      <c r="M474" s="120"/>
      <c r="N474" s="121"/>
      <c r="O474" s="120"/>
      <c r="P474" s="122"/>
      <c r="Q474" s="123" t="str">
        <f ca="1">IFERROR(__xludf.DUMMYFUNCTION("""COMPUTED_VALUE"""),"Jackie Hull")</f>
        <v>Jackie Hull</v>
      </c>
      <c r="R474" s="123" t="str">
        <f ca="1">IFERROR(__xludf.DUMMYFUNCTION("""COMPUTED_VALUE"""),"Nader Tabandeh")</f>
        <v>Nader Tabandeh</v>
      </c>
      <c r="S474" s="123" t="str">
        <f ca="1">IFERROR(__xludf.DUMMYFUNCTION("""COMPUTED_VALUE"""),"Evelyn Uhl")</f>
        <v>Evelyn Uhl</v>
      </c>
      <c r="T474" s="123" t="str">
        <f ca="1">IFERROR(__xludf.DUMMYFUNCTION("""COMPUTED_VALUE"""),"Jon Anthony Montel")</f>
        <v>Jon Anthony Montel</v>
      </c>
    </row>
    <row r="475" spans="1:20" ht="13.8">
      <c r="A475" s="118" t="str">
        <f ca="1">IFERROR(__xludf.DUMMYFUNCTION("""COMPUTED_VALUE"""),"DR")</f>
        <v>DR</v>
      </c>
      <c r="B475" s="119" t="str">
        <f ca="1">IFERROR(__xludf.DUMMYFUNCTION("""COMPUTED_VALUE"""),"Zoya Ridgway")</f>
        <v>Zoya Ridgway</v>
      </c>
      <c r="C475" s="118">
        <f ca="1">IFERROR(__xludf.DUMMYFUNCTION("""COMPUTED_VALUE"""),12)</f>
        <v>12</v>
      </c>
      <c r="D475" s="118" t="str">
        <f ca="1">IFERROR(__xludf.DUMMYFUNCTION("""COMPUTED_VALUE"""),"G")</f>
        <v>G</v>
      </c>
      <c r="E475" s="118" t="str">
        <f ca="1">IFERROR(__xludf.DUMMYFUNCTION("""COMPUTED_VALUE"""),"J")</f>
        <v>J</v>
      </c>
      <c r="F475" s="118" t="str">
        <f ca="1">IFERROR(__xludf.DUMMYFUNCTION("""COMPUTED_VALUE"""),"I")</f>
        <v>I</v>
      </c>
      <c r="G475" s="118">
        <f ca="1">IFERROR(__xludf.DUMMYFUNCTION("""COMPUTED_VALUE"""),1)</f>
        <v>1</v>
      </c>
      <c r="H475" s="118" t="str">
        <f ca="1">IFERROR(__xludf.DUMMYFUNCTION("""COMPUTED_VALUE"""),"DR")</f>
        <v>DR</v>
      </c>
      <c r="I475" s="118">
        <f ca="1">IFERROR(__xludf.DUMMYFUNCTION("""COMPUTED_VALUE"""),6)</f>
        <v>6</v>
      </c>
      <c r="J475" s="118">
        <f ca="1">IFERROR(__xludf.DUMMYFUNCTION("""COMPUTED_VALUE"""),0)</f>
        <v>0</v>
      </c>
      <c r="K475" s="120"/>
      <c r="L475" s="121"/>
      <c r="M475" s="120"/>
      <c r="N475" s="121"/>
      <c r="O475" s="120"/>
      <c r="P475" s="122"/>
      <c r="Q475" s="123" t="str">
        <f ca="1">IFERROR(__xludf.DUMMYFUNCTION("""COMPUTED_VALUE"""),"Jackie Shaw")</f>
        <v>Jackie Shaw</v>
      </c>
      <c r="R475" s="123" t="str">
        <f ca="1">IFERROR(__xludf.DUMMYFUNCTION("""COMPUTED_VALUE"""),"Natalie Shlesinger")</f>
        <v>Natalie Shlesinger</v>
      </c>
      <c r="S475" s="123" t="str">
        <f ca="1">IFERROR(__xludf.DUMMYFUNCTION("""COMPUTED_VALUE"""),"Everly McCormick")</f>
        <v>Everly McCormick</v>
      </c>
      <c r="T475" s="123" t="str">
        <f ca="1">IFERROR(__xludf.DUMMYFUNCTION("""COMPUTED_VALUE"""),"Jonah Engle")</f>
        <v>Jonah Engle</v>
      </c>
    </row>
    <row r="476" spans="1:20" ht="13.8">
      <c r="A476" s="118" t="str">
        <f ca="1">IFERROR(__xludf.DUMMYFUNCTION("""COMPUTED_VALUE"""),"DR")</f>
        <v>DR</v>
      </c>
      <c r="B476" s="119" t="str">
        <f ca="1">IFERROR(__xludf.DUMMYFUNCTION("""COMPUTED_VALUE"""),"Ben Jacobs")</f>
        <v>Ben Jacobs</v>
      </c>
      <c r="C476" s="118">
        <f ca="1">IFERROR(__xludf.DUMMYFUNCTION("""COMPUTED_VALUE"""),11)</f>
        <v>11</v>
      </c>
      <c r="D476" s="118" t="str">
        <f ca="1">IFERROR(__xludf.DUMMYFUNCTION("""COMPUTED_VALUE"""),"B")</f>
        <v>B</v>
      </c>
      <c r="E476" s="118" t="str">
        <f ca="1">IFERROR(__xludf.DUMMYFUNCTION("""COMPUTED_VALUE"""),"J")</f>
        <v>J</v>
      </c>
      <c r="F476" s="118" t="str">
        <f ca="1">IFERROR(__xludf.DUMMYFUNCTION("""COMPUTED_VALUE"""),"I")</f>
        <v>I</v>
      </c>
      <c r="G476" s="118">
        <f ca="1">IFERROR(__xludf.DUMMYFUNCTION("""COMPUTED_VALUE"""),1)</f>
        <v>1</v>
      </c>
      <c r="H476" s="118" t="str">
        <f ca="1">IFERROR(__xludf.DUMMYFUNCTION("""COMPUTED_VALUE"""),"DR")</f>
        <v>DR</v>
      </c>
      <c r="I476" s="118">
        <f ca="1">IFERROR(__xludf.DUMMYFUNCTION("""COMPUTED_VALUE"""),7)</f>
        <v>7</v>
      </c>
      <c r="J476" s="118">
        <f ca="1">IFERROR(__xludf.DUMMYFUNCTION("""COMPUTED_VALUE"""),0)</f>
        <v>0</v>
      </c>
      <c r="K476" s="120"/>
      <c r="L476" s="121"/>
      <c r="M476" s="120"/>
      <c r="N476" s="121"/>
      <c r="O476" s="120"/>
      <c r="P476" s="122"/>
      <c r="Q476" s="123" t="str">
        <f ca="1">IFERROR(__xludf.DUMMYFUNCTION("""COMPUTED_VALUE"""),"Jacqueline Landry")</f>
        <v>Jacqueline Landry</v>
      </c>
      <c r="R476" s="123" t="str">
        <f ca="1">IFERROR(__xludf.DUMMYFUNCTION("""COMPUTED_VALUE"""),"Nathan Easley")</f>
        <v>Nathan Easley</v>
      </c>
      <c r="S476" s="123" t="str">
        <f ca="1">IFERROR(__xludf.DUMMYFUNCTION("""COMPUTED_VALUE"""),"Evet Tran")</f>
        <v>Evet Tran</v>
      </c>
      <c r="T476" s="123" t="str">
        <f ca="1">IFERROR(__xludf.DUMMYFUNCTION("""COMPUTED_VALUE"""),"Jonah Lanthier")</f>
        <v>Jonah Lanthier</v>
      </c>
    </row>
    <row r="477" spans="1:20" ht="13.8">
      <c r="A477" s="118" t="str">
        <f ca="1">IFERROR(__xludf.DUMMYFUNCTION("""COMPUTED_VALUE"""),"DR")</f>
        <v>DR</v>
      </c>
      <c r="B477" s="119" t="str">
        <f ca="1">IFERROR(__xludf.DUMMYFUNCTION("""COMPUTED_VALUE"""),"Ben Root")</f>
        <v>Ben Root</v>
      </c>
      <c r="C477" s="118">
        <f ca="1">IFERROR(__xludf.DUMMYFUNCTION("""COMPUTED_VALUE"""),11)</f>
        <v>11</v>
      </c>
      <c r="D477" s="118" t="str">
        <f ca="1">IFERROR(__xludf.DUMMYFUNCTION("""COMPUTED_VALUE"""),"B")</f>
        <v>B</v>
      </c>
      <c r="E477" s="118" t="str">
        <f ca="1">IFERROR(__xludf.DUMMYFUNCTION("""COMPUTED_VALUE"""),"J")</f>
        <v>J</v>
      </c>
      <c r="F477" s="118" t="str">
        <f ca="1">IFERROR(__xludf.DUMMYFUNCTION("""COMPUTED_VALUE"""),"I")</f>
        <v>I</v>
      </c>
      <c r="G477" s="118">
        <f ca="1">IFERROR(__xludf.DUMMYFUNCTION("""COMPUTED_VALUE"""),1)</f>
        <v>1</v>
      </c>
      <c r="H477" s="118" t="str">
        <f ca="1">IFERROR(__xludf.DUMMYFUNCTION("""COMPUTED_VALUE"""),"DR")</f>
        <v>DR</v>
      </c>
      <c r="I477" s="118">
        <f ca="1">IFERROR(__xludf.DUMMYFUNCTION("""COMPUTED_VALUE"""),7)</f>
        <v>7</v>
      </c>
      <c r="J477" s="118">
        <f ca="1">IFERROR(__xludf.DUMMYFUNCTION("""COMPUTED_VALUE"""),0)</f>
        <v>0</v>
      </c>
      <c r="K477" s="120"/>
      <c r="L477" s="121"/>
      <c r="M477" s="120"/>
      <c r="N477" s="121"/>
      <c r="O477" s="120"/>
      <c r="P477" s="122"/>
      <c r="Q477" s="123" t="str">
        <f ca="1">IFERROR(__xludf.DUMMYFUNCTION("""COMPUTED_VALUE"""),"Jacqueline Sandridge")</f>
        <v>Jacqueline Sandridge</v>
      </c>
      <c r="R477" s="123" t="str">
        <f ca="1">IFERROR(__xludf.DUMMYFUNCTION("""COMPUTED_VALUE"""),"Nathan Pierece")</f>
        <v>Nathan Pierece</v>
      </c>
      <c r="S477" s="123" t="str">
        <f ca="1">IFERROR(__xludf.DUMMYFUNCTION("""COMPUTED_VALUE"""),"Evie Jeschke")</f>
        <v>Evie Jeschke</v>
      </c>
      <c r="T477" s="123" t="str">
        <f ca="1">IFERROR(__xludf.DUMMYFUNCTION("""COMPUTED_VALUE"""),"Jose Franco")</f>
        <v>Jose Franco</v>
      </c>
    </row>
    <row r="478" spans="1:20" ht="13.8">
      <c r="A478" s="118" t="str">
        <f ca="1">IFERROR(__xludf.DUMMYFUNCTION("""COMPUTED_VALUE"""),"DR")</f>
        <v>DR</v>
      </c>
      <c r="B478" s="119" t="str">
        <f ca="1">IFERROR(__xludf.DUMMYFUNCTION("""COMPUTED_VALUE"""),"Blaise Bailey")</f>
        <v>Blaise Bailey</v>
      </c>
      <c r="C478" s="118">
        <f ca="1">IFERROR(__xludf.DUMMYFUNCTION("""COMPUTED_VALUE"""),12)</f>
        <v>12</v>
      </c>
      <c r="D478" s="118" t="str">
        <f ca="1">IFERROR(__xludf.DUMMYFUNCTION("""COMPUTED_VALUE"""),"B")</f>
        <v>B</v>
      </c>
      <c r="E478" s="118" t="str">
        <f ca="1">IFERROR(__xludf.DUMMYFUNCTION("""COMPUTED_VALUE"""),"J")</f>
        <v>J</v>
      </c>
      <c r="F478" s="118" t="str">
        <f ca="1">IFERROR(__xludf.DUMMYFUNCTION("""COMPUTED_VALUE"""),"I")</f>
        <v>I</v>
      </c>
      <c r="G478" s="118">
        <f ca="1">IFERROR(__xludf.DUMMYFUNCTION("""COMPUTED_VALUE"""),1)</f>
        <v>1</v>
      </c>
      <c r="H478" s="118" t="str">
        <f ca="1">IFERROR(__xludf.DUMMYFUNCTION("""COMPUTED_VALUE"""),"DR")</f>
        <v>DR</v>
      </c>
      <c r="I478" s="118">
        <f ca="1">IFERROR(__xludf.DUMMYFUNCTION("""COMPUTED_VALUE"""),7)</f>
        <v>7</v>
      </c>
      <c r="J478" s="118">
        <f ca="1">IFERROR(__xludf.DUMMYFUNCTION("""COMPUTED_VALUE"""),0)</f>
        <v>0</v>
      </c>
      <c r="K478" s="120"/>
      <c r="L478" s="121"/>
      <c r="M478" s="120"/>
      <c r="N478" s="121"/>
      <c r="O478" s="120"/>
      <c r="P478" s="122"/>
      <c r="Q478" s="123" t="str">
        <f ca="1">IFERROR(__xludf.DUMMYFUNCTION("""COMPUTED_VALUE"""),"Jada Jones")</f>
        <v>Jada Jones</v>
      </c>
      <c r="R478" s="123" t="str">
        <f ca="1">IFERROR(__xludf.DUMMYFUNCTION("""COMPUTED_VALUE"""),"Nathaniel Cassatt")</f>
        <v>Nathaniel Cassatt</v>
      </c>
      <c r="S478" s="123" t="str">
        <f ca="1">IFERROR(__xludf.DUMMYFUNCTION("""COMPUTED_VALUE"""),"Evie Lynch")</f>
        <v>Evie Lynch</v>
      </c>
      <c r="T478" s="123" t="str">
        <f ca="1">IFERROR(__xludf.DUMMYFUNCTION("""COMPUTED_VALUE"""),"Joseph Anderson")</f>
        <v>Joseph Anderson</v>
      </c>
    </row>
    <row r="479" spans="1:20" ht="13.8">
      <c r="A479" s="118" t="str">
        <f ca="1">IFERROR(__xludf.DUMMYFUNCTION("""COMPUTED_VALUE"""),"DR")</f>
        <v>DR</v>
      </c>
      <c r="B479" s="119" t="str">
        <f ca="1">IFERROR(__xludf.DUMMYFUNCTION("""COMPUTED_VALUE"""),"Braden Healey")</f>
        <v>Braden Healey</v>
      </c>
      <c r="C479" s="118">
        <f ca="1">IFERROR(__xludf.DUMMYFUNCTION("""COMPUTED_VALUE"""),11)</f>
        <v>11</v>
      </c>
      <c r="D479" s="118" t="str">
        <f ca="1">IFERROR(__xludf.DUMMYFUNCTION("""COMPUTED_VALUE"""),"B")</f>
        <v>B</v>
      </c>
      <c r="E479" s="118" t="str">
        <f ca="1">IFERROR(__xludf.DUMMYFUNCTION("""COMPUTED_VALUE"""),"J")</f>
        <v>J</v>
      </c>
      <c r="F479" s="118" t="str">
        <f ca="1">IFERROR(__xludf.DUMMYFUNCTION("""COMPUTED_VALUE"""),"I")</f>
        <v>I</v>
      </c>
      <c r="G479" s="118">
        <f ca="1">IFERROR(__xludf.DUMMYFUNCTION("""COMPUTED_VALUE"""),1)</f>
        <v>1</v>
      </c>
      <c r="H479" s="118" t="str">
        <f ca="1">IFERROR(__xludf.DUMMYFUNCTION("""COMPUTED_VALUE"""),"DR")</f>
        <v>DR</v>
      </c>
      <c r="I479" s="118">
        <f ca="1">IFERROR(__xludf.DUMMYFUNCTION("""COMPUTED_VALUE"""),7)</f>
        <v>7</v>
      </c>
      <c r="J479" s="118">
        <f ca="1">IFERROR(__xludf.DUMMYFUNCTION("""COMPUTED_VALUE"""),0)</f>
        <v>0</v>
      </c>
      <c r="K479" s="120"/>
      <c r="L479" s="121"/>
      <c r="M479" s="120"/>
      <c r="N479" s="121"/>
      <c r="O479" s="120"/>
      <c r="P479" s="122"/>
      <c r="Q479" s="123" t="str">
        <f ca="1">IFERROR(__xludf.DUMMYFUNCTION("""COMPUTED_VALUE"""),"Jayne Argentina")</f>
        <v>Jayne Argentina</v>
      </c>
      <c r="R479" s="123" t="str">
        <f ca="1">IFERROR(__xludf.DUMMYFUNCTION("""COMPUTED_VALUE"""),"Nathaniel Zven")</f>
        <v>Nathaniel Zven</v>
      </c>
      <c r="S479" s="123" t="str">
        <f ca="1">IFERROR(__xludf.DUMMYFUNCTION("""COMPUTED_VALUE"""),"Evie Reilly")</f>
        <v>Evie Reilly</v>
      </c>
      <c r="T479" s="123" t="str">
        <f ca="1">IFERROR(__xludf.DUMMYFUNCTION("""COMPUTED_VALUE"""),"Joseph Mosinski")</f>
        <v>Joseph Mosinski</v>
      </c>
    </row>
    <row r="480" spans="1:20" ht="13.8">
      <c r="A480" s="118" t="str">
        <f ca="1">IFERROR(__xludf.DUMMYFUNCTION("""COMPUTED_VALUE"""),"DR")</f>
        <v>DR</v>
      </c>
      <c r="B480" s="119" t="str">
        <f ca="1">IFERROR(__xludf.DUMMYFUNCTION("""COMPUTED_VALUE"""),"Charlie DeZee")</f>
        <v>Charlie DeZee</v>
      </c>
      <c r="C480" s="118">
        <f ca="1">IFERROR(__xludf.DUMMYFUNCTION("""COMPUTED_VALUE"""),12)</f>
        <v>12</v>
      </c>
      <c r="D480" s="118" t="str">
        <f ca="1">IFERROR(__xludf.DUMMYFUNCTION("""COMPUTED_VALUE"""),"B")</f>
        <v>B</v>
      </c>
      <c r="E480" s="118" t="str">
        <f ca="1">IFERROR(__xludf.DUMMYFUNCTION("""COMPUTED_VALUE"""),"J")</f>
        <v>J</v>
      </c>
      <c r="F480" s="118" t="str">
        <f ca="1">IFERROR(__xludf.DUMMYFUNCTION("""COMPUTED_VALUE"""),"I")</f>
        <v>I</v>
      </c>
      <c r="G480" s="118">
        <f ca="1">IFERROR(__xludf.DUMMYFUNCTION("""COMPUTED_VALUE"""),1)</f>
        <v>1</v>
      </c>
      <c r="H480" s="118" t="str">
        <f ca="1">IFERROR(__xludf.DUMMYFUNCTION("""COMPUTED_VALUE"""),"DR")</f>
        <v>DR</v>
      </c>
      <c r="I480" s="118">
        <f ca="1">IFERROR(__xludf.DUMMYFUNCTION("""COMPUTED_VALUE"""),7)</f>
        <v>7</v>
      </c>
      <c r="J480" s="118">
        <f ca="1">IFERROR(__xludf.DUMMYFUNCTION("""COMPUTED_VALUE"""),0)</f>
        <v>0</v>
      </c>
      <c r="K480" s="120"/>
      <c r="L480" s="121"/>
      <c r="M480" s="120"/>
      <c r="N480" s="121"/>
      <c r="O480" s="120"/>
      <c r="P480" s="122"/>
      <c r="Q480" s="123" t="str">
        <f ca="1">IFERROR(__xludf.DUMMYFUNCTION("""COMPUTED_VALUE"""),"Jem Wahler")</f>
        <v>Jem Wahler</v>
      </c>
      <c r="R480" s="123" t="str">
        <f ca="1">IFERROR(__xludf.DUMMYFUNCTION("""COMPUTED_VALUE"""),"Naveen Saxena")</f>
        <v>Naveen Saxena</v>
      </c>
      <c r="S480" s="123" t="str">
        <f ca="1">IFERROR(__xludf.DUMMYFUNCTION("""COMPUTED_VALUE"""),"Evie Spickelmier")</f>
        <v>Evie Spickelmier</v>
      </c>
      <c r="T480" s="123" t="str">
        <f ca="1">IFERROR(__xludf.DUMMYFUNCTION("""COMPUTED_VALUE"""),"Joseph Neumann")</f>
        <v>Joseph Neumann</v>
      </c>
    </row>
    <row r="481" spans="1:20" ht="13.8">
      <c r="A481" s="118" t="str">
        <f ca="1">IFERROR(__xludf.DUMMYFUNCTION("""COMPUTED_VALUE"""),"DR")</f>
        <v>DR</v>
      </c>
      <c r="B481" s="119" t="str">
        <f ca="1">IFERROR(__xludf.DUMMYFUNCTION("""COMPUTED_VALUE"""),"Christopher Olsen")</f>
        <v>Christopher Olsen</v>
      </c>
      <c r="C481" s="118">
        <f ca="1">IFERROR(__xludf.DUMMYFUNCTION("""COMPUTED_VALUE"""),12)</f>
        <v>12</v>
      </c>
      <c r="D481" s="118" t="str">
        <f ca="1">IFERROR(__xludf.DUMMYFUNCTION("""COMPUTED_VALUE"""),"B")</f>
        <v>B</v>
      </c>
      <c r="E481" s="118" t="str">
        <f ca="1">IFERROR(__xludf.DUMMYFUNCTION("""COMPUTED_VALUE"""),"J")</f>
        <v>J</v>
      </c>
      <c r="F481" s="118" t="str">
        <f ca="1">IFERROR(__xludf.DUMMYFUNCTION("""COMPUTED_VALUE"""),"I")</f>
        <v>I</v>
      </c>
      <c r="G481" s="118">
        <f ca="1">IFERROR(__xludf.DUMMYFUNCTION("""COMPUTED_VALUE"""),1)</f>
        <v>1</v>
      </c>
      <c r="H481" s="118" t="str">
        <f ca="1">IFERROR(__xludf.DUMMYFUNCTION("""COMPUTED_VALUE"""),"DR")</f>
        <v>DR</v>
      </c>
      <c r="I481" s="118">
        <f ca="1">IFERROR(__xludf.DUMMYFUNCTION("""COMPUTED_VALUE"""),7)</f>
        <v>7</v>
      </c>
      <c r="J481" s="118">
        <f ca="1">IFERROR(__xludf.DUMMYFUNCTION("""COMPUTED_VALUE"""),0)</f>
        <v>0</v>
      </c>
      <c r="K481" s="120"/>
      <c r="L481" s="121"/>
      <c r="M481" s="120"/>
      <c r="N481" s="121"/>
      <c r="O481" s="120"/>
      <c r="P481" s="122"/>
      <c r="Q481" s="123" t="str">
        <f ca="1">IFERROR(__xludf.DUMMYFUNCTION("""COMPUTED_VALUE"""),"Jemima Dewhirst")</f>
        <v>Jemima Dewhirst</v>
      </c>
      <c r="R481" s="123" t="str">
        <f ca="1">IFERROR(__xludf.DUMMYFUNCTION("""COMPUTED_VALUE"""),"Neev Bhartiya")</f>
        <v>Neev Bhartiya</v>
      </c>
      <c r="S481" s="123" t="str">
        <f ca="1">IFERROR(__xludf.DUMMYFUNCTION("""COMPUTED_VALUE"""),"Evie Stith")</f>
        <v>Evie Stith</v>
      </c>
      <c r="T481" s="123" t="str">
        <f ca="1">IFERROR(__xludf.DUMMYFUNCTION("""COMPUTED_VALUE"""),"Joseph Nixon")</f>
        <v>Joseph Nixon</v>
      </c>
    </row>
    <row r="482" spans="1:20" ht="13.8">
      <c r="A482" s="118" t="str">
        <f ca="1">IFERROR(__xludf.DUMMYFUNCTION("""COMPUTED_VALUE"""),"DR")</f>
        <v>DR</v>
      </c>
      <c r="B482" s="119" t="str">
        <f ca="1">IFERROR(__xludf.DUMMYFUNCTION("""COMPUTED_VALUE"""),"Hayden Klein")</f>
        <v>Hayden Klein</v>
      </c>
      <c r="C482" s="118">
        <f ca="1">IFERROR(__xludf.DUMMYFUNCTION("""COMPUTED_VALUE"""),11)</f>
        <v>11</v>
      </c>
      <c r="D482" s="118" t="str">
        <f ca="1">IFERROR(__xludf.DUMMYFUNCTION("""COMPUTED_VALUE"""),"B")</f>
        <v>B</v>
      </c>
      <c r="E482" s="118" t="str">
        <f ca="1">IFERROR(__xludf.DUMMYFUNCTION("""COMPUTED_VALUE"""),"J")</f>
        <v>J</v>
      </c>
      <c r="F482" s="118" t="str">
        <f ca="1">IFERROR(__xludf.DUMMYFUNCTION("""COMPUTED_VALUE"""),"I")</f>
        <v>I</v>
      </c>
      <c r="G482" s="118">
        <f ca="1">IFERROR(__xludf.DUMMYFUNCTION("""COMPUTED_VALUE"""),1)</f>
        <v>1</v>
      </c>
      <c r="H482" s="118" t="str">
        <f ca="1">IFERROR(__xludf.DUMMYFUNCTION("""COMPUTED_VALUE"""),"DR")</f>
        <v>DR</v>
      </c>
      <c r="I482" s="118">
        <f ca="1">IFERROR(__xludf.DUMMYFUNCTION("""COMPUTED_VALUE"""),7)</f>
        <v>7</v>
      </c>
      <c r="J482" s="118">
        <f ca="1">IFERROR(__xludf.DUMMYFUNCTION("""COMPUTED_VALUE"""),0)</f>
        <v>0</v>
      </c>
      <c r="K482" s="120"/>
      <c r="L482" s="121"/>
      <c r="M482" s="120"/>
      <c r="N482" s="121"/>
      <c r="O482" s="120"/>
      <c r="P482" s="122"/>
      <c r="Q482" s="123" t="str">
        <f ca="1">IFERROR(__xludf.DUMMYFUNCTION("""COMPUTED_VALUE"""),"Jenna Jair")</f>
        <v>Jenna Jair</v>
      </c>
      <c r="R482" s="123" t="str">
        <f ca="1">IFERROR(__xludf.DUMMYFUNCTION("""COMPUTED_VALUE"""),"Nicholas Beier")</f>
        <v>Nicholas Beier</v>
      </c>
      <c r="S482" s="123" t="str">
        <f ca="1">IFERROR(__xludf.DUMMYFUNCTION("""COMPUTED_VALUE"""),"Evy Payne")</f>
        <v>Evy Payne</v>
      </c>
      <c r="T482" s="123" t="str">
        <f ca="1">IFERROR(__xludf.DUMMYFUNCTION("""COMPUTED_VALUE"""),"Joseph Shlesinger")</f>
        <v>Joseph Shlesinger</v>
      </c>
    </row>
    <row r="483" spans="1:20" ht="13.8">
      <c r="A483" s="118" t="str">
        <f ca="1">IFERROR(__xludf.DUMMYFUNCTION("""COMPUTED_VALUE"""),"DR")</f>
        <v>DR</v>
      </c>
      <c r="B483" s="119" t="str">
        <f ca="1">IFERROR(__xludf.DUMMYFUNCTION("""COMPUTED_VALUE"""),"Jack Taylor")</f>
        <v>Jack Taylor</v>
      </c>
      <c r="C483" s="118">
        <f ca="1">IFERROR(__xludf.DUMMYFUNCTION("""COMPUTED_VALUE"""),12)</f>
        <v>12</v>
      </c>
      <c r="D483" s="118" t="str">
        <f ca="1">IFERROR(__xludf.DUMMYFUNCTION("""COMPUTED_VALUE"""),"B")</f>
        <v>B</v>
      </c>
      <c r="E483" s="118" t="str">
        <f ca="1">IFERROR(__xludf.DUMMYFUNCTION("""COMPUTED_VALUE"""),"J")</f>
        <v>J</v>
      </c>
      <c r="F483" s="118" t="str">
        <f ca="1">IFERROR(__xludf.DUMMYFUNCTION("""COMPUTED_VALUE"""),"I")</f>
        <v>I</v>
      </c>
      <c r="G483" s="118">
        <f ca="1">IFERROR(__xludf.DUMMYFUNCTION("""COMPUTED_VALUE"""),1)</f>
        <v>1</v>
      </c>
      <c r="H483" s="118" t="str">
        <f ca="1">IFERROR(__xludf.DUMMYFUNCTION("""COMPUTED_VALUE"""),"DR")</f>
        <v>DR</v>
      </c>
      <c r="I483" s="118">
        <f ca="1">IFERROR(__xludf.DUMMYFUNCTION("""COMPUTED_VALUE"""),7)</f>
        <v>7</v>
      </c>
      <c r="J483" s="118">
        <f ca="1">IFERROR(__xludf.DUMMYFUNCTION("""COMPUTED_VALUE"""),4)</f>
        <v>4</v>
      </c>
      <c r="K483" s="120">
        <f ca="1">IFERROR(__xludf.DUMMYFUNCTION("""COMPUTED_VALUE"""),105.2)</f>
        <v>105.2</v>
      </c>
      <c r="L483" s="121"/>
      <c r="M483" s="120">
        <f ca="1">IFERROR(__xludf.DUMMYFUNCTION("""COMPUTED_VALUE"""),96.05)</f>
        <v>96.05</v>
      </c>
      <c r="N483" s="121"/>
      <c r="O483" s="120">
        <f ca="1">IFERROR(__xludf.DUMMYFUNCTION("""COMPUTED_VALUE"""),85.6)</f>
        <v>85.6</v>
      </c>
      <c r="P483" s="122"/>
      <c r="Q483" s="123" t="str">
        <f ca="1">IFERROR(__xludf.DUMMYFUNCTION("""COMPUTED_VALUE"""),"Jennah Soto")</f>
        <v>Jennah Soto</v>
      </c>
      <c r="R483" s="123" t="str">
        <f ca="1">IFERROR(__xludf.DUMMYFUNCTION("""COMPUTED_VALUE"""),"Nicholas Jemkins")</f>
        <v>Nicholas Jemkins</v>
      </c>
      <c r="S483" s="123" t="str">
        <f ca="1">IFERROR(__xludf.DUMMYFUNCTION("""COMPUTED_VALUE"""),"Farah Ahmadi")</f>
        <v>Farah Ahmadi</v>
      </c>
      <c r="T483" s="123" t="str">
        <f ca="1">IFERROR(__xludf.DUMMYFUNCTION("""COMPUTED_VALUE"""),"Joseph Smith")</f>
        <v>Joseph Smith</v>
      </c>
    </row>
    <row r="484" spans="1:20" ht="13.8">
      <c r="A484" s="118" t="str">
        <f ca="1">IFERROR(__xludf.DUMMYFUNCTION("""COMPUTED_VALUE"""),"DR")</f>
        <v>DR</v>
      </c>
      <c r="B484" s="119" t="str">
        <f ca="1">IFERROR(__xludf.DUMMYFUNCTION("""COMPUTED_VALUE"""),"John McKenzie")</f>
        <v>John McKenzie</v>
      </c>
      <c r="C484" s="118">
        <f ca="1">IFERROR(__xludf.DUMMYFUNCTION("""COMPUTED_VALUE"""),11)</f>
        <v>11</v>
      </c>
      <c r="D484" s="118" t="str">
        <f ca="1">IFERROR(__xludf.DUMMYFUNCTION("""COMPUTED_VALUE"""),"B")</f>
        <v>B</v>
      </c>
      <c r="E484" s="118" t="str">
        <f ca="1">IFERROR(__xludf.DUMMYFUNCTION("""COMPUTED_VALUE"""),"J")</f>
        <v>J</v>
      </c>
      <c r="F484" s="118" t="str">
        <f ca="1">IFERROR(__xludf.DUMMYFUNCTION("""COMPUTED_VALUE"""),"I")</f>
        <v>I</v>
      </c>
      <c r="G484" s="118">
        <f ca="1">IFERROR(__xludf.DUMMYFUNCTION("""COMPUTED_VALUE"""),1)</f>
        <v>1</v>
      </c>
      <c r="H484" s="118" t="str">
        <f ca="1">IFERROR(__xludf.DUMMYFUNCTION("""COMPUTED_VALUE"""),"DR")</f>
        <v>DR</v>
      </c>
      <c r="I484" s="118">
        <f ca="1">IFERROR(__xludf.DUMMYFUNCTION("""COMPUTED_VALUE"""),7)</f>
        <v>7</v>
      </c>
      <c r="J484" s="118">
        <f ca="1">IFERROR(__xludf.DUMMYFUNCTION("""COMPUTED_VALUE"""),0)</f>
        <v>0</v>
      </c>
      <c r="K484" s="120"/>
      <c r="L484" s="121"/>
      <c r="M484" s="120"/>
      <c r="N484" s="121"/>
      <c r="O484" s="120"/>
      <c r="P484" s="122"/>
      <c r="Q484" s="123" t="str">
        <f ca="1">IFERROR(__xludf.DUMMYFUNCTION("""COMPUTED_VALUE"""),"Jenny Pietras")</f>
        <v>Jenny Pietras</v>
      </c>
      <c r="R484" s="123" t="str">
        <f ca="1">IFERROR(__xludf.DUMMYFUNCTION("""COMPUTED_VALUE"""),"Nicholas Petruccelli")</f>
        <v>Nicholas Petruccelli</v>
      </c>
      <c r="S484" s="123" t="str">
        <f ca="1">IFERROR(__xludf.DUMMYFUNCTION("""COMPUTED_VALUE"""),"Farah Mazahery")</f>
        <v>Farah Mazahery</v>
      </c>
      <c r="T484" s="123" t="str">
        <f ca="1">IFERROR(__xludf.DUMMYFUNCTION("""COMPUTED_VALUE"""),"Joseph Wright")</f>
        <v>Joseph Wright</v>
      </c>
    </row>
    <row r="485" spans="1:20" ht="13.8">
      <c r="A485" s="118" t="str">
        <f ca="1">IFERROR(__xludf.DUMMYFUNCTION("""COMPUTED_VALUE"""),"DR")</f>
        <v>DR</v>
      </c>
      <c r="B485" s="119" t="str">
        <f ca="1">IFERROR(__xludf.DUMMYFUNCTION("""COMPUTED_VALUE"""),"Liam Stodel")</f>
        <v>Liam Stodel</v>
      </c>
      <c r="C485" s="118">
        <f ca="1">IFERROR(__xludf.DUMMYFUNCTION("""COMPUTED_VALUE"""),11)</f>
        <v>11</v>
      </c>
      <c r="D485" s="118" t="str">
        <f ca="1">IFERROR(__xludf.DUMMYFUNCTION("""COMPUTED_VALUE"""),"B")</f>
        <v>B</v>
      </c>
      <c r="E485" s="118" t="str">
        <f ca="1">IFERROR(__xludf.DUMMYFUNCTION("""COMPUTED_VALUE"""),"J")</f>
        <v>J</v>
      </c>
      <c r="F485" s="118" t="str">
        <f ca="1">IFERROR(__xludf.DUMMYFUNCTION("""COMPUTED_VALUE"""),"I")</f>
        <v>I</v>
      </c>
      <c r="G485" s="118">
        <f ca="1">IFERROR(__xludf.DUMMYFUNCTION("""COMPUTED_VALUE"""),1)</f>
        <v>1</v>
      </c>
      <c r="H485" s="118" t="str">
        <f ca="1">IFERROR(__xludf.DUMMYFUNCTION("""COMPUTED_VALUE"""),"DR")</f>
        <v>DR</v>
      </c>
      <c r="I485" s="118">
        <f ca="1">IFERROR(__xludf.DUMMYFUNCTION("""COMPUTED_VALUE"""),7)</f>
        <v>7</v>
      </c>
      <c r="J485" s="118">
        <f ca="1">IFERROR(__xludf.DUMMYFUNCTION("""COMPUTED_VALUE"""),0)</f>
        <v>0</v>
      </c>
      <c r="K485" s="120"/>
      <c r="L485" s="121"/>
      <c r="M485" s="120"/>
      <c r="N485" s="121"/>
      <c r="O485" s="120"/>
      <c r="P485" s="122"/>
      <c r="Q485" s="123" t="str">
        <f ca="1">IFERROR(__xludf.DUMMYFUNCTION("""COMPUTED_VALUE"""),"Jewell Mahoney")</f>
        <v>Jewell Mahoney</v>
      </c>
      <c r="R485" s="123" t="str">
        <f ca="1">IFERROR(__xludf.DUMMYFUNCTION("""COMPUTED_VALUE"""),"Nicholas Richardson")</f>
        <v>Nicholas Richardson</v>
      </c>
      <c r="S485" s="123" t="str">
        <f ca="1">IFERROR(__xludf.DUMMYFUNCTION("""COMPUTED_VALUE"""),"Felicity Hanlon")</f>
        <v>Felicity Hanlon</v>
      </c>
      <c r="T485" s="123" t="str">
        <f ca="1">IFERROR(__xludf.DUMMYFUNCTION("""COMPUTED_VALUE"""),"Josh Hirsch")</f>
        <v>Josh Hirsch</v>
      </c>
    </row>
    <row r="486" spans="1:20" ht="13.8">
      <c r="A486" s="118" t="str">
        <f ca="1">IFERROR(__xludf.DUMMYFUNCTION("""COMPUTED_VALUE"""),"DR")</f>
        <v>DR</v>
      </c>
      <c r="B486" s="119" t="str">
        <f ca="1">IFERROR(__xludf.DUMMYFUNCTION("""COMPUTED_VALUE"""),"Parker Englerth")</f>
        <v>Parker Englerth</v>
      </c>
      <c r="C486" s="118">
        <f ca="1">IFERROR(__xludf.DUMMYFUNCTION("""COMPUTED_VALUE"""),12)</f>
        <v>12</v>
      </c>
      <c r="D486" s="118" t="str">
        <f ca="1">IFERROR(__xludf.DUMMYFUNCTION("""COMPUTED_VALUE"""),"B")</f>
        <v>B</v>
      </c>
      <c r="E486" s="118" t="str">
        <f ca="1">IFERROR(__xludf.DUMMYFUNCTION("""COMPUTED_VALUE"""),"J")</f>
        <v>J</v>
      </c>
      <c r="F486" s="118" t="str">
        <f ca="1">IFERROR(__xludf.DUMMYFUNCTION("""COMPUTED_VALUE"""),"I")</f>
        <v>I</v>
      </c>
      <c r="G486" s="118">
        <f ca="1">IFERROR(__xludf.DUMMYFUNCTION("""COMPUTED_VALUE"""),1)</f>
        <v>1</v>
      </c>
      <c r="H486" s="118" t="str">
        <f ca="1">IFERROR(__xludf.DUMMYFUNCTION("""COMPUTED_VALUE"""),"DR")</f>
        <v>DR</v>
      </c>
      <c r="I486" s="118">
        <f ca="1">IFERROR(__xludf.DUMMYFUNCTION("""COMPUTED_VALUE"""),7)</f>
        <v>7</v>
      </c>
      <c r="J486" s="118">
        <f ca="1">IFERROR(__xludf.DUMMYFUNCTION("""COMPUTED_VALUE"""),3)</f>
        <v>3</v>
      </c>
      <c r="K486" s="120">
        <f ca="1">IFERROR(__xludf.DUMMYFUNCTION("""COMPUTED_VALUE"""),94.5)</f>
        <v>94.5</v>
      </c>
      <c r="L486" s="121"/>
      <c r="M486" s="120"/>
      <c r="N486" s="121"/>
      <c r="O486" s="120">
        <f ca="1">IFERROR(__xludf.DUMMYFUNCTION("""COMPUTED_VALUE"""),61.45)</f>
        <v>61.45</v>
      </c>
      <c r="P486" s="122"/>
      <c r="Q486" s="123" t="str">
        <f ca="1">IFERROR(__xludf.DUMMYFUNCTION("""COMPUTED_VALUE"""),"Jheeni Shah")</f>
        <v>Jheeni Shah</v>
      </c>
      <c r="R486" s="123" t="str">
        <f ca="1">IFERROR(__xludf.DUMMYFUNCTION("""COMPUTED_VALUE"""),"Nico Rodriguez")</f>
        <v>Nico Rodriguez</v>
      </c>
      <c r="S486" s="123" t="str">
        <f ca="1">IFERROR(__xludf.DUMMYFUNCTION("""COMPUTED_VALUE"""),"Finley McDonnell")</f>
        <v>Finley McDonnell</v>
      </c>
      <c r="T486" s="123" t="str">
        <f ca="1">IFERROR(__xludf.DUMMYFUNCTION("""COMPUTED_VALUE"""),"Josh Themely")</f>
        <v>Josh Themely</v>
      </c>
    </row>
    <row r="487" spans="1:20" ht="13.8">
      <c r="A487" s="118" t="str">
        <f ca="1">IFERROR(__xludf.DUMMYFUNCTION("""COMPUTED_VALUE"""),"DR")</f>
        <v>DR</v>
      </c>
      <c r="B487" s="119" t="str">
        <f ca="1">IFERROR(__xludf.DUMMYFUNCTION("""COMPUTED_VALUE"""),"Philip Bastow")</f>
        <v>Philip Bastow</v>
      </c>
      <c r="C487" s="118">
        <f ca="1">IFERROR(__xludf.DUMMYFUNCTION("""COMPUTED_VALUE"""),11)</f>
        <v>11</v>
      </c>
      <c r="D487" s="118" t="str">
        <f ca="1">IFERROR(__xludf.DUMMYFUNCTION("""COMPUTED_VALUE"""),"B")</f>
        <v>B</v>
      </c>
      <c r="E487" s="118" t="str">
        <f ca="1">IFERROR(__xludf.DUMMYFUNCTION("""COMPUTED_VALUE"""),"J")</f>
        <v>J</v>
      </c>
      <c r="F487" s="118" t="str">
        <f ca="1">IFERROR(__xludf.DUMMYFUNCTION("""COMPUTED_VALUE"""),"I")</f>
        <v>I</v>
      </c>
      <c r="G487" s="118">
        <f ca="1">IFERROR(__xludf.DUMMYFUNCTION("""COMPUTED_VALUE"""),1)</f>
        <v>1</v>
      </c>
      <c r="H487" s="118" t="str">
        <f ca="1">IFERROR(__xludf.DUMMYFUNCTION("""COMPUTED_VALUE"""),"DR")</f>
        <v>DR</v>
      </c>
      <c r="I487" s="118">
        <f ca="1">IFERROR(__xludf.DUMMYFUNCTION("""COMPUTED_VALUE"""),7)</f>
        <v>7</v>
      </c>
      <c r="J487" s="118">
        <f ca="1">IFERROR(__xludf.DUMMYFUNCTION("""COMPUTED_VALUE"""),4)</f>
        <v>4</v>
      </c>
      <c r="K487" s="120">
        <f ca="1">IFERROR(__xludf.DUMMYFUNCTION("""COMPUTED_VALUE"""),77.65)</f>
        <v>77.650000000000006</v>
      </c>
      <c r="L487" s="121"/>
      <c r="M487" s="120">
        <f ca="1">IFERROR(__xludf.DUMMYFUNCTION("""COMPUTED_VALUE"""),61.55)</f>
        <v>61.55</v>
      </c>
      <c r="N487" s="121"/>
      <c r="O487" s="120">
        <f ca="1">IFERROR(__xludf.DUMMYFUNCTION("""COMPUTED_VALUE"""),53.8)</f>
        <v>53.8</v>
      </c>
      <c r="P487" s="122"/>
      <c r="Q487" s="123" t="str">
        <f ca="1">IFERROR(__xludf.DUMMYFUNCTION("""COMPUTED_VALUE"""),"Jillian Sandridge")</f>
        <v>Jillian Sandridge</v>
      </c>
      <c r="R487" s="123" t="str">
        <f ca="1">IFERROR(__xludf.DUMMYFUNCTION("""COMPUTED_VALUE"""),"Nicolas Turcot")</f>
        <v>Nicolas Turcot</v>
      </c>
      <c r="S487" s="123" t="str">
        <f ca="1">IFERROR(__xludf.DUMMYFUNCTION("""COMPUTED_VALUE"""),"Fiona Bergen")</f>
        <v>Fiona Bergen</v>
      </c>
      <c r="T487" s="123" t="str">
        <f ca="1">IFERROR(__xludf.DUMMYFUNCTION("""COMPUTED_VALUE"""),"Joshua Taliaferro")</f>
        <v>Joshua Taliaferro</v>
      </c>
    </row>
    <row r="488" spans="1:20" ht="13.8">
      <c r="A488" s="118" t="str">
        <f ca="1">IFERROR(__xludf.DUMMYFUNCTION("""COMPUTED_VALUE"""),"DR")</f>
        <v>DR</v>
      </c>
      <c r="B488" s="119" t="str">
        <f ca="1">IFERROR(__xludf.DUMMYFUNCTION("""COMPUTED_VALUE"""),"Ravi Martinez")</f>
        <v>Ravi Martinez</v>
      </c>
      <c r="C488" s="118">
        <f ca="1">IFERROR(__xludf.DUMMYFUNCTION("""COMPUTED_VALUE"""),11)</f>
        <v>11</v>
      </c>
      <c r="D488" s="118" t="str">
        <f ca="1">IFERROR(__xludf.DUMMYFUNCTION("""COMPUTED_VALUE"""),"B")</f>
        <v>B</v>
      </c>
      <c r="E488" s="118" t="str">
        <f ca="1">IFERROR(__xludf.DUMMYFUNCTION("""COMPUTED_VALUE"""),"J")</f>
        <v>J</v>
      </c>
      <c r="F488" s="118" t="str">
        <f ca="1">IFERROR(__xludf.DUMMYFUNCTION("""COMPUTED_VALUE"""),"I")</f>
        <v>I</v>
      </c>
      <c r="G488" s="118">
        <f ca="1">IFERROR(__xludf.DUMMYFUNCTION("""COMPUTED_VALUE"""),1)</f>
        <v>1</v>
      </c>
      <c r="H488" s="118" t="str">
        <f ca="1">IFERROR(__xludf.DUMMYFUNCTION("""COMPUTED_VALUE"""),"DR")</f>
        <v>DR</v>
      </c>
      <c r="I488" s="118">
        <f ca="1">IFERROR(__xludf.DUMMYFUNCTION("""COMPUTED_VALUE"""),7)</f>
        <v>7</v>
      </c>
      <c r="J488" s="118">
        <f ca="1">IFERROR(__xludf.DUMMYFUNCTION("""COMPUTED_VALUE"""),5)</f>
        <v>5</v>
      </c>
      <c r="K488" s="120">
        <f ca="1">IFERROR(__xludf.DUMMYFUNCTION("""COMPUTED_VALUE"""),92.9)</f>
        <v>92.9</v>
      </c>
      <c r="L488" s="121"/>
      <c r="M488" s="120">
        <f ca="1">IFERROR(__xludf.DUMMYFUNCTION("""COMPUTED_VALUE"""),85.25)</f>
        <v>85.25</v>
      </c>
      <c r="N488" s="121"/>
      <c r="O488" s="120">
        <f ca="1">IFERROR(__xludf.DUMMYFUNCTION("""COMPUTED_VALUE"""),76.7)</f>
        <v>76.7</v>
      </c>
      <c r="P488" s="122"/>
      <c r="Q488" s="123" t="str">
        <f ca="1">IFERROR(__xludf.DUMMYFUNCTION("""COMPUTED_VALUE"""),"Joanna Chen")</f>
        <v>Joanna Chen</v>
      </c>
      <c r="R488" s="123" t="str">
        <f ca="1">IFERROR(__xludf.DUMMYFUNCTION("""COMPUTED_VALUE"""),"Noah Buckman")</f>
        <v>Noah Buckman</v>
      </c>
      <c r="S488" s="123" t="str">
        <f ca="1">IFERROR(__xludf.DUMMYFUNCTION("""COMPUTED_VALUE"""),"Fiona Brolin")</f>
        <v>Fiona Brolin</v>
      </c>
      <c r="T488" s="123" t="str">
        <f ca="1">IFERROR(__xludf.DUMMYFUNCTION("""COMPUTED_VALUE"""),"JP Kissinger")</f>
        <v>JP Kissinger</v>
      </c>
    </row>
    <row r="489" spans="1:20" ht="13.8">
      <c r="A489" s="118" t="str">
        <f ca="1">IFERROR(__xludf.DUMMYFUNCTION("""COMPUTED_VALUE"""),"DR")</f>
        <v>DR</v>
      </c>
      <c r="B489" s="119" t="str">
        <f ca="1">IFERROR(__xludf.DUMMYFUNCTION("""COMPUTED_VALUE"""),"Tommy Edgerton")</f>
        <v>Tommy Edgerton</v>
      </c>
      <c r="C489" s="118">
        <f ca="1">IFERROR(__xludf.DUMMYFUNCTION("""COMPUTED_VALUE"""),11)</f>
        <v>11</v>
      </c>
      <c r="D489" s="118" t="str">
        <f ca="1">IFERROR(__xludf.DUMMYFUNCTION("""COMPUTED_VALUE"""),"B")</f>
        <v>B</v>
      </c>
      <c r="E489" s="118" t="str">
        <f ca="1">IFERROR(__xludf.DUMMYFUNCTION("""COMPUTED_VALUE"""),"J")</f>
        <v>J</v>
      </c>
      <c r="F489" s="118" t="str">
        <f ca="1">IFERROR(__xludf.DUMMYFUNCTION("""COMPUTED_VALUE"""),"I")</f>
        <v>I</v>
      </c>
      <c r="G489" s="118">
        <f ca="1">IFERROR(__xludf.DUMMYFUNCTION("""COMPUTED_VALUE"""),1)</f>
        <v>1</v>
      </c>
      <c r="H489" s="118" t="str">
        <f ca="1">IFERROR(__xludf.DUMMYFUNCTION("""COMPUTED_VALUE"""),"DR")</f>
        <v>DR</v>
      </c>
      <c r="I489" s="118">
        <f ca="1">IFERROR(__xludf.DUMMYFUNCTION("""COMPUTED_VALUE"""),7)</f>
        <v>7</v>
      </c>
      <c r="J489" s="118">
        <f ca="1">IFERROR(__xludf.DUMMYFUNCTION("""COMPUTED_VALUE"""),5)</f>
        <v>5</v>
      </c>
      <c r="K489" s="120">
        <f ca="1">IFERROR(__xludf.DUMMYFUNCTION("""COMPUTED_VALUE"""),92.9)</f>
        <v>92.9</v>
      </c>
      <c r="L489" s="121"/>
      <c r="M489" s="120">
        <f ca="1">IFERROR(__xludf.DUMMYFUNCTION("""COMPUTED_VALUE"""),83.05)</f>
        <v>83.05</v>
      </c>
      <c r="N489" s="121"/>
      <c r="O489" s="120">
        <f ca="1">IFERROR(__xludf.DUMMYFUNCTION("""COMPUTED_VALUE"""),75.9)</f>
        <v>75.900000000000006</v>
      </c>
      <c r="P489" s="122"/>
      <c r="Q489" s="123" t="str">
        <f ca="1">IFERROR(__xludf.DUMMYFUNCTION("""COMPUTED_VALUE"""),"Joelle Saunders")</f>
        <v>Joelle Saunders</v>
      </c>
      <c r="R489" s="123" t="str">
        <f ca="1">IFERROR(__xludf.DUMMYFUNCTION("""COMPUTED_VALUE"""),"Noah Collazo")</f>
        <v>Noah Collazo</v>
      </c>
      <c r="S489" s="123" t="str">
        <f ca="1">IFERROR(__xludf.DUMMYFUNCTION("""COMPUTED_VALUE"""),"Fiona Gibson")</f>
        <v>Fiona Gibson</v>
      </c>
      <c r="T489" s="123" t="str">
        <f ca="1">IFERROR(__xludf.DUMMYFUNCTION("""COMPUTED_VALUE"""),"Judah Stoltz")</f>
        <v>Judah Stoltz</v>
      </c>
    </row>
    <row r="490" spans="1:20" ht="13.8">
      <c r="A490" s="118" t="str">
        <f ca="1">IFERROR(__xludf.DUMMYFUNCTION("""COMPUTED_VALUE"""),"DR")</f>
        <v>DR</v>
      </c>
      <c r="B490" s="119" t="str">
        <f ca="1">IFERROR(__xludf.DUMMYFUNCTION("""COMPUTED_VALUE"""),"William Staren")</f>
        <v>William Staren</v>
      </c>
      <c r="C490" s="118">
        <f ca="1">IFERROR(__xludf.DUMMYFUNCTION("""COMPUTED_VALUE"""),12)</f>
        <v>12</v>
      </c>
      <c r="D490" s="118" t="str">
        <f ca="1">IFERROR(__xludf.DUMMYFUNCTION("""COMPUTED_VALUE"""),"B")</f>
        <v>B</v>
      </c>
      <c r="E490" s="118" t="str">
        <f ca="1">IFERROR(__xludf.DUMMYFUNCTION("""COMPUTED_VALUE"""),"J")</f>
        <v>J</v>
      </c>
      <c r="F490" s="118" t="str">
        <f ca="1">IFERROR(__xludf.DUMMYFUNCTION("""COMPUTED_VALUE"""),"I")</f>
        <v>I</v>
      </c>
      <c r="G490" s="118">
        <f ca="1">IFERROR(__xludf.DUMMYFUNCTION("""COMPUTED_VALUE"""),1)</f>
        <v>1</v>
      </c>
      <c r="H490" s="118" t="str">
        <f ca="1">IFERROR(__xludf.DUMMYFUNCTION("""COMPUTED_VALUE"""),"DR")</f>
        <v>DR</v>
      </c>
      <c r="I490" s="118">
        <f ca="1">IFERROR(__xludf.DUMMYFUNCTION("""COMPUTED_VALUE"""),7)</f>
        <v>7</v>
      </c>
      <c r="J490" s="118">
        <f ca="1">IFERROR(__xludf.DUMMYFUNCTION("""COMPUTED_VALUE"""),0)</f>
        <v>0</v>
      </c>
      <c r="K490" s="120"/>
      <c r="L490" s="121"/>
      <c r="M490" s="120"/>
      <c r="N490" s="121"/>
      <c r="O490" s="120"/>
      <c r="P490" s="122"/>
      <c r="Q490" s="123" t="str">
        <f ca="1">IFERROR(__xludf.DUMMYFUNCTION("""COMPUTED_VALUE"""),"Johanna Thoms")</f>
        <v>Johanna Thoms</v>
      </c>
      <c r="R490" s="123" t="str">
        <f ca="1">IFERROR(__xludf.DUMMYFUNCTION("""COMPUTED_VALUE"""),"Noah Hua")</f>
        <v>Noah Hua</v>
      </c>
      <c r="S490" s="123" t="str">
        <f ca="1">IFERROR(__xludf.DUMMYFUNCTION("""COMPUTED_VALUE"""),"Fiona Whatley")</f>
        <v>Fiona Whatley</v>
      </c>
      <c r="T490" s="123" t="str">
        <f ca="1">IFERROR(__xludf.DUMMYFUNCTION("""COMPUTED_VALUE"""),"Jude Erickson")</f>
        <v>Jude Erickson</v>
      </c>
    </row>
    <row r="491" spans="1:20" ht="13.8">
      <c r="A491" s="118" t="str">
        <f ca="1">IFERROR(__xludf.DUMMYFUNCTION("""COMPUTED_VALUE"""),"DR")</f>
        <v>DR</v>
      </c>
      <c r="B491" s="119" t="str">
        <f ca="1">IFERROR(__xludf.DUMMYFUNCTION("""COMPUTED_VALUE"""),"Nina Jaeckel")</f>
        <v>Nina Jaeckel</v>
      </c>
      <c r="C491" s="118">
        <f ca="1">IFERROR(__xludf.DUMMYFUNCTION("""COMPUTED_VALUE"""),14)</f>
        <v>14</v>
      </c>
      <c r="D491" s="118" t="str">
        <f ca="1">IFERROR(__xludf.DUMMYFUNCTION("""COMPUTED_VALUE"""),"G")</f>
        <v>G</v>
      </c>
      <c r="E491" s="118" t="str">
        <f ca="1">IFERROR(__xludf.DUMMYFUNCTION("""COMPUTED_VALUE"""),"I")</f>
        <v>I</v>
      </c>
      <c r="F491" s="118" t="str">
        <f ca="1">IFERROR(__xludf.DUMMYFUNCTION("""COMPUTED_VALUE"""),"S")</f>
        <v>S</v>
      </c>
      <c r="G491" s="118">
        <f ca="1">IFERROR(__xludf.DUMMYFUNCTION("""COMPUTED_VALUE"""),1)</f>
        <v>1</v>
      </c>
      <c r="H491" s="118" t="str">
        <f ca="1">IFERROR(__xludf.DUMMYFUNCTION("""COMPUTED_VALUE"""),"DR")</f>
        <v>DR</v>
      </c>
      <c r="I491" s="118">
        <f ca="1">IFERROR(__xludf.DUMMYFUNCTION("""COMPUTED_VALUE"""),8)</f>
        <v>8</v>
      </c>
      <c r="J491" s="118">
        <f ca="1">IFERROR(__xludf.DUMMYFUNCTION("""COMPUTED_VALUE"""),0)</f>
        <v>0</v>
      </c>
      <c r="K491" s="120"/>
      <c r="L491" s="121"/>
      <c r="M491" s="120"/>
      <c r="N491" s="121"/>
      <c r="O491" s="120"/>
      <c r="P491" s="122"/>
      <c r="Q491" s="123" t="str">
        <f ca="1">IFERROR(__xludf.DUMMYFUNCTION("""COMPUTED_VALUE"""),"Jolene Fernandes")</f>
        <v>Jolene Fernandes</v>
      </c>
      <c r="R491" s="123" t="str">
        <f ca="1">IFERROR(__xludf.DUMMYFUNCTION("""COMPUTED_VALUE"""),"Noah Natnael")</f>
        <v>Noah Natnael</v>
      </c>
      <c r="S491" s="123" t="str">
        <f ca="1">IFERROR(__xludf.DUMMYFUNCTION("""COMPUTED_VALUE"""),"Fiorentina Vargas")</f>
        <v>Fiorentina Vargas</v>
      </c>
      <c r="T491" s="123" t="str">
        <f ca="1">IFERROR(__xludf.DUMMYFUNCTION("""COMPUTED_VALUE"""),"Julian Brown")</f>
        <v>Julian Brown</v>
      </c>
    </row>
    <row r="492" spans="1:20" ht="13.8">
      <c r="A492" s="118" t="str">
        <f ca="1">IFERROR(__xludf.DUMMYFUNCTION("""COMPUTED_VALUE"""),"DR")</f>
        <v>DR</v>
      </c>
      <c r="B492" s="119" t="str">
        <f ca="1">IFERROR(__xludf.DUMMYFUNCTION("""COMPUTED_VALUE"""),"Nora Elder")</f>
        <v>Nora Elder</v>
      </c>
      <c r="C492" s="118">
        <f ca="1">IFERROR(__xludf.DUMMYFUNCTION("""COMPUTED_VALUE"""),14)</f>
        <v>14</v>
      </c>
      <c r="D492" s="118" t="str">
        <f ca="1">IFERROR(__xludf.DUMMYFUNCTION("""COMPUTED_VALUE"""),"G")</f>
        <v>G</v>
      </c>
      <c r="E492" s="118" t="str">
        <f ca="1">IFERROR(__xludf.DUMMYFUNCTION("""COMPUTED_VALUE"""),"I")</f>
        <v>I</v>
      </c>
      <c r="F492" s="118" t="str">
        <f ca="1">IFERROR(__xludf.DUMMYFUNCTION("""COMPUTED_VALUE"""),"S")</f>
        <v>S</v>
      </c>
      <c r="G492" s="118">
        <f ca="1">IFERROR(__xludf.DUMMYFUNCTION("""COMPUTED_VALUE"""),1)</f>
        <v>1</v>
      </c>
      <c r="H492" s="118" t="str">
        <f ca="1">IFERROR(__xludf.DUMMYFUNCTION("""COMPUTED_VALUE"""),"DR")</f>
        <v>DR</v>
      </c>
      <c r="I492" s="118">
        <f ca="1">IFERROR(__xludf.DUMMYFUNCTION("""COMPUTED_VALUE"""),8)</f>
        <v>8</v>
      </c>
      <c r="J492" s="118">
        <f ca="1">IFERROR(__xludf.DUMMYFUNCTION("""COMPUTED_VALUE"""),0)</f>
        <v>0</v>
      </c>
      <c r="K492" s="120"/>
      <c r="L492" s="121"/>
      <c r="M492" s="120"/>
      <c r="N492" s="121"/>
      <c r="O492" s="120"/>
      <c r="P492" s="122"/>
      <c r="Q492" s="123" t="str">
        <f ca="1">IFERROR(__xludf.DUMMYFUNCTION("""COMPUTED_VALUE"""),"Jordana Ghazal")</f>
        <v>Jordana Ghazal</v>
      </c>
      <c r="R492" s="123" t="str">
        <f ca="1">IFERROR(__xludf.DUMMYFUNCTION("""COMPUTED_VALUE"""),"Noah Pierece")</f>
        <v>Noah Pierece</v>
      </c>
      <c r="S492" s="123" t="str">
        <f ca="1">IFERROR(__xludf.DUMMYFUNCTION("""COMPUTED_VALUE"""),"Flor Aldana")</f>
        <v>Flor Aldana</v>
      </c>
      <c r="T492" s="123" t="str">
        <f ca="1">IFERROR(__xludf.DUMMYFUNCTION("""COMPUTED_VALUE"""),"Julian Castro")</f>
        <v>Julian Castro</v>
      </c>
    </row>
    <row r="493" spans="1:20" ht="13.8">
      <c r="A493" s="118" t="str">
        <f ca="1">IFERROR(__xludf.DUMMYFUNCTION("""COMPUTED_VALUE"""),"DR")</f>
        <v>DR</v>
      </c>
      <c r="B493" s="119" t="str">
        <f ca="1">IFERROR(__xludf.DUMMYFUNCTION("""COMPUTED_VALUE"""),"Sasha Ridgway")</f>
        <v>Sasha Ridgway</v>
      </c>
      <c r="C493" s="118">
        <f ca="1">IFERROR(__xludf.DUMMYFUNCTION("""COMPUTED_VALUE"""),14)</f>
        <v>14</v>
      </c>
      <c r="D493" s="118" t="str">
        <f ca="1">IFERROR(__xludf.DUMMYFUNCTION("""COMPUTED_VALUE"""),"G")</f>
        <v>G</v>
      </c>
      <c r="E493" s="118" t="str">
        <f ca="1">IFERROR(__xludf.DUMMYFUNCTION("""COMPUTED_VALUE"""),"I")</f>
        <v>I</v>
      </c>
      <c r="F493" s="118" t="str">
        <f ca="1">IFERROR(__xludf.DUMMYFUNCTION("""COMPUTED_VALUE"""),"S")</f>
        <v>S</v>
      </c>
      <c r="G493" s="118">
        <f ca="1">IFERROR(__xludf.DUMMYFUNCTION("""COMPUTED_VALUE"""),1)</f>
        <v>1</v>
      </c>
      <c r="H493" s="118" t="str">
        <f ca="1">IFERROR(__xludf.DUMMYFUNCTION("""COMPUTED_VALUE"""),"DR")</f>
        <v>DR</v>
      </c>
      <c r="I493" s="118">
        <f ca="1">IFERROR(__xludf.DUMMYFUNCTION("""COMPUTED_VALUE"""),8)</f>
        <v>8</v>
      </c>
      <c r="J493" s="118">
        <f ca="1">IFERROR(__xludf.DUMMYFUNCTION("""COMPUTED_VALUE"""),2)</f>
        <v>2</v>
      </c>
      <c r="K493" s="120">
        <f ca="1">IFERROR(__xludf.DUMMYFUNCTION("""COMPUTED_VALUE"""),138.75)</f>
        <v>138.75</v>
      </c>
      <c r="L493" s="121"/>
      <c r="M493" s="120"/>
      <c r="N493" s="121"/>
      <c r="O493" s="120"/>
      <c r="P493" s="122"/>
      <c r="Q493" s="123" t="str">
        <f ca="1">IFERROR(__xludf.DUMMYFUNCTION("""COMPUTED_VALUE"""),"Joseph Deaton")</f>
        <v>Joseph Deaton</v>
      </c>
      <c r="R493" s="123" t="str">
        <f ca="1">IFERROR(__xludf.DUMMYFUNCTION("""COMPUTED_VALUE"""),"Nolan Cherryholmes-Wesley")</f>
        <v>Nolan Cherryholmes-Wesley</v>
      </c>
      <c r="S493" s="123" t="str">
        <f ca="1">IFERROR(__xludf.DUMMYFUNCTION("""COMPUTED_VALUE"""),"Florence Lodico")</f>
        <v>Florence Lodico</v>
      </c>
      <c r="T493" s="123" t="str">
        <f ca="1">IFERROR(__xludf.DUMMYFUNCTION("""COMPUTED_VALUE"""),"Julian Medina-Keith")</f>
        <v>Julian Medina-Keith</v>
      </c>
    </row>
    <row r="494" spans="1:20" ht="13.8">
      <c r="A494" s="118" t="str">
        <f ca="1">IFERROR(__xludf.DUMMYFUNCTION("""COMPUTED_VALUE"""),"DR")</f>
        <v>DR</v>
      </c>
      <c r="B494" s="119" t="str">
        <f ca="1">IFERROR(__xludf.DUMMYFUNCTION("""COMPUTED_VALUE"""),"Taylor McDonnell")</f>
        <v>Taylor McDonnell</v>
      </c>
      <c r="C494" s="118">
        <f ca="1">IFERROR(__xludf.DUMMYFUNCTION("""COMPUTED_VALUE"""),13)</f>
        <v>13</v>
      </c>
      <c r="D494" s="118" t="str">
        <f ca="1">IFERROR(__xludf.DUMMYFUNCTION("""COMPUTED_VALUE"""),"G")</f>
        <v>G</v>
      </c>
      <c r="E494" s="118" t="str">
        <f ca="1">IFERROR(__xludf.DUMMYFUNCTION("""COMPUTED_VALUE"""),"I")</f>
        <v>I</v>
      </c>
      <c r="F494" s="118" t="str">
        <f ca="1">IFERROR(__xludf.DUMMYFUNCTION("""COMPUTED_VALUE"""),"S")</f>
        <v>S</v>
      </c>
      <c r="G494" s="118">
        <f ca="1">IFERROR(__xludf.DUMMYFUNCTION("""COMPUTED_VALUE"""),1)</f>
        <v>1</v>
      </c>
      <c r="H494" s="118" t="str">
        <f ca="1">IFERROR(__xludf.DUMMYFUNCTION("""COMPUTED_VALUE"""),"DR")</f>
        <v>DR</v>
      </c>
      <c r="I494" s="118">
        <f ca="1">IFERROR(__xludf.DUMMYFUNCTION("""COMPUTED_VALUE"""),8)</f>
        <v>8</v>
      </c>
      <c r="J494" s="118">
        <f ca="1">IFERROR(__xludf.DUMMYFUNCTION("""COMPUTED_VALUE"""),5)</f>
        <v>5</v>
      </c>
      <c r="K494" s="120">
        <f ca="1">IFERROR(__xludf.DUMMYFUNCTION("""COMPUTED_VALUE"""),139.8)</f>
        <v>139.80000000000001</v>
      </c>
      <c r="L494" s="121"/>
      <c r="M494" s="120">
        <f ca="1">IFERROR(__xludf.DUMMYFUNCTION("""COMPUTED_VALUE"""),139.4)</f>
        <v>139.4</v>
      </c>
      <c r="N494" s="121"/>
      <c r="O494" s="120">
        <f ca="1">IFERROR(__xludf.DUMMYFUNCTION("""COMPUTED_VALUE"""),121.05)</f>
        <v>121.05</v>
      </c>
      <c r="P494" s="122"/>
      <c r="Q494" s="123" t="str">
        <f ca="1">IFERROR(__xludf.DUMMYFUNCTION("""COMPUTED_VALUE"""),"Josephine Daher")</f>
        <v>Josephine Daher</v>
      </c>
      <c r="R494" s="123" t="str">
        <f ca="1">IFERROR(__xludf.DUMMYFUNCTION("""COMPUTED_VALUE"""),"Nolan Walsh")</f>
        <v>Nolan Walsh</v>
      </c>
      <c r="S494" s="123" t="str">
        <f ca="1">IFERROR(__xludf.DUMMYFUNCTION("""COMPUTED_VALUE"""),"Francesca Hernandez")</f>
        <v>Francesca Hernandez</v>
      </c>
      <c r="T494" s="123" t="str">
        <f ca="1">IFERROR(__xludf.DUMMYFUNCTION("""COMPUTED_VALUE"""),"Justin Jair")</f>
        <v>Justin Jair</v>
      </c>
    </row>
    <row r="495" spans="1:20" ht="13.8">
      <c r="A495" s="118" t="str">
        <f ca="1">IFERROR(__xludf.DUMMYFUNCTION("""COMPUTED_VALUE"""),"DR")</f>
        <v>DR</v>
      </c>
      <c r="B495" s="119" t="str">
        <f ca="1">IFERROR(__xludf.DUMMYFUNCTION("""COMPUTED_VALUE"""),"Carter Addison")</f>
        <v>Carter Addison</v>
      </c>
      <c r="C495" s="118">
        <f ca="1">IFERROR(__xludf.DUMMYFUNCTION("""COMPUTED_VALUE"""),13)</f>
        <v>13</v>
      </c>
      <c r="D495" s="118" t="str">
        <f ca="1">IFERROR(__xludf.DUMMYFUNCTION("""COMPUTED_VALUE"""),"B")</f>
        <v>B</v>
      </c>
      <c r="E495" s="118" t="str">
        <f ca="1">IFERROR(__xludf.DUMMYFUNCTION("""COMPUTED_VALUE"""),"I")</f>
        <v>I</v>
      </c>
      <c r="F495" s="118" t="str">
        <f ca="1">IFERROR(__xludf.DUMMYFUNCTION("""COMPUTED_VALUE"""),"S")</f>
        <v>S</v>
      </c>
      <c r="G495" s="118">
        <f ca="1">IFERROR(__xludf.DUMMYFUNCTION("""COMPUTED_VALUE"""),1)</f>
        <v>1</v>
      </c>
      <c r="H495" s="118" t="str">
        <f ca="1">IFERROR(__xludf.DUMMYFUNCTION("""COMPUTED_VALUE"""),"DR")</f>
        <v>DR</v>
      </c>
      <c r="I495" s="118">
        <f ca="1">IFERROR(__xludf.DUMMYFUNCTION("""COMPUTED_VALUE"""),9)</f>
        <v>9</v>
      </c>
      <c r="J495" s="118">
        <f ca="1">IFERROR(__xludf.DUMMYFUNCTION("""COMPUTED_VALUE"""),3)</f>
        <v>3</v>
      </c>
      <c r="K495" s="120">
        <f ca="1">IFERROR(__xludf.DUMMYFUNCTION("""COMPUTED_VALUE"""),131.7)</f>
        <v>131.69999999999999</v>
      </c>
      <c r="L495" s="121"/>
      <c r="M495" s="120"/>
      <c r="N495" s="121"/>
      <c r="O495" s="120">
        <f ca="1">IFERROR(__xludf.DUMMYFUNCTION("""COMPUTED_VALUE"""),106.2)</f>
        <v>106.2</v>
      </c>
      <c r="P495" s="122"/>
      <c r="Q495" s="123" t="str">
        <f ca="1">IFERROR(__xludf.DUMMYFUNCTION("""COMPUTED_VALUE"""),"Josephine Wills")</f>
        <v>Josephine Wills</v>
      </c>
      <c r="R495" s="123" t="str">
        <f ca="1">IFERROR(__xludf.DUMMYFUNCTION("""COMPUTED_VALUE"""),"Oli Waisberg")</f>
        <v>Oli Waisberg</v>
      </c>
      <c r="S495" s="123" t="str">
        <f ca="1">IFERROR(__xludf.DUMMYFUNCTION("""COMPUTED_VALUE"""),"Francesca Pereira")</f>
        <v>Francesca Pereira</v>
      </c>
      <c r="T495" s="123" t="str">
        <f ca="1">IFERROR(__xludf.DUMMYFUNCTION("""COMPUTED_VALUE"""),"Justin Kroopnick")</f>
        <v>Justin Kroopnick</v>
      </c>
    </row>
    <row r="496" spans="1:20" ht="13.8">
      <c r="A496" s="118" t="str">
        <f ca="1">IFERROR(__xludf.DUMMYFUNCTION("""COMPUTED_VALUE"""),"DR")</f>
        <v>DR</v>
      </c>
      <c r="B496" s="119" t="str">
        <f ca="1">IFERROR(__xludf.DUMMYFUNCTION("""COMPUTED_VALUE"""),"Eli Chin-Fatt")</f>
        <v>Eli Chin-Fatt</v>
      </c>
      <c r="C496" s="118">
        <f ca="1">IFERROR(__xludf.DUMMYFUNCTION("""COMPUTED_VALUE"""),13)</f>
        <v>13</v>
      </c>
      <c r="D496" s="118" t="str">
        <f ca="1">IFERROR(__xludf.DUMMYFUNCTION("""COMPUTED_VALUE"""),"B")</f>
        <v>B</v>
      </c>
      <c r="E496" s="118" t="str">
        <f ca="1">IFERROR(__xludf.DUMMYFUNCTION("""COMPUTED_VALUE"""),"I")</f>
        <v>I</v>
      </c>
      <c r="F496" s="118" t="str">
        <f ca="1">IFERROR(__xludf.DUMMYFUNCTION("""COMPUTED_VALUE"""),"S")</f>
        <v>S</v>
      </c>
      <c r="G496" s="118">
        <f ca="1">IFERROR(__xludf.DUMMYFUNCTION("""COMPUTED_VALUE"""),1)</f>
        <v>1</v>
      </c>
      <c r="H496" s="118" t="str">
        <f ca="1">IFERROR(__xludf.DUMMYFUNCTION("""COMPUTED_VALUE"""),"DR")</f>
        <v>DR</v>
      </c>
      <c r="I496" s="118">
        <f ca="1">IFERROR(__xludf.DUMMYFUNCTION("""COMPUTED_VALUE"""),9)</f>
        <v>9</v>
      </c>
      <c r="J496" s="118">
        <f ca="1">IFERROR(__xludf.DUMMYFUNCTION("""COMPUTED_VALUE"""),5)</f>
        <v>5</v>
      </c>
      <c r="K496" s="120">
        <f ca="1">IFERROR(__xludf.DUMMYFUNCTION("""COMPUTED_VALUE"""),146.55)</f>
        <v>146.55000000000001</v>
      </c>
      <c r="L496" s="121"/>
      <c r="M496" s="120">
        <f ca="1">IFERROR(__xludf.DUMMYFUNCTION("""COMPUTED_VALUE"""),145.25)</f>
        <v>145.25</v>
      </c>
      <c r="N496" s="121"/>
      <c r="O496" s="120">
        <f ca="1">IFERROR(__xludf.DUMMYFUNCTION("""COMPUTED_VALUE"""),119.8)</f>
        <v>119.8</v>
      </c>
      <c r="P496" s="122"/>
      <c r="Q496" s="123" t="str">
        <f ca="1">IFERROR(__xludf.DUMMYFUNCTION("""COMPUTED_VALUE"""),"Josie Griffith")</f>
        <v>Josie Griffith</v>
      </c>
      <c r="R496" s="123" t="str">
        <f ca="1">IFERROR(__xludf.DUMMYFUNCTION("""COMPUTED_VALUE"""),"Oliver Conole")</f>
        <v>Oliver Conole</v>
      </c>
      <c r="S496" s="123" t="str">
        <f ca="1">IFERROR(__xludf.DUMMYFUNCTION("""COMPUTED_VALUE"""),"Frankie Eckenrode")</f>
        <v>Frankie Eckenrode</v>
      </c>
      <c r="T496" s="123" t="str">
        <f ca="1">IFERROR(__xludf.DUMMYFUNCTION("""COMPUTED_VALUE"""),"Kai Boulter")</f>
        <v>Kai Boulter</v>
      </c>
    </row>
    <row r="497" spans="1:20" ht="13.8">
      <c r="A497" s="118" t="str">
        <f ca="1">IFERROR(__xludf.DUMMYFUNCTION("""COMPUTED_VALUE"""),"DR")</f>
        <v>DR</v>
      </c>
      <c r="B497" s="119" t="str">
        <f ca="1">IFERROR(__xludf.DUMMYFUNCTION("""COMPUTED_VALUE"""),"Jack Englerth")</f>
        <v>Jack Englerth</v>
      </c>
      <c r="C497" s="118">
        <f ca="1">IFERROR(__xludf.DUMMYFUNCTION("""COMPUTED_VALUE"""),14)</f>
        <v>14</v>
      </c>
      <c r="D497" s="118" t="str">
        <f ca="1">IFERROR(__xludf.DUMMYFUNCTION("""COMPUTED_VALUE"""),"B")</f>
        <v>B</v>
      </c>
      <c r="E497" s="118" t="str">
        <f ca="1">IFERROR(__xludf.DUMMYFUNCTION("""COMPUTED_VALUE"""),"I")</f>
        <v>I</v>
      </c>
      <c r="F497" s="118" t="str">
        <f ca="1">IFERROR(__xludf.DUMMYFUNCTION("""COMPUTED_VALUE"""),"S")</f>
        <v>S</v>
      </c>
      <c r="G497" s="118">
        <f ca="1">IFERROR(__xludf.DUMMYFUNCTION("""COMPUTED_VALUE"""),1)</f>
        <v>1</v>
      </c>
      <c r="H497" s="118" t="str">
        <f ca="1">IFERROR(__xludf.DUMMYFUNCTION("""COMPUTED_VALUE"""),"DR")</f>
        <v>DR</v>
      </c>
      <c r="I497" s="118">
        <f ca="1">IFERROR(__xludf.DUMMYFUNCTION("""COMPUTED_VALUE"""),9)</f>
        <v>9</v>
      </c>
      <c r="J497" s="118">
        <f ca="1">IFERROR(__xludf.DUMMYFUNCTION("""COMPUTED_VALUE"""),4)</f>
        <v>4</v>
      </c>
      <c r="K497" s="120">
        <f ca="1">IFERROR(__xludf.DUMMYFUNCTION("""COMPUTED_VALUE"""),128.9)</f>
        <v>128.9</v>
      </c>
      <c r="L497" s="121"/>
      <c r="M497" s="120">
        <f ca="1">IFERROR(__xludf.DUMMYFUNCTION("""COMPUTED_VALUE"""),119.75)</f>
        <v>119.75</v>
      </c>
      <c r="N497" s="121"/>
      <c r="O497" s="120"/>
      <c r="P497" s="122"/>
      <c r="Q497" s="123" t="str">
        <f ca="1">IFERROR(__xludf.DUMMYFUNCTION("""COMPUTED_VALUE"""),"Josie Miller")</f>
        <v>Josie Miller</v>
      </c>
      <c r="R497" s="123" t="str">
        <f ca="1">IFERROR(__xludf.DUMMYFUNCTION("""COMPUTED_VALUE"""),"Oliver Jarvis")</f>
        <v>Oliver Jarvis</v>
      </c>
      <c r="S497" s="123" t="str">
        <f ca="1">IFERROR(__xludf.DUMMYFUNCTION("""COMPUTED_VALUE"""),"Frankie Herrick")</f>
        <v>Frankie Herrick</v>
      </c>
      <c r="T497" s="123" t="str">
        <f ca="1">IFERROR(__xludf.DUMMYFUNCTION("""COMPUTED_VALUE"""),"Kai Cannon")</f>
        <v>Kai Cannon</v>
      </c>
    </row>
    <row r="498" spans="1:20" ht="13.8">
      <c r="A498" s="118" t="str">
        <f ca="1">IFERROR(__xludf.DUMMYFUNCTION("""COMPUTED_VALUE"""),"DR")</f>
        <v>DR</v>
      </c>
      <c r="B498" s="119" t="str">
        <f ca="1">IFERROR(__xludf.DUMMYFUNCTION("""COMPUTED_VALUE"""),"Jett Bastow")</f>
        <v>Jett Bastow</v>
      </c>
      <c r="C498" s="118">
        <f ca="1">IFERROR(__xludf.DUMMYFUNCTION("""COMPUTED_VALUE"""),14)</f>
        <v>14</v>
      </c>
      <c r="D498" s="118" t="str">
        <f ca="1">IFERROR(__xludf.DUMMYFUNCTION("""COMPUTED_VALUE"""),"B")</f>
        <v>B</v>
      </c>
      <c r="E498" s="118" t="str">
        <f ca="1">IFERROR(__xludf.DUMMYFUNCTION("""COMPUTED_VALUE"""),"I")</f>
        <v>I</v>
      </c>
      <c r="F498" s="118" t="str">
        <f ca="1">IFERROR(__xludf.DUMMYFUNCTION("""COMPUTED_VALUE"""),"S")</f>
        <v>S</v>
      </c>
      <c r="G498" s="118">
        <f ca="1">IFERROR(__xludf.DUMMYFUNCTION("""COMPUTED_VALUE"""),1)</f>
        <v>1</v>
      </c>
      <c r="H498" s="118" t="str">
        <f ca="1">IFERROR(__xludf.DUMMYFUNCTION("""COMPUTED_VALUE"""),"DR")</f>
        <v>DR</v>
      </c>
      <c r="I498" s="118">
        <f ca="1">IFERROR(__xludf.DUMMYFUNCTION("""COMPUTED_VALUE"""),9)</f>
        <v>9</v>
      </c>
      <c r="J498" s="118">
        <f ca="1">IFERROR(__xludf.DUMMYFUNCTION("""COMPUTED_VALUE"""),2)</f>
        <v>2</v>
      </c>
      <c r="K498" s="120">
        <f ca="1">IFERROR(__xludf.DUMMYFUNCTION("""COMPUTED_VALUE"""),107.8)</f>
        <v>107.8</v>
      </c>
      <c r="L498" s="121"/>
      <c r="M498" s="120">
        <f ca="1">IFERROR(__xludf.DUMMYFUNCTION("""COMPUTED_VALUE"""),107.8)</f>
        <v>107.8</v>
      </c>
      <c r="N498" s="121"/>
      <c r="O498" s="120"/>
      <c r="P498" s="122"/>
      <c r="Q498" s="123" t="str">
        <f ca="1">IFERROR(__xludf.DUMMYFUNCTION("""COMPUTED_VALUE"""),"Josie Newsad")</f>
        <v>Josie Newsad</v>
      </c>
      <c r="R498" s="123" t="str">
        <f ca="1">IFERROR(__xludf.DUMMYFUNCTION("""COMPUTED_VALUE"""),"Oliver Katz")</f>
        <v>Oliver Katz</v>
      </c>
      <c r="S498" s="123" t="str">
        <f ca="1">IFERROR(__xludf.DUMMYFUNCTION("""COMPUTED_VALUE"""),"Frankie Wilson")</f>
        <v>Frankie Wilson</v>
      </c>
      <c r="T498" s="123" t="str">
        <f ca="1">IFERROR(__xludf.DUMMYFUNCTION("""COMPUTED_VALUE"""),"Kai Sheriff")</f>
        <v>Kai Sheriff</v>
      </c>
    </row>
    <row r="499" spans="1:20" ht="13.8">
      <c r="A499" s="118" t="str">
        <f ca="1">IFERROR(__xludf.DUMMYFUNCTION("""COMPUTED_VALUE"""),"DR")</f>
        <v>DR</v>
      </c>
      <c r="B499" s="119" t="str">
        <f ca="1">IFERROR(__xludf.DUMMYFUNCTION("""COMPUTED_VALUE"""),"Michael Staren")</f>
        <v>Michael Staren</v>
      </c>
      <c r="C499" s="118">
        <f ca="1">IFERROR(__xludf.DUMMYFUNCTION("""COMPUTED_VALUE"""),14)</f>
        <v>14</v>
      </c>
      <c r="D499" s="118" t="str">
        <f ca="1">IFERROR(__xludf.DUMMYFUNCTION("""COMPUTED_VALUE"""),"B")</f>
        <v>B</v>
      </c>
      <c r="E499" s="118" t="str">
        <f ca="1">IFERROR(__xludf.DUMMYFUNCTION("""COMPUTED_VALUE"""),"I")</f>
        <v>I</v>
      </c>
      <c r="F499" s="118" t="str">
        <f ca="1">IFERROR(__xludf.DUMMYFUNCTION("""COMPUTED_VALUE"""),"S")</f>
        <v>S</v>
      </c>
      <c r="G499" s="118">
        <f ca="1">IFERROR(__xludf.DUMMYFUNCTION("""COMPUTED_VALUE"""),1)</f>
        <v>1</v>
      </c>
      <c r="H499" s="118" t="str">
        <f ca="1">IFERROR(__xludf.DUMMYFUNCTION("""COMPUTED_VALUE"""),"DR")</f>
        <v>DR</v>
      </c>
      <c r="I499" s="118">
        <f ca="1">IFERROR(__xludf.DUMMYFUNCTION("""COMPUTED_VALUE"""),9)</f>
        <v>9</v>
      </c>
      <c r="J499" s="118">
        <f ca="1">IFERROR(__xludf.DUMMYFUNCTION("""COMPUTED_VALUE"""),4)</f>
        <v>4</v>
      </c>
      <c r="K499" s="120">
        <f ca="1">IFERROR(__xludf.DUMMYFUNCTION("""COMPUTED_VALUE"""),142.4)</f>
        <v>142.4</v>
      </c>
      <c r="L499" s="121"/>
      <c r="M499" s="120">
        <f ca="1">IFERROR(__xludf.DUMMYFUNCTION("""COMPUTED_VALUE"""),97.3)</f>
        <v>97.3</v>
      </c>
      <c r="N499" s="121"/>
      <c r="O499" s="120"/>
      <c r="P499" s="122"/>
      <c r="Q499" s="123" t="str">
        <f ca="1">IFERROR(__xludf.DUMMYFUNCTION("""COMPUTED_VALUE"""),"Josie Odom")</f>
        <v>Josie Odom</v>
      </c>
      <c r="R499" s="123" t="str">
        <f ca="1">IFERROR(__xludf.DUMMYFUNCTION("""COMPUTED_VALUE"""),"Oliver Long")</f>
        <v>Oliver Long</v>
      </c>
      <c r="S499" s="123" t="str">
        <f ca="1">IFERROR(__xludf.DUMMYFUNCTION("""COMPUTED_VALUE"""),"Freya Griffiths")</f>
        <v>Freya Griffiths</v>
      </c>
      <c r="T499" s="123" t="str">
        <f ca="1">IFERROR(__xludf.DUMMYFUNCTION("""COMPUTED_VALUE"""),"Kai Threadgill")</f>
        <v>Kai Threadgill</v>
      </c>
    </row>
    <row r="500" spans="1:20" ht="13.8">
      <c r="A500" s="118" t="str">
        <f ca="1">IFERROR(__xludf.DUMMYFUNCTION("""COMPUTED_VALUE"""),"DR")</f>
        <v>DR</v>
      </c>
      <c r="B500" s="119" t="str">
        <f ca="1">IFERROR(__xludf.DUMMYFUNCTION("""COMPUTED_VALUE"""),"Niko Klimek")</f>
        <v>Niko Klimek</v>
      </c>
      <c r="C500" s="118">
        <f ca="1">IFERROR(__xludf.DUMMYFUNCTION("""COMPUTED_VALUE"""),13)</f>
        <v>13</v>
      </c>
      <c r="D500" s="118" t="str">
        <f ca="1">IFERROR(__xludf.DUMMYFUNCTION("""COMPUTED_VALUE"""),"B")</f>
        <v>B</v>
      </c>
      <c r="E500" s="118" t="str">
        <f ca="1">IFERROR(__xludf.DUMMYFUNCTION("""COMPUTED_VALUE"""),"I")</f>
        <v>I</v>
      </c>
      <c r="F500" s="118" t="str">
        <f ca="1">IFERROR(__xludf.DUMMYFUNCTION("""COMPUTED_VALUE"""),"S")</f>
        <v>S</v>
      </c>
      <c r="G500" s="118">
        <f ca="1">IFERROR(__xludf.DUMMYFUNCTION("""COMPUTED_VALUE"""),1)</f>
        <v>1</v>
      </c>
      <c r="H500" s="118" t="str">
        <f ca="1">IFERROR(__xludf.DUMMYFUNCTION("""COMPUTED_VALUE"""),"DR")</f>
        <v>DR</v>
      </c>
      <c r="I500" s="118">
        <f ca="1">IFERROR(__xludf.DUMMYFUNCTION("""COMPUTED_VALUE"""),9)</f>
        <v>9</v>
      </c>
      <c r="J500" s="118">
        <f ca="1">IFERROR(__xludf.DUMMYFUNCTION("""COMPUTED_VALUE"""),0)</f>
        <v>0</v>
      </c>
      <c r="K500" s="120"/>
      <c r="L500" s="121"/>
      <c r="M500" s="120"/>
      <c r="N500" s="121"/>
      <c r="O500" s="120"/>
      <c r="P500" s="122"/>
      <c r="Q500" s="123" t="str">
        <f ca="1">IFERROR(__xludf.DUMMYFUNCTION("""COMPUTED_VALUE"""),"Jourdan Evans")</f>
        <v>Jourdan Evans</v>
      </c>
      <c r="R500" s="123" t="str">
        <f ca="1">IFERROR(__xludf.DUMMYFUNCTION("""COMPUTED_VALUE"""),"Oliver Roques")</f>
        <v>Oliver Roques</v>
      </c>
      <c r="S500" s="123" t="str">
        <f ca="1">IFERROR(__xludf.DUMMYFUNCTION("""COMPUTED_VALUE"""),"Gabby Gallagher")</f>
        <v>Gabby Gallagher</v>
      </c>
      <c r="T500" s="123" t="str">
        <f ca="1">IFERROR(__xludf.DUMMYFUNCTION("""COMPUTED_VALUE"""),"Kaleb Wisner")</f>
        <v>Kaleb Wisner</v>
      </c>
    </row>
    <row r="501" spans="1:20" ht="13.8">
      <c r="A501" s="118" t="str">
        <f ca="1">IFERROR(__xludf.DUMMYFUNCTION("""COMPUTED_VALUE"""),"DR")</f>
        <v>DR</v>
      </c>
      <c r="B501" s="119" t="str">
        <f ca="1">IFERROR(__xludf.DUMMYFUNCTION("""COMPUTED_VALUE"""),"Todd Orvald")</f>
        <v>Todd Orvald</v>
      </c>
      <c r="C501" s="118">
        <f ca="1">IFERROR(__xludf.DUMMYFUNCTION("""COMPUTED_VALUE"""),13)</f>
        <v>13</v>
      </c>
      <c r="D501" s="118" t="str">
        <f ca="1">IFERROR(__xludf.DUMMYFUNCTION("""COMPUTED_VALUE"""),"B")</f>
        <v>B</v>
      </c>
      <c r="E501" s="118" t="str">
        <f ca="1">IFERROR(__xludf.DUMMYFUNCTION("""COMPUTED_VALUE"""),"I")</f>
        <v>I</v>
      </c>
      <c r="F501" s="118" t="str">
        <f ca="1">IFERROR(__xludf.DUMMYFUNCTION("""COMPUTED_VALUE"""),"S")</f>
        <v>S</v>
      </c>
      <c r="G501" s="118">
        <f ca="1">IFERROR(__xludf.DUMMYFUNCTION("""COMPUTED_VALUE"""),1)</f>
        <v>1</v>
      </c>
      <c r="H501" s="118" t="str">
        <f ca="1">IFERROR(__xludf.DUMMYFUNCTION("""COMPUTED_VALUE"""),"DR")</f>
        <v>DR</v>
      </c>
      <c r="I501" s="118">
        <f ca="1">IFERROR(__xludf.DUMMYFUNCTION("""COMPUTED_VALUE"""),9)</f>
        <v>9</v>
      </c>
      <c r="J501" s="118">
        <f ca="1">IFERROR(__xludf.DUMMYFUNCTION("""COMPUTED_VALUE"""),4)</f>
        <v>4</v>
      </c>
      <c r="K501" s="120">
        <f ca="1">IFERROR(__xludf.DUMMYFUNCTION("""COMPUTED_VALUE"""),122.5)</f>
        <v>122.5</v>
      </c>
      <c r="L501" s="121"/>
      <c r="M501" s="120">
        <f ca="1">IFERROR(__xludf.DUMMYFUNCTION("""COMPUTED_VALUE"""),120.6)</f>
        <v>120.6</v>
      </c>
      <c r="N501" s="121"/>
      <c r="O501" s="120">
        <f ca="1">IFERROR(__xludf.DUMMYFUNCTION("""COMPUTED_VALUE"""),101.45)</f>
        <v>101.45</v>
      </c>
      <c r="P501" s="122"/>
      <c r="Q501" s="123" t="str">
        <f ca="1">IFERROR(__xludf.DUMMYFUNCTION("""COMPUTED_VALUE"""),"Jules Hiner")</f>
        <v>Jules Hiner</v>
      </c>
      <c r="R501" s="123" t="str">
        <f ca="1">IFERROR(__xludf.DUMMYFUNCTION("""COMPUTED_VALUE"""),"Oliver Rosenberg")</f>
        <v>Oliver Rosenberg</v>
      </c>
      <c r="S501" s="123" t="str">
        <f ca="1">IFERROR(__xludf.DUMMYFUNCTION("""COMPUTED_VALUE"""),"Gabby Heredia")</f>
        <v>Gabby Heredia</v>
      </c>
      <c r="T501" s="123" t="str">
        <f ca="1">IFERROR(__xludf.DUMMYFUNCTION("""COMPUTED_VALUE"""),"Kalyan Williams")</f>
        <v>Kalyan Williams</v>
      </c>
    </row>
    <row r="502" spans="1:20" ht="13.8">
      <c r="A502" s="118" t="str">
        <f ca="1">IFERROR(__xludf.DUMMYFUNCTION("""COMPUTED_VALUE"""),"DR")</f>
        <v>DR</v>
      </c>
      <c r="B502" s="119" t="str">
        <f ca="1">IFERROR(__xludf.DUMMYFUNCTION("""COMPUTED_VALUE"""),"Vikram Martinez")</f>
        <v>Vikram Martinez</v>
      </c>
      <c r="C502" s="118">
        <f ca="1">IFERROR(__xludf.DUMMYFUNCTION("""COMPUTED_VALUE"""),14)</f>
        <v>14</v>
      </c>
      <c r="D502" s="118" t="str">
        <f ca="1">IFERROR(__xludf.DUMMYFUNCTION("""COMPUTED_VALUE"""),"B")</f>
        <v>B</v>
      </c>
      <c r="E502" s="118" t="str">
        <f ca="1">IFERROR(__xludf.DUMMYFUNCTION("""COMPUTED_VALUE"""),"I")</f>
        <v>I</v>
      </c>
      <c r="F502" s="118" t="str">
        <f ca="1">IFERROR(__xludf.DUMMYFUNCTION("""COMPUTED_VALUE"""),"S")</f>
        <v>S</v>
      </c>
      <c r="G502" s="118">
        <f ca="1">IFERROR(__xludf.DUMMYFUNCTION("""COMPUTED_VALUE"""),1)</f>
        <v>1</v>
      </c>
      <c r="H502" s="118" t="str">
        <f ca="1">IFERROR(__xludf.DUMMYFUNCTION("""COMPUTED_VALUE"""),"DR")</f>
        <v>DR</v>
      </c>
      <c r="I502" s="118">
        <f ca="1">IFERROR(__xludf.DUMMYFUNCTION("""COMPUTED_VALUE"""),9)</f>
        <v>9</v>
      </c>
      <c r="J502" s="118">
        <f ca="1">IFERROR(__xludf.DUMMYFUNCTION("""COMPUTED_VALUE"""),5)</f>
        <v>5</v>
      </c>
      <c r="K502" s="120">
        <f ca="1">IFERROR(__xludf.DUMMYFUNCTION("""COMPUTED_VALUE"""),112.1)</f>
        <v>112.1</v>
      </c>
      <c r="L502" s="121"/>
      <c r="M502" s="120">
        <f ca="1">IFERROR(__xludf.DUMMYFUNCTION("""COMPUTED_VALUE"""),101)</f>
        <v>101</v>
      </c>
      <c r="N502" s="121"/>
      <c r="O502" s="120">
        <f ca="1">IFERROR(__xludf.DUMMYFUNCTION("""COMPUTED_VALUE"""),85.55)</f>
        <v>85.55</v>
      </c>
      <c r="P502" s="122"/>
      <c r="Q502" s="123" t="str">
        <f ca="1">IFERROR(__xludf.DUMMYFUNCTION("""COMPUTED_VALUE"""),"Jules Olsen")</f>
        <v>Jules Olsen</v>
      </c>
      <c r="R502" s="123" t="str">
        <f ca="1">IFERROR(__xludf.DUMMYFUNCTION("""COMPUTED_VALUE"""),"Oliver Shum-Sanders")</f>
        <v>Oliver Shum-Sanders</v>
      </c>
      <c r="S502" s="123" t="str">
        <f ca="1">IFERROR(__xludf.DUMMYFUNCTION("""COMPUTED_VALUE"""),"Gabby Koclanes")</f>
        <v>Gabby Koclanes</v>
      </c>
      <c r="T502" s="123" t="str">
        <f ca="1">IFERROR(__xludf.DUMMYFUNCTION("""COMPUTED_VALUE"""),"Kamran Martin")</f>
        <v>Kamran Martin</v>
      </c>
    </row>
    <row r="503" spans="1:20" ht="13.8">
      <c r="A503" s="118" t="str">
        <f ca="1">IFERROR(__xludf.DUMMYFUNCTION("""COMPUTED_VALUE"""),"DR")</f>
        <v>DR</v>
      </c>
      <c r="B503" s="119" t="str">
        <f ca="1">IFERROR(__xludf.DUMMYFUNCTION("""COMPUTED_VALUE"""),"Addison Johnson")</f>
        <v>Addison Johnson</v>
      </c>
      <c r="C503" s="118">
        <f ca="1">IFERROR(__xludf.DUMMYFUNCTION("""COMPUTED_VALUE"""),15)</f>
        <v>15</v>
      </c>
      <c r="D503" s="118" t="str">
        <f ca="1">IFERROR(__xludf.DUMMYFUNCTION("""COMPUTED_VALUE"""),"G")</f>
        <v>G</v>
      </c>
      <c r="E503" s="118" t="str">
        <f ca="1">IFERROR(__xludf.DUMMYFUNCTION("""COMPUTED_VALUE"""),"S")</f>
        <v>S</v>
      </c>
      <c r="F503" s="118" t="str">
        <f ca="1">IFERROR(__xludf.DUMMYFUNCTION("""COMPUTED_VALUE"""),"S")</f>
        <v>S</v>
      </c>
      <c r="G503" s="118">
        <f ca="1">IFERROR(__xludf.DUMMYFUNCTION("""COMPUTED_VALUE"""),1)</f>
        <v>1</v>
      </c>
      <c r="H503" s="118" t="str">
        <f ca="1">IFERROR(__xludf.DUMMYFUNCTION("""COMPUTED_VALUE"""),"DR")</f>
        <v>DR</v>
      </c>
      <c r="I503" s="118">
        <f ca="1">IFERROR(__xludf.DUMMYFUNCTION("""COMPUTED_VALUE"""),10)</f>
        <v>10</v>
      </c>
      <c r="J503" s="118">
        <f ca="1">IFERROR(__xludf.DUMMYFUNCTION("""COMPUTED_VALUE"""),0)</f>
        <v>0</v>
      </c>
      <c r="K503" s="120"/>
      <c r="L503" s="121"/>
      <c r="M503" s="120"/>
      <c r="N503" s="121"/>
      <c r="O503" s="120"/>
      <c r="P503" s="122"/>
      <c r="Q503" s="123" t="str">
        <f ca="1">IFERROR(__xludf.DUMMYFUNCTION("""COMPUTED_VALUE"""),"Jules Tetreault")</f>
        <v>Jules Tetreault</v>
      </c>
      <c r="R503" s="123" t="str">
        <f ca="1">IFERROR(__xludf.DUMMYFUNCTION("""COMPUTED_VALUE"""),"Orion Albers")</f>
        <v>Orion Albers</v>
      </c>
      <c r="S503" s="123" t="str">
        <f ca="1">IFERROR(__xludf.DUMMYFUNCTION("""COMPUTED_VALUE"""),"Gabi Rodriguez")</f>
        <v>Gabi Rodriguez</v>
      </c>
      <c r="T503" s="123" t="str">
        <f ca="1">IFERROR(__xludf.DUMMYFUNCTION("""COMPUTED_VALUE"""),"Karmvir Sidhu")</f>
        <v>Karmvir Sidhu</v>
      </c>
    </row>
    <row r="504" spans="1:20" ht="13.8">
      <c r="A504" s="118" t="str">
        <f ca="1">IFERROR(__xludf.DUMMYFUNCTION("""COMPUTED_VALUE"""),"DR")</f>
        <v>DR</v>
      </c>
      <c r="B504" s="119" t="str">
        <f ca="1">IFERROR(__xludf.DUMMYFUNCTION("""COMPUTED_VALUE"""),"Audrey Bowman")</f>
        <v>Audrey Bowman</v>
      </c>
      <c r="C504" s="118">
        <f ca="1">IFERROR(__xludf.DUMMYFUNCTION("""COMPUTED_VALUE"""),15)</f>
        <v>15</v>
      </c>
      <c r="D504" s="118" t="str">
        <f ca="1">IFERROR(__xludf.DUMMYFUNCTION("""COMPUTED_VALUE"""),"G")</f>
        <v>G</v>
      </c>
      <c r="E504" s="118" t="str">
        <f ca="1">IFERROR(__xludf.DUMMYFUNCTION("""COMPUTED_VALUE"""),"S")</f>
        <v>S</v>
      </c>
      <c r="F504" s="118" t="str">
        <f ca="1">IFERROR(__xludf.DUMMYFUNCTION("""COMPUTED_VALUE"""),"S")</f>
        <v>S</v>
      </c>
      <c r="G504" s="118">
        <f ca="1">IFERROR(__xludf.DUMMYFUNCTION("""COMPUTED_VALUE"""),1)</f>
        <v>1</v>
      </c>
      <c r="H504" s="118" t="str">
        <f ca="1">IFERROR(__xludf.DUMMYFUNCTION("""COMPUTED_VALUE"""),"DR")</f>
        <v>DR</v>
      </c>
      <c r="I504" s="118">
        <f ca="1">IFERROR(__xludf.DUMMYFUNCTION("""COMPUTED_VALUE"""),10)</f>
        <v>10</v>
      </c>
      <c r="J504" s="118">
        <f ca="1">IFERROR(__xludf.DUMMYFUNCTION("""COMPUTED_VALUE"""),3)</f>
        <v>3</v>
      </c>
      <c r="K504" s="120">
        <f ca="1">IFERROR(__xludf.DUMMYFUNCTION("""COMPUTED_VALUE"""),171.5)</f>
        <v>171.5</v>
      </c>
      <c r="L504" s="121"/>
      <c r="M504" s="120"/>
      <c r="N504" s="121"/>
      <c r="O504" s="120">
        <f ca="1">IFERROR(__xludf.DUMMYFUNCTION("""COMPUTED_VALUE"""),153.85)</f>
        <v>153.85</v>
      </c>
      <c r="P504" s="122"/>
      <c r="Q504" s="123" t="str">
        <f ca="1">IFERROR(__xludf.DUMMYFUNCTION("""COMPUTED_VALUE"""),"Julia Denniston")</f>
        <v>Julia Denniston</v>
      </c>
      <c r="R504" s="123" t="str">
        <f ca="1">IFERROR(__xludf.DUMMYFUNCTION("""COMPUTED_VALUE"""),"Orion Bigby")</f>
        <v>Orion Bigby</v>
      </c>
      <c r="S504" s="123" t="str">
        <f ca="1">IFERROR(__xludf.DUMMYFUNCTION("""COMPUTED_VALUE"""),"Gabi Simone")</f>
        <v>Gabi Simone</v>
      </c>
      <c r="T504" s="123" t="str">
        <f ca="1">IFERROR(__xludf.DUMMYFUNCTION("""COMPUTED_VALUE"""),"Karsten Tregaskis-Gordon")</f>
        <v>Karsten Tregaskis-Gordon</v>
      </c>
    </row>
    <row r="505" spans="1:20" ht="13.8">
      <c r="A505" s="118" t="str">
        <f ca="1">IFERROR(__xludf.DUMMYFUNCTION("""COMPUTED_VALUE"""),"DR")</f>
        <v>DR</v>
      </c>
      <c r="B505" s="119" t="str">
        <f ca="1">IFERROR(__xludf.DUMMYFUNCTION("""COMPUTED_VALUE"""),"Charlotte Fletcher")</f>
        <v>Charlotte Fletcher</v>
      </c>
      <c r="C505" s="118">
        <f ca="1">IFERROR(__xludf.DUMMYFUNCTION("""COMPUTED_VALUE"""),16)</f>
        <v>16</v>
      </c>
      <c r="D505" s="118" t="str">
        <f ca="1">IFERROR(__xludf.DUMMYFUNCTION("""COMPUTED_VALUE"""),"G")</f>
        <v>G</v>
      </c>
      <c r="E505" s="118" t="str">
        <f ca="1">IFERROR(__xludf.DUMMYFUNCTION("""COMPUTED_VALUE"""),"S")</f>
        <v>S</v>
      </c>
      <c r="F505" s="118" t="str">
        <f ca="1">IFERROR(__xludf.DUMMYFUNCTION("""COMPUTED_VALUE"""),"S")</f>
        <v>S</v>
      </c>
      <c r="G505" s="118">
        <f ca="1">IFERROR(__xludf.DUMMYFUNCTION("""COMPUTED_VALUE"""),1)</f>
        <v>1</v>
      </c>
      <c r="H505" s="118" t="str">
        <f ca="1">IFERROR(__xludf.DUMMYFUNCTION("""COMPUTED_VALUE"""),"DR")</f>
        <v>DR</v>
      </c>
      <c r="I505" s="118">
        <f ca="1">IFERROR(__xludf.DUMMYFUNCTION("""COMPUTED_VALUE"""),10)</f>
        <v>10</v>
      </c>
      <c r="J505" s="118">
        <f ca="1">IFERROR(__xludf.DUMMYFUNCTION("""COMPUTED_VALUE"""),0)</f>
        <v>0</v>
      </c>
      <c r="K505" s="120"/>
      <c r="L505" s="121"/>
      <c r="M505" s="120"/>
      <c r="N505" s="121"/>
      <c r="O505" s="120"/>
      <c r="P505" s="122"/>
      <c r="Q505" s="123" t="str">
        <f ca="1">IFERROR(__xludf.DUMMYFUNCTION("""COMPUTED_VALUE"""),"Julia Kennedy")</f>
        <v>Julia Kennedy</v>
      </c>
      <c r="R505" s="123" t="str">
        <f ca="1">IFERROR(__xludf.DUMMYFUNCTION("""COMPUTED_VALUE"""),"Oscar Turatbekov")</f>
        <v>Oscar Turatbekov</v>
      </c>
      <c r="S505" s="123" t="str">
        <f ca="1">IFERROR(__xludf.DUMMYFUNCTION("""COMPUTED_VALUE"""),"Gabriela Perosa")</f>
        <v>Gabriela Perosa</v>
      </c>
      <c r="T505" s="123" t="str">
        <f ca="1">IFERROR(__xludf.DUMMYFUNCTION("""COMPUTED_VALUE"""),"Kasra Gongola")</f>
        <v>Kasra Gongola</v>
      </c>
    </row>
    <row r="506" spans="1:20" ht="13.8">
      <c r="A506" s="118" t="str">
        <f ca="1">IFERROR(__xludf.DUMMYFUNCTION("""COMPUTED_VALUE"""),"DR")</f>
        <v>DR</v>
      </c>
      <c r="B506" s="119" t="str">
        <f ca="1">IFERROR(__xludf.DUMMYFUNCTION("""COMPUTED_VALUE"""),"Jenna Sheetz")</f>
        <v>Jenna Sheetz</v>
      </c>
      <c r="C506" s="118">
        <f ca="1">IFERROR(__xludf.DUMMYFUNCTION("""COMPUTED_VALUE"""),16)</f>
        <v>16</v>
      </c>
      <c r="D506" s="118" t="str">
        <f ca="1">IFERROR(__xludf.DUMMYFUNCTION("""COMPUTED_VALUE"""),"G")</f>
        <v>G</v>
      </c>
      <c r="E506" s="118" t="str">
        <f ca="1">IFERROR(__xludf.DUMMYFUNCTION("""COMPUTED_VALUE"""),"S")</f>
        <v>S</v>
      </c>
      <c r="F506" s="118" t="str">
        <f ca="1">IFERROR(__xludf.DUMMYFUNCTION("""COMPUTED_VALUE"""),"S")</f>
        <v>S</v>
      </c>
      <c r="G506" s="118">
        <f ca="1">IFERROR(__xludf.DUMMYFUNCTION("""COMPUTED_VALUE"""),1)</f>
        <v>1</v>
      </c>
      <c r="H506" s="118" t="str">
        <f ca="1">IFERROR(__xludf.DUMMYFUNCTION("""COMPUTED_VALUE"""),"DR")</f>
        <v>DR</v>
      </c>
      <c r="I506" s="118">
        <f ca="1">IFERROR(__xludf.DUMMYFUNCTION("""COMPUTED_VALUE"""),10)</f>
        <v>10</v>
      </c>
      <c r="J506" s="118">
        <f ca="1">IFERROR(__xludf.DUMMYFUNCTION("""COMPUTED_VALUE"""),5)</f>
        <v>5</v>
      </c>
      <c r="K506" s="120">
        <f ca="1">IFERROR(__xludf.DUMMYFUNCTION("""COMPUTED_VALUE"""),165.5)</f>
        <v>165.5</v>
      </c>
      <c r="L506" s="121"/>
      <c r="M506" s="120">
        <f ca="1">IFERROR(__xludf.DUMMYFUNCTION("""COMPUTED_VALUE"""),142.4)</f>
        <v>142.4</v>
      </c>
      <c r="N506" s="121"/>
      <c r="O506" s="120">
        <f ca="1">IFERROR(__xludf.DUMMYFUNCTION("""COMPUTED_VALUE"""),138.8)</f>
        <v>138.80000000000001</v>
      </c>
      <c r="P506" s="122"/>
      <c r="Q506" s="123" t="str">
        <f ca="1">IFERROR(__xludf.DUMMYFUNCTION("""COMPUTED_VALUE"""),"Julia Kent")</f>
        <v>Julia Kent</v>
      </c>
      <c r="R506" s="123" t="str">
        <f ca="1">IFERROR(__xludf.DUMMYFUNCTION("""COMPUTED_VALUE"""),"Otto Imer")</f>
        <v>Otto Imer</v>
      </c>
      <c r="S506" s="123" t="str">
        <f ca="1">IFERROR(__xludf.DUMMYFUNCTION("""COMPUTED_VALUE"""),"Gabrielle Hanlon")</f>
        <v>Gabrielle Hanlon</v>
      </c>
      <c r="T506" s="123" t="str">
        <f ca="1">IFERROR(__xludf.DUMMYFUNCTION("""COMPUTED_VALUE"""),"Keaton Allard")</f>
        <v>Keaton Allard</v>
      </c>
    </row>
    <row r="507" spans="1:20" ht="13.8">
      <c r="A507" s="118" t="str">
        <f ca="1">IFERROR(__xludf.DUMMYFUNCTION("""COMPUTED_VALUE"""),"DR")</f>
        <v>DR</v>
      </c>
      <c r="B507" s="119" t="str">
        <f ca="1">IFERROR(__xludf.DUMMYFUNCTION("""COMPUTED_VALUE"""),"Madeline Duong")</f>
        <v>Madeline Duong</v>
      </c>
      <c r="C507" s="118">
        <f ca="1">IFERROR(__xludf.DUMMYFUNCTION("""COMPUTED_VALUE"""),15)</f>
        <v>15</v>
      </c>
      <c r="D507" s="118" t="str">
        <f ca="1">IFERROR(__xludf.DUMMYFUNCTION("""COMPUTED_VALUE"""),"G")</f>
        <v>G</v>
      </c>
      <c r="E507" s="118" t="str">
        <f ca="1">IFERROR(__xludf.DUMMYFUNCTION("""COMPUTED_VALUE"""),"S")</f>
        <v>S</v>
      </c>
      <c r="F507" s="118" t="str">
        <f ca="1">IFERROR(__xludf.DUMMYFUNCTION("""COMPUTED_VALUE"""),"S")</f>
        <v>S</v>
      </c>
      <c r="G507" s="118">
        <f ca="1">IFERROR(__xludf.DUMMYFUNCTION("""COMPUTED_VALUE"""),1)</f>
        <v>1</v>
      </c>
      <c r="H507" s="118" t="str">
        <f ca="1">IFERROR(__xludf.DUMMYFUNCTION("""COMPUTED_VALUE"""),"DR")</f>
        <v>DR</v>
      </c>
      <c r="I507" s="118">
        <f ca="1">IFERROR(__xludf.DUMMYFUNCTION("""COMPUTED_VALUE"""),10)</f>
        <v>10</v>
      </c>
      <c r="J507" s="118">
        <f ca="1">IFERROR(__xludf.DUMMYFUNCTION("""COMPUTED_VALUE"""),0)</f>
        <v>0</v>
      </c>
      <c r="K507" s="120"/>
      <c r="L507" s="121"/>
      <c r="M507" s="120"/>
      <c r="N507" s="121"/>
      <c r="O507" s="120"/>
      <c r="P507" s="122"/>
      <c r="Q507" s="123" t="str">
        <f ca="1">IFERROR(__xludf.DUMMYFUNCTION("""COMPUTED_VALUE"""),"Julia Kosowski")</f>
        <v>Julia Kosowski</v>
      </c>
      <c r="R507" s="123" t="str">
        <f ca="1">IFERROR(__xludf.DUMMYFUNCTION("""COMPUTED_VALUE"""),"Owen Bassett")</f>
        <v>Owen Bassett</v>
      </c>
      <c r="S507" s="123" t="str">
        <f ca="1">IFERROR(__xludf.DUMMYFUNCTION("""COMPUTED_VALUE"""),"Gabrielle Oporto")</f>
        <v>Gabrielle Oporto</v>
      </c>
      <c r="T507" s="123" t="str">
        <f ca="1">IFERROR(__xludf.DUMMYFUNCTION("""COMPUTED_VALUE"""),"Keegan Donnelly")</f>
        <v>Keegan Donnelly</v>
      </c>
    </row>
    <row r="508" spans="1:20" ht="13.8">
      <c r="A508" s="118" t="str">
        <f ca="1">IFERROR(__xludf.DUMMYFUNCTION("""COMPUTED_VALUE"""),"DR")</f>
        <v>DR</v>
      </c>
      <c r="B508" s="119" t="str">
        <f ca="1">IFERROR(__xludf.DUMMYFUNCTION("""COMPUTED_VALUE"""),"Jack Bowman")</f>
        <v>Jack Bowman</v>
      </c>
      <c r="C508" s="118">
        <f ca="1">IFERROR(__xludf.DUMMYFUNCTION("""COMPUTED_VALUE"""),17)</f>
        <v>17</v>
      </c>
      <c r="D508" s="118" t="str">
        <f ca="1">IFERROR(__xludf.DUMMYFUNCTION("""COMPUTED_VALUE"""),"B")</f>
        <v>B</v>
      </c>
      <c r="E508" s="118" t="str">
        <f ca="1">IFERROR(__xludf.DUMMYFUNCTION("""COMPUTED_VALUE"""),"S")</f>
        <v>S</v>
      </c>
      <c r="F508" s="118" t="str">
        <f ca="1">IFERROR(__xludf.DUMMYFUNCTION("""COMPUTED_VALUE"""),"S")</f>
        <v>S</v>
      </c>
      <c r="G508" s="118">
        <f ca="1">IFERROR(__xludf.DUMMYFUNCTION("""COMPUTED_VALUE"""),1)</f>
        <v>1</v>
      </c>
      <c r="H508" s="118" t="str">
        <f ca="1">IFERROR(__xludf.DUMMYFUNCTION("""COMPUTED_VALUE"""),"DR")</f>
        <v>DR</v>
      </c>
      <c r="I508" s="118">
        <f ca="1">IFERROR(__xludf.DUMMYFUNCTION("""COMPUTED_VALUE"""),11)</f>
        <v>11</v>
      </c>
      <c r="J508" s="118">
        <f ca="1">IFERROR(__xludf.DUMMYFUNCTION("""COMPUTED_VALUE"""),4)</f>
        <v>4</v>
      </c>
      <c r="K508" s="120">
        <f ca="1">IFERROR(__xludf.DUMMYFUNCTION("""COMPUTED_VALUE"""),193.55)</f>
        <v>193.55</v>
      </c>
      <c r="L508" s="121"/>
      <c r="M508" s="120"/>
      <c r="N508" s="121"/>
      <c r="O508" s="120">
        <f ca="1">IFERROR(__xludf.DUMMYFUNCTION("""COMPUTED_VALUE"""),169.62)</f>
        <v>169.62</v>
      </c>
      <c r="P508" s="122"/>
      <c r="Q508" s="123" t="str">
        <f ca="1">IFERROR(__xludf.DUMMYFUNCTION("""COMPUTED_VALUE"""),"Julia Paukovits")</f>
        <v>Julia Paukovits</v>
      </c>
      <c r="R508" s="123" t="str">
        <f ca="1">IFERROR(__xludf.DUMMYFUNCTION("""COMPUTED_VALUE"""),"Owen Constantine")</f>
        <v>Owen Constantine</v>
      </c>
      <c r="S508" s="123" t="str">
        <f ca="1">IFERROR(__xludf.DUMMYFUNCTION("""COMPUTED_VALUE"""),"Gabrielle Subasavage")</f>
        <v>Gabrielle Subasavage</v>
      </c>
      <c r="T508" s="123" t="str">
        <f ca="1">IFERROR(__xludf.DUMMYFUNCTION("""COMPUTED_VALUE"""),"Kellan Smith")</f>
        <v>Kellan Smith</v>
      </c>
    </row>
    <row r="509" spans="1:20" ht="13.8">
      <c r="A509" s="118" t="str">
        <f ca="1">IFERROR(__xludf.DUMMYFUNCTION("""COMPUTED_VALUE"""),"DR")</f>
        <v>DR</v>
      </c>
      <c r="B509" s="119" t="str">
        <f ca="1">IFERROR(__xludf.DUMMYFUNCTION("""COMPUTED_VALUE"""),"Jack Reed")</f>
        <v>Jack Reed</v>
      </c>
      <c r="C509" s="118">
        <f ca="1">IFERROR(__xludf.DUMMYFUNCTION("""COMPUTED_VALUE"""),17)</f>
        <v>17</v>
      </c>
      <c r="D509" s="118" t="str">
        <f ca="1">IFERROR(__xludf.DUMMYFUNCTION("""COMPUTED_VALUE"""),"B")</f>
        <v>B</v>
      </c>
      <c r="E509" s="118" t="str">
        <f ca="1">IFERROR(__xludf.DUMMYFUNCTION("""COMPUTED_VALUE"""),"S")</f>
        <v>S</v>
      </c>
      <c r="F509" s="118" t="str">
        <f ca="1">IFERROR(__xludf.DUMMYFUNCTION("""COMPUTED_VALUE"""),"S")</f>
        <v>S</v>
      </c>
      <c r="G509" s="118">
        <f ca="1">IFERROR(__xludf.DUMMYFUNCTION("""COMPUTED_VALUE"""),1)</f>
        <v>1</v>
      </c>
      <c r="H509" s="118" t="str">
        <f ca="1">IFERROR(__xludf.DUMMYFUNCTION("""COMPUTED_VALUE"""),"DR")</f>
        <v>DR</v>
      </c>
      <c r="I509" s="118">
        <f ca="1">IFERROR(__xludf.DUMMYFUNCTION("""COMPUTED_VALUE"""),11)</f>
        <v>11</v>
      </c>
      <c r="J509" s="118">
        <f ca="1">IFERROR(__xludf.DUMMYFUNCTION("""COMPUTED_VALUE"""),4)</f>
        <v>4</v>
      </c>
      <c r="K509" s="120">
        <f ca="1">IFERROR(__xludf.DUMMYFUNCTION("""COMPUTED_VALUE"""),206.5)</f>
        <v>206.5</v>
      </c>
      <c r="L509" s="121"/>
      <c r="M509" s="120">
        <f ca="1">IFERROR(__xludf.DUMMYFUNCTION("""COMPUTED_VALUE"""),206.5)</f>
        <v>206.5</v>
      </c>
      <c r="N509" s="121"/>
      <c r="O509" s="120">
        <f ca="1">IFERROR(__xludf.DUMMYFUNCTION("""COMPUTED_VALUE"""),177.05)</f>
        <v>177.05</v>
      </c>
      <c r="P509" s="122"/>
      <c r="Q509" s="123" t="str">
        <f ca="1">IFERROR(__xludf.DUMMYFUNCTION("""COMPUTED_VALUE"""),"Julia Zellers")</f>
        <v>Julia Zellers</v>
      </c>
      <c r="R509" s="123" t="str">
        <f ca="1">IFERROR(__xludf.DUMMYFUNCTION("""COMPUTED_VALUE"""),"Owen Glasser")</f>
        <v>Owen Glasser</v>
      </c>
      <c r="S509" s="123" t="str">
        <f ca="1">IFERROR(__xludf.DUMMYFUNCTION("""COMPUTED_VALUE"""),"Gaby Cordon")</f>
        <v>Gaby Cordon</v>
      </c>
      <c r="T509" s="123" t="str">
        <f ca="1">IFERROR(__xludf.DUMMYFUNCTION("""COMPUTED_VALUE"""),"Kellen Colevas")</f>
        <v>Kellen Colevas</v>
      </c>
    </row>
    <row r="510" spans="1:20" ht="13.8">
      <c r="A510" s="118" t="str">
        <f ca="1">IFERROR(__xludf.DUMMYFUNCTION("""COMPUTED_VALUE"""),"DR")</f>
        <v>DR</v>
      </c>
      <c r="B510" s="119" t="str">
        <f ca="1">IFERROR(__xludf.DUMMYFUNCTION("""COMPUTED_VALUE"""),"Sam Mulchandani")</f>
        <v>Sam Mulchandani</v>
      </c>
      <c r="C510" s="118">
        <f ca="1">IFERROR(__xludf.DUMMYFUNCTION("""COMPUTED_VALUE"""),15)</f>
        <v>15</v>
      </c>
      <c r="D510" s="118" t="str">
        <f ca="1">IFERROR(__xludf.DUMMYFUNCTION("""COMPUTED_VALUE"""),"B")</f>
        <v>B</v>
      </c>
      <c r="E510" s="118" t="str">
        <f ca="1">IFERROR(__xludf.DUMMYFUNCTION("""COMPUTED_VALUE"""),"S")</f>
        <v>S</v>
      </c>
      <c r="F510" s="118" t="str">
        <f ca="1">IFERROR(__xludf.DUMMYFUNCTION("""COMPUTED_VALUE"""),"S")</f>
        <v>S</v>
      </c>
      <c r="G510" s="118">
        <f ca="1">IFERROR(__xludf.DUMMYFUNCTION("""COMPUTED_VALUE"""),1)</f>
        <v>1</v>
      </c>
      <c r="H510" s="118" t="str">
        <f ca="1">IFERROR(__xludf.DUMMYFUNCTION("""COMPUTED_VALUE"""),"DR")</f>
        <v>DR</v>
      </c>
      <c r="I510" s="118">
        <f ca="1">IFERROR(__xludf.DUMMYFUNCTION("""COMPUTED_VALUE"""),11)</f>
        <v>11</v>
      </c>
      <c r="J510" s="118">
        <f ca="1">IFERROR(__xludf.DUMMYFUNCTION("""COMPUTED_VALUE"""),4)</f>
        <v>4</v>
      </c>
      <c r="K510" s="120">
        <f ca="1">IFERROR(__xludf.DUMMYFUNCTION("""COMPUTED_VALUE"""),170.3)</f>
        <v>170.3</v>
      </c>
      <c r="L510" s="121"/>
      <c r="M510" s="120">
        <f ca="1">IFERROR(__xludf.DUMMYFUNCTION("""COMPUTED_VALUE"""),129.45)</f>
        <v>129.44999999999999</v>
      </c>
      <c r="N510" s="121"/>
      <c r="O510" s="120">
        <f ca="1">IFERROR(__xludf.DUMMYFUNCTION("""COMPUTED_VALUE"""),142.5)</f>
        <v>142.5</v>
      </c>
      <c r="P510" s="122"/>
      <c r="Q510" s="123" t="str">
        <f ca="1">IFERROR(__xludf.DUMMYFUNCTION("""COMPUTED_VALUE"""),"Julianna Bosco")</f>
        <v>Julianna Bosco</v>
      </c>
      <c r="R510" s="123" t="str">
        <f ca="1">IFERROR(__xludf.DUMMYFUNCTION("""COMPUTED_VALUE"""),"Owen Herbert")</f>
        <v>Owen Herbert</v>
      </c>
      <c r="S510" s="123" t="str">
        <f ca="1">IFERROR(__xludf.DUMMYFUNCTION("""COMPUTED_VALUE"""),"Gaby Kostova")</f>
        <v>Gaby Kostova</v>
      </c>
      <c r="T510" s="123" t="str">
        <f ca="1">IFERROR(__xludf.DUMMYFUNCTION("""COMPUTED_VALUE"""),"Kenzo Bills")</f>
        <v>Kenzo Bills</v>
      </c>
    </row>
    <row r="511" spans="1:20" ht="13.8">
      <c r="A511" s="118" t="str">
        <f ca="1">IFERROR(__xludf.DUMMYFUNCTION("""COMPUTED_VALUE"""),"F")</f>
        <v>F</v>
      </c>
      <c r="B511" s="119" t="str">
        <f ca="1">IFERROR(__xludf.DUMMYFUNCTION("""COMPUTED_VALUE"""),"Arabella Zheng")</f>
        <v>Arabella Zheng</v>
      </c>
      <c r="C511" s="118">
        <f ca="1">IFERROR(__xludf.DUMMYFUNCTION("""COMPUTED_VALUE"""),8)</f>
        <v>8</v>
      </c>
      <c r="D511" s="118" t="str">
        <f ca="1">IFERROR(__xludf.DUMMYFUNCTION("""COMPUTED_VALUE"""),"G")</f>
        <v>G</v>
      </c>
      <c r="E511" s="118" t="str">
        <f ca="1">IFERROR(__xludf.DUMMYFUNCTION("""COMPUTED_VALUE"""),"F")</f>
        <v>F</v>
      </c>
      <c r="F511" s="118" t="str">
        <f ca="1">IFERROR(__xludf.DUMMYFUNCTION("""COMPUTED_VALUE"""),"J")</f>
        <v>J</v>
      </c>
      <c r="G511" s="118">
        <f ca="1">IFERROR(__xludf.DUMMYFUNCTION("""COMPUTED_VALUE"""),1)</f>
        <v>1</v>
      </c>
      <c r="H511" s="118" t="str">
        <f ca="1">IFERROR(__xludf.DUMMYFUNCTION("""COMPUTED_VALUE"""),"F")</f>
        <v>F</v>
      </c>
      <c r="I511" s="118">
        <f ca="1">IFERROR(__xludf.DUMMYFUNCTION("""COMPUTED_VALUE"""),4)</f>
        <v>4</v>
      </c>
      <c r="J511" s="118">
        <f ca="1">IFERROR(__xludf.DUMMYFUNCTION("""COMPUTED_VALUE"""),0)</f>
        <v>0</v>
      </c>
      <c r="K511" s="120"/>
      <c r="L511" s="121"/>
      <c r="M511" s="120"/>
      <c r="N511" s="121"/>
      <c r="O511" s="120"/>
      <c r="P511" s="122"/>
      <c r="Q511" s="123" t="str">
        <f ca="1">IFERROR(__xludf.DUMMYFUNCTION("""COMPUTED_VALUE"""),"Julianna Butler")</f>
        <v>Julianna Butler</v>
      </c>
      <c r="R511" s="123" t="str">
        <f ca="1">IFERROR(__xludf.DUMMYFUNCTION("""COMPUTED_VALUE"""),"Owen McLenahan")</f>
        <v>Owen McLenahan</v>
      </c>
      <c r="S511" s="123" t="str">
        <f ca="1">IFERROR(__xludf.DUMMYFUNCTION("""COMPUTED_VALUE"""),"Gaby Smith")</f>
        <v>Gaby Smith</v>
      </c>
      <c r="T511" s="123" t="str">
        <f ca="1">IFERROR(__xludf.DUMMYFUNCTION("""COMPUTED_VALUE"""),"Keone Sheriff")</f>
        <v>Keone Sheriff</v>
      </c>
    </row>
    <row r="512" spans="1:20" ht="13.8">
      <c r="A512" s="118" t="str">
        <f ca="1">IFERROR(__xludf.DUMMYFUNCTION("""COMPUTED_VALUE"""),"F")</f>
        <v>F</v>
      </c>
      <c r="B512" s="119" t="str">
        <f ca="1">IFERROR(__xludf.DUMMYFUNCTION("""COMPUTED_VALUE"""),"Audrey Jacob")</f>
        <v>Audrey Jacob</v>
      </c>
      <c r="C512" s="118">
        <f ca="1">IFERROR(__xludf.DUMMYFUNCTION("""COMPUTED_VALUE"""),7)</f>
        <v>7</v>
      </c>
      <c r="D512" s="118" t="str">
        <f ca="1">IFERROR(__xludf.DUMMYFUNCTION("""COMPUTED_VALUE"""),"G")</f>
        <v>G</v>
      </c>
      <c r="E512" s="118" t="str">
        <f ca="1">IFERROR(__xludf.DUMMYFUNCTION("""COMPUTED_VALUE"""),"F")</f>
        <v>F</v>
      </c>
      <c r="F512" s="118" t="str">
        <f ca="1">IFERROR(__xludf.DUMMYFUNCTION("""COMPUTED_VALUE"""),"J")</f>
        <v>J</v>
      </c>
      <c r="G512" s="118">
        <f ca="1">IFERROR(__xludf.DUMMYFUNCTION("""COMPUTED_VALUE"""),1)</f>
        <v>1</v>
      </c>
      <c r="H512" s="118" t="str">
        <f ca="1">IFERROR(__xludf.DUMMYFUNCTION("""COMPUTED_VALUE"""),"F")</f>
        <v>F</v>
      </c>
      <c r="I512" s="118">
        <f ca="1">IFERROR(__xludf.DUMMYFUNCTION("""COMPUTED_VALUE"""),4)</f>
        <v>4</v>
      </c>
      <c r="J512" s="118">
        <f ca="1">IFERROR(__xludf.DUMMYFUNCTION("""COMPUTED_VALUE"""),0)</f>
        <v>0</v>
      </c>
      <c r="K512" s="120"/>
      <c r="L512" s="121"/>
      <c r="M512" s="120"/>
      <c r="N512" s="121"/>
      <c r="O512" s="120"/>
      <c r="P512" s="122"/>
      <c r="Q512" s="123" t="str">
        <f ca="1">IFERROR(__xludf.DUMMYFUNCTION("""COMPUTED_VALUE"""),"Julianne Sanders")</f>
        <v>Julianne Sanders</v>
      </c>
      <c r="R512" s="123" t="str">
        <f ca="1">IFERROR(__xludf.DUMMYFUNCTION("""COMPUTED_VALUE"""),"Owen Molina-Weir")</f>
        <v>Owen Molina-Weir</v>
      </c>
      <c r="S512" s="123" t="str">
        <f ca="1">IFERROR(__xludf.DUMMYFUNCTION("""COMPUTED_VALUE"""),"Gaia Salcedo")</f>
        <v>Gaia Salcedo</v>
      </c>
      <c r="T512" s="123" t="str">
        <f ca="1">IFERROR(__xludf.DUMMYFUNCTION("""COMPUTED_VALUE"""),"Kepler Vu")</f>
        <v>Kepler Vu</v>
      </c>
    </row>
    <row r="513" spans="1:20" ht="13.8">
      <c r="A513" s="118" t="str">
        <f ca="1">IFERROR(__xludf.DUMMYFUNCTION("""COMPUTED_VALUE"""),"F")</f>
        <v>F</v>
      </c>
      <c r="B513" s="119" t="str">
        <f ca="1">IFERROR(__xludf.DUMMYFUNCTION("""COMPUTED_VALUE"""),"Ava Patel")</f>
        <v>Ava Patel</v>
      </c>
      <c r="C513" s="118">
        <f ca="1">IFERROR(__xludf.DUMMYFUNCTION("""COMPUTED_VALUE"""),10)</f>
        <v>10</v>
      </c>
      <c r="D513" s="118" t="str">
        <f ca="1">IFERROR(__xludf.DUMMYFUNCTION("""COMPUTED_VALUE"""),"G")</f>
        <v>G</v>
      </c>
      <c r="E513" s="118" t="str">
        <f ca="1">IFERROR(__xludf.DUMMYFUNCTION("""COMPUTED_VALUE"""),"F")</f>
        <v>F</v>
      </c>
      <c r="F513" s="118" t="str">
        <f ca="1">IFERROR(__xludf.DUMMYFUNCTION("""COMPUTED_VALUE"""),"J")</f>
        <v>J</v>
      </c>
      <c r="G513" s="118">
        <f ca="1">IFERROR(__xludf.DUMMYFUNCTION("""COMPUTED_VALUE"""),1)</f>
        <v>1</v>
      </c>
      <c r="H513" s="118" t="str">
        <f ca="1">IFERROR(__xludf.DUMMYFUNCTION("""COMPUTED_VALUE"""),"F")</f>
        <v>F</v>
      </c>
      <c r="I513" s="118">
        <f ca="1">IFERROR(__xludf.DUMMYFUNCTION("""COMPUTED_VALUE"""),4)</f>
        <v>4</v>
      </c>
      <c r="J513" s="118">
        <f ca="1">IFERROR(__xludf.DUMMYFUNCTION("""COMPUTED_VALUE"""),4)</f>
        <v>4</v>
      </c>
      <c r="K513" s="120">
        <f ca="1">IFERROR(__xludf.DUMMYFUNCTION("""COMPUTED_VALUE"""),61.2)</f>
        <v>61.2</v>
      </c>
      <c r="L513" s="121"/>
      <c r="M513" s="120">
        <f ca="1">IFERROR(__xludf.DUMMYFUNCTION("""COMPUTED_VALUE"""),47)</f>
        <v>47</v>
      </c>
      <c r="N513" s="121"/>
      <c r="O513" s="120">
        <f ca="1">IFERROR(__xludf.DUMMYFUNCTION("""COMPUTED_VALUE"""),41.85)</f>
        <v>41.85</v>
      </c>
      <c r="P513" s="122"/>
      <c r="Q513" s="123" t="str">
        <f ca="1">IFERROR(__xludf.DUMMYFUNCTION("""COMPUTED_VALUE"""),"Julie Ahern")</f>
        <v>Julie Ahern</v>
      </c>
      <c r="R513" s="123" t="str">
        <f ca="1">IFERROR(__xludf.DUMMYFUNCTION("""COMPUTED_VALUE"""),"Owen Reese")</f>
        <v>Owen Reese</v>
      </c>
      <c r="S513" s="123" t="str">
        <f ca="1">IFERROR(__xludf.DUMMYFUNCTION("""COMPUTED_VALUE"""),"Genevieve Wilson")</f>
        <v>Genevieve Wilson</v>
      </c>
      <c r="T513" s="123" t="str">
        <f ca="1">IFERROR(__xludf.DUMMYFUNCTION("""COMPUTED_VALUE"""),"Kevin Colevas")</f>
        <v>Kevin Colevas</v>
      </c>
    </row>
    <row r="514" spans="1:20" ht="13.8">
      <c r="A514" s="118" t="str">
        <f ca="1">IFERROR(__xludf.DUMMYFUNCTION("""COMPUTED_VALUE"""),"F")</f>
        <v>F</v>
      </c>
      <c r="B514" s="119" t="str">
        <f ca="1">IFERROR(__xludf.DUMMYFUNCTION("""COMPUTED_VALUE"""),"Brynn Strano")</f>
        <v>Brynn Strano</v>
      </c>
      <c r="C514" s="118">
        <f ca="1">IFERROR(__xludf.DUMMYFUNCTION("""COMPUTED_VALUE"""),9)</f>
        <v>9</v>
      </c>
      <c r="D514" s="118" t="str">
        <f ca="1">IFERROR(__xludf.DUMMYFUNCTION("""COMPUTED_VALUE"""),"G")</f>
        <v>G</v>
      </c>
      <c r="E514" s="118" t="str">
        <f ca="1">IFERROR(__xludf.DUMMYFUNCTION("""COMPUTED_VALUE"""),"F")</f>
        <v>F</v>
      </c>
      <c r="F514" s="118" t="str">
        <f ca="1">IFERROR(__xludf.DUMMYFUNCTION("""COMPUTED_VALUE"""),"J")</f>
        <v>J</v>
      </c>
      <c r="G514" s="118">
        <f ca="1">IFERROR(__xludf.DUMMYFUNCTION("""COMPUTED_VALUE"""),1)</f>
        <v>1</v>
      </c>
      <c r="H514" s="118" t="str">
        <f ca="1">IFERROR(__xludf.DUMMYFUNCTION("""COMPUTED_VALUE"""),"F")</f>
        <v>F</v>
      </c>
      <c r="I514" s="118">
        <f ca="1">IFERROR(__xludf.DUMMYFUNCTION("""COMPUTED_VALUE"""),4)</f>
        <v>4</v>
      </c>
      <c r="J514" s="118">
        <f ca="1">IFERROR(__xludf.DUMMYFUNCTION("""COMPUTED_VALUE"""),5)</f>
        <v>5</v>
      </c>
      <c r="K514" s="120">
        <f ca="1">IFERROR(__xludf.DUMMYFUNCTION("""COMPUTED_VALUE"""),73.2)</f>
        <v>73.2</v>
      </c>
      <c r="L514" s="121"/>
      <c r="M514" s="120">
        <f ca="1">IFERROR(__xludf.DUMMYFUNCTION("""COMPUTED_VALUE"""),57.7)</f>
        <v>57.7</v>
      </c>
      <c r="N514" s="121"/>
      <c r="O514" s="120">
        <f ca="1">IFERROR(__xludf.DUMMYFUNCTION("""COMPUTED_VALUE"""),62.5)</f>
        <v>62.5</v>
      </c>
      <c r="P514" s="122"/>
      <c r="Q514" s="123" t="str">
        <f ca="1">IFERROR(__xludf.DUMMYFUNCTION("""COMPUTED_VALUE"""),"Juliet Clinger")</f>
        <v>Juliet Clinger</v>
      </c>
      <c r="R514" s="123" t="str">
        <f ca="1">IFERROR(__xludf.DUMMYFUNCTION("""COMPUTED_VALUE"""),"P.D. Lips")</f>
        <v>P.D. Lips</v>
      </c>
      <c r="S514" s="123" t="str">
        <f ca="1">IFERROR(__xludf.DUMMYFUNCTION("""COMPUTED_VALUE"""),"Georgi Malko")</f>
        <v>Georgi Malko</v>
      </c>
      <c r="T514" s="123" t="str">
        <f ca="1">IFERROR(__xludf.DUMMYFUNCTION("""COMPUTED_VALUE"""),"Kidus Yared")</f>
        <v>Kidus Yared</v>
      </c>
    </row>
    <row r="515" spans="1:20" ht="13.8">
      <c r="A515" s="118" t="str">
        <f ca="1">IFERROR(__xludf.DUMMYFUNCTION("""COMPUTED_VALUE"""),"F")</f>
        <v>F</v>
      </c>
      <c r="B515" s="119" t="str">
        <f ca="1">IFERROR(__xludf.DUMMYFUNCTION("""COMPUTED_VALUE"""),"Caliah Dumas")</f>
        <v>Caliah Dumas</v>
      </c>
      <c r="C515" s="118">
        <f ca="1">IFERROR(__xludf.DUMMYFUNCTION("""COMPUTED_VALUE"""),5)</f>
        <v>5</v>
      </c>
      <c r="D515" s="118" t="str">
        <f ca="1">IFERROR(__xludf.DUMMYFUNCTION("""COMPUTED_VALUE"""),"G")</f>
        <v>G</v>
      </c>
      <c r="E515" s="118" t="str">
        <f ca="1">IFERROR(__xludf.DUMMYFUNCTION("""COMPUTED_VALUE"""),"F")</f>
        <v>F</v>
      </c>
      <c r="F515" s="118" t="str">
        <f ca="1">IFERROR(__xludf.DUMMYFUNCTION("""COMPUTED_VALUE"""),"J")</f>
        <v>J</v>
      </c>
      <c r="G515" s="118">
        <f ca="1">IFERROR(__xludf.DUMMYFUNCTION("""COMPUTED_VALUE"""),1)</f>
        <v>1</v>
      </c>
      <c r="H515" s="118" t="str">
        <f ca="1">IFERROR(__xludf.DUMMYFUNCTION("""COMPUTED_VALUE"""),"F")</f>
        <v>F</v>
      </c>
      <c r="I515" s="118">
        <f ca="1">IFERROR(__xludf.DUMMYFUNCTION("""COMPUTED_VALUE"""),4)</f>
        <v>4</v>
      </c>
      <c r="J515" s="118">
        <f ca="1">IFERROR(__xludf.DUMMYFUNCTION("""COMPUTED_VALUE"""),0)</f>
        <v>0</v>
      </c>
      <c r="K515" s="120"/>
      <c r="L515" s="121"/>
      <c r="M515" s="120"/>
      <c r="N515" s="121"/>
      <c r="O515" s="120"/>
      <c r="P515" s="122"/>
      <c r="Q515" s="123" t="str">
        <f ca="1">IFERROR(__xludf.DUMMYFUNCTION("""COMPUTED_VALUE"""),"Julieta Iguina Espinoza")</f>
        <v>Julieta Iguina Espinoza</v>
      </c>
      <c r="R515" s="123" t="str">
        <f ca="1">IFERROR(__xludf.DUMMYFUNCTION("""COMPUTED_VALUE"""),"Park Hoffmann")</f>
        <v>Park Hoffmann</v>
      </c>
      <c r="S515" s="123" t="str">
        <f ca="1">IFERROR(__xludf.DUMMYFUNCTION("""COMPUTED_VALUE"""),"Georgie Marra")</f>
        <v>Georgie Marra</v>
      </c>
      <c r="T515" s="123" t="str">
        <f ca="1">IFERROR(__xludf.DUMMYFUNCTION("""COMPUTED_VALUE"""),"Kilan Gongola")</f>
        <v>Kilan Gongola</v>
      </c>
    </row>
    <row r="516" spans="1:20" ht="13.8">
      <c r="A516" s="118" t="str">
        <f ca="1">IFERROR(__xludf.DUMMYFUNCTION("""COMPUTED_VALUE"""),"F")</f>
        <v>F</v>
      </c>
      <c r="B516" s="119" t="str">
        <f ca="1">IFERROR(__xludf.DUMMYFUNCTION("""COMPUTED_VALUE"""),"Calissia Dumas")</f>
        <v>Calissia Dumas</v>
      </c>
      <c r="C516" s="118">
        <f ca="1">IFERROR(__xludf.DUMMYFUNCTION("""COMPUTED_VALUE"""),7)</f>
        <v>7</v>
      </c>
      <c r="D516" s="118" t="str">
        <f ca="1">IFERROR(__xludf.DUMMYFUNCTION("""COMPUTED_VALUE"""),"G")</f>
        <v>G</v>
      </c>
      <c r="E516" s="118" t="str">
        <f ca="1">IFERROR(__xludf.DUMMYFUNCTION("""COMPUTED_VALUE"""),"F")</f>
        <v>F</v>
      </c>
      <c r="F516" s="118" t="str">
        <f ca="1">IFERROR(__xludf.DUMMYFUNCTION("""COMPUTED_VALUE"""),"J")</f>
        <v>J</v>
      </c>
      <c r="G516" s="118">
        <f ca="1">IFERROR(__xludf.DUMMYFUNCTION("""COMPUTED_VALUE"""),1)</f>
        <v>1</v>
      </c>
      <c r="H516" s="118" t="str">
        <f ca="1">IFERROR(__xludf.DUMMYFUNCTION("""COMPUTED_VALUE"""),"F")</f>
        <v>F</v>
      </c>
      <c r="I516" s="118">
        <f ca="1">IFERROR(__xludf.DUMMYFUNCTION("""COMPUTED_VALUE"""),4)</f>
        <v>4</v>
      </c>
      <c r="J516" s="118">
        <f ca="1">IFERROR(__xludf.DUMMYFUNCTION("""COMPUTED_VALUE"""),3)</f>
        <v>3</v>
      </c>
      <c r="K516" s="120">
        <f ca="1">IFERROR(__xludf.DUMMYFUNCTION("""COMPUTED_VALUE"""),32.8)</f>
        <v>32.799999999999997</v>
      </c>
      <c r="L516" s="121"/>
      <c r="M516" s="120"/>
      <c r="N516" s="121"/>
      <c r="O516" s="120"/>
      <c r="P516" s="122"/>
      <c r="Q516" s="123" t="str">
        <f ca="1">IFERROR(__xludf.DUMMYFUNCTION("""COMPUTED_VALUE"""),"Juliette Campagna")</f>
        <v>Juliette Campagna</v>
      </c>
      <c r="R516" s="123" t="str">
        <f ca="1">IFERROR(__xludf.DUMMYFUNCTION("""COMPUTED_VALUE"""),"Parker Englerth")</f>
        <v>Parker Englerth</v>
      </c>
      <c r="S516" s="123" t="str">
        <f ca="1">IFERROR(__xludf.DUMMYFUNCTION("""COMPUTED_VALUE"""),"Gia Yappel")</f>
        <v>Gia Yappel</v>
      </c>
      <c r="T516" s="123" t="str">
        <f ca="1">IFERROR(__xludf.DUMMYFUNCTION("""COMPUTED_VALUE"""),"Kiptyn Trieu")</f>
        <v>Kiptyn Trieu</v>
      </c>
    </row>
    <row r="517" spans="1:20" ht="13.8">
      <c r="A517" s="118" t="str">
        <f ca="1">IFERROR(__xludf.DUMMYFUNCTION("""COMPUTED_VALUE"""),"F")</f>
        <v>F</v>
      </c>
      <c r="B517" s="119" t="str">
        <f ca="1">IFERROR(__xludf.DUMMYFUNCTION("""COMPUTED_VALUE"""),"Eliana Smith")</f>
        <v>Eliana Smith</v>
      </c>
      <c r="C517" s="118">
        <f ca="1">IFERROR(__xludf.DUMMYFUNCTION("""COMPUTED_VALUE"""),9)</f>
        <v>9</v>
      </c>
      <c r="D517" s="118" t="str">
        <f ca="1">IFERROR(__xludf.DUMMYFUNCTION("""COMPUTED_VALUE"""),"G")</f>
        <v>G</v>
      </c>
      <c r="E517" s="118" t="str">
        <f ca="1">IFERROR(__xludf.DUMMYFUNCTION("""COMPUTED_VALUE"""),"F")</f>
        <v>F</v>
      </c>
      <c r="F517" s="118" t="str">
        <f ca="1">IFERROR(__xludf.DUMMYFUNCTION("""COMPUTED_VALUE"""),"J")</f>
        <v>J</v>
      </c>
      <c r="G517" s="118">
        <f ca="1">IFERROR(__xludf.DUMMYFUNCTION("""COMPUTED_VALUE"""),1)</f>
        <v>1</v>
      </c>
      <c r="H517" s="118" t="str">
        <f ca="1">IFERROR(__xludf.DUMMYFUNCTION("""COMPUTED_VALUE"""),"F")</f>
        <v>F</v>
      </c>
      <c r="I517" s="118">
        <f ca="1">IFERROR(__xludf.DUMMYFUNCTION("""COMPUTED_VALUE"""),4)</f>
        <v>4</v>
      </c>
      <c r="J517" s="118">
        <f ca="1">IFERROR(__xludf.DUMMYFUNCTION("""COMPUTED_VALUE"""),1)</f>
        <v>1</v>
      </c>
      <c r="K517" s="120"/>
      <c r="L517" s="121"/>
      <c r="M517" s="120"/>
      <c r="N517" s="121"/>
      <c r="O517" s="120"/>
      <c r="P517" s="122"/>
      <c r="Q517" s="123" t="str">
        <f ca="1">IFERROR(__xludf.DUMMYFUNCTION("""COMPUTED_VALUE"""),"Juliette Walsh")</f>
        <v>Juliette Walsh</v>
      </c>
      <c r="R517" s="123" t="str">
        <f ca="1">IFERROR(__xludf.DUMMYFUNCTION("""COMPUTED_VALUE"""),"Parker Jaskot")</f>
        <v>Parker Jaskot</v>
      </c>
      <c r="S517" s="123" t="str">
        <f ca="1">IFERROR(__xludf.DUMMYFUNCTION("""COMPUTED_VALUE"""),"Gianna Hess")</f>
        <v>Gianna Hess</v>
      </c>
      <c r="T517" s="123" t="str">
        <f ca="1">IFERROR(__xludf.DUMMYFUNCTION("""COMPUTED_VALUE"""),"Klim Lisnik")</f>
        <v>Klim Lisnik</v>
      </c>
    </row>
    <row r="518" spans="1:20" ht="13.8">
      <c r="A518" s="118" t="str">
        <f ca="1">IFERROR(__xludf.DUMMYFUNCTION("""COMPUTED_VALUE"""),"F")</f>
        <v>F</v>
      </c>
      <c r="B518" s="119" t="str">
        <f ca="1">IFERROR(__xludf.DUMMYFUNCTION("""COMPUTED_VALUE"""),"Emmeline Boateng")</f>
        <v>Emmeline Boateng</v>
      </c>
      <c r="C518" s="118">
        <f ca="1">IFERROR(__xludf.DUMMYFUNCTION("""COMPUTED_VALUE"""),9)</f>
        <v>9</v>
      </c>
      <c r="D518" s="118" t="str">
        <f ca="1">IFERROR(__xludf.DUMMYFUNCTION("""COMPUTED_VALUE"""),"G")</f>
        <v>G</v>
      </c>
      <c r="E518" s="118" t="str">
        <f ca="1">IFERROR(__xludf.DUMMYFUNCTION("""COMPUTED_VALUE"""),"F")</f>
        <v>F</v>
      </c>
      <c r="F518" s="118" t="str">
        <f ca="1">IFERROR(__xludf.DUMMYFUNCTION("""COMPUTED_VALUE"""),"J")</f>
        <v>J</v>
      </c>
      <c r="G518" s="118">
        <f ca="1">IFERROR(__xludf.DUMMYFUNCTION("""COMPUTED_VALUE"""),1)</f>
        <v>1</v>
      </c>
      <c r="H518" s="118" t="str">
        <f ca="1">IFERROR(__xludf.DUMMYFUNCTION("""COMPUTED_VALUE"""),"F")</f>
        <v>F</v>
      </c>
      <c r="I518" s="118">
        <f ca="1">IFERROR(__xludf.DUMMYFUNCTION("""COMPUTED_VALUE"""),4)</f>
        <v>4</v>
      </c>
      <c r="J518" s="118">
        <f ca="1">IFERROR(__xludf.DUMMYFUNCTION("""COMPUTED_VALUE"""),0)</f>
        <v>0</v>
      </c>
      <c r="K518" s="120"/>
      <c r="L518" s="121"/>
      <c r="M518" s="120"/>
      <c r="N518" s="121"/>
      <c r="O518" s="120"/>
      <c r="P518" s="122"/>
      <c r="Q518" s="123" t="str">
        <f ca="1">IFERROR(__xludf.DUMMYFUNCTION("""COMPUTED_VALUE"""),"June Benson")</f>
        <v>June Benson</v>
      </c>
      <c r="R518" s="123" t="str">
        <f ca="1">IFERROR(__xludf.DUMMYFUNCTION("""COMPUTED_VALUE"""),"Parker Joshi")</f>
        <v>Parker Joshi</v>
      </c>
      <c r="S518" s="123" t="str">
        <f ca="1">IFERROR(__xludf.DUMMYFUNCTION("""COMPUTED_VALUE"""),"Gincy Zapf")</f>
        <v>Gincy Zapf</v>
      </c>
      <c r="T518" s="123" t="str">
        <f ca="1">IFERROR(__xludf.DUMMYFUNCTION("""COMPUTED_VALUE"""),"Konrad Epley")</f>
        <v>Konrad Epley</v>
      </c>
    </row>
    <row r="519" spans="1:20" ht="13.8">
      <c r="A519" s="118" t="str">
        <f ca="1">IFERROR(__xludf.DUMMYFUNCTION("""COMPUTED_VALUE"""),"F")</f>
        <v>F</v>
      </c>
      <c r="B519" s="119" t="str">
        <f ca="1">IFERROR(__xludf.DUMMYFUNCTION("""COMPUTED_VALUE"""),"Gabriela Perosa")</f>
        <v>Gabriela Perosa</v>
      </c>
      <c r="C519" s="118">
        <f ca="1">IFERROR(__xludf.DUMMYFUNCTION("""COMPUTED_VALUE"""),9)</f>
        <v>9</v>
      </c>
      <c r="D519" s="118" t="str">
        <f ca="1">IFERROR(__xludf.DUMMYFUNCTION("""COMPUTED_VALUE"""),"G")</f>
        <v>G</v>
      </c>
      <c r="E519" s="118" t="str">
        <f ca="1">IFERROR(__xludf.DUMMYFUNCTION("""COMPUTED_VALUE"""),"F")</f>
        <v>F</v>
      </c>
      <c r="F519" s="118" t="str">
        <f ca="1">IFERROR(__xludf.DUMMYFUNCTION("""COMPUTED_VALUE"""),"J")</f>
        <v>J</v>
      </c>
      <c r="G519" s="118">
        <f ca="1">IFERROR(__xludf.DUMMYFUNCTION("""COMPUTED_VALUE"""),1)</f>
        <v>1</v>
      </c>
      <c r="H519" s="118" t="str">
        <f ca="1">IFERROR(__xludf.DUMMYFUNCTION("""COMPUTED_VALUE"""),"F")</f>
        <v>F</v>
      </c>
      <c r="I519" s="118">
        <f ca="1">IFERROR(__xludf.DUMMYFUNCTION("""COMPUTED_VALUE"""),4)</f>
        <v>4</v>
      </c>
      <c r="J519" s="118">
        <f ca="1">IFERROR(__xludf.DUMMYFUNCTION("""COMPUTED_VALUE"""),1)</f>
        <v>1</v>
      </c>
      <c r="K519" s="120"/>
      <c r="L519" s="121"/>
      <c r="M519" s="120"/>
      <c r="N519" s="121"/>
      <c r="O519" s="120"/>
      <c r="P519" s="122"/>
      <c r="Q519" s="123" t="str">
        <f ca="1">IFERROR(__xludf.DUMMYFUNCTION("""COMPUTED_VALUE"""),"June Tuss")</f>
        <v>June Tuss</v>
      </c>
      <c r="R519" s="123" t="str">
        <f ca="1">IFERROR(__xludf.DUMMYFUNCTION("""COMPUTED_VALUE"""),"Parker Smith")</f>
        <v>Parker Smith</v>
      </c>
      <c r="S519" s="123" t="str">
        <f ca="1">IFERROR(__xludf.DUMMYFUNCTION("""COMPUTED_VALUE"""),"Ginny Moore")</f>
        <v>Ginny Moore</v>
      </c>
      <c r="T519" s="123" t="str">
        <f ca="1">IFERROR(__xludf.DUMMYFUNCTION("""COMPUTED_VALUE"""),"Kris Martelli")</f>
        <v>Kris Martelli</v>
      </c>
    </row>
    <row r="520" spans="1:20" ht="13.8">
      <c r="A520" s="118" t="str">
        <f ca="1">IFERROR(__xludf.DUMMYFUNCTION("""COMPUTED_VALUE"""),"F")</f>
        <v>F</v>
      </c>
      <c r="B520" s="119" t="str">
        <f ca="1">IFERROR(__xludf.DUMMYFUNCTION("""COMPUTED_VALUE"""),"Lexi Smith")</f>
        <v>Lexi Smith</v>
      </c>
      <c r="C520" s="118">
        <f ca="1">IFERROR(__xludf.DUMMYFUNCTION("""COMPUTED_VALUE"""),10)</f>
        <v>10</v>
      </c>
      <c r="D520" s="118" t="str">
        <f ca="1">IFERROR(__xludf.DUMMYFUNCTION("""COMPUTED_VALUE"""),"G")</f>
        <v>G</v>
      </c>
      <c r="E520" s="118" t="str">
        <f ca="1">IFERROR(__xludf.DUMMYFUNCTION("""COMPUTED_VALUE"""),"F")</f>
        <v>F</v>
      </c>
      <c r="F520" s="118" t="str">
        <f ca="1">IFERROR(__xludf.DUMMYFUNCTION("""COMPUTED_VALUE"""),"J")</f>
        <v>J</v>
      </c>
      <c r="G520" s="118">
        <f ca="1">IFERROR(__xludf.DUMMYFUNCTION("""COMPUTED_VALUE"""),1)</f>
        <v>1</v>
      </c>
      <c r="H520" s="118" t="str">
        <f ca="1">IFERROR(__xludf.DUMMYFUNCTION("""COMPUTED_VALUE"""),"F")</f>
        <v>F</v>
      </c>
      <c r="I520" s="118">
        <f ca="1">IFERROR(__xludf.DUMMYFUNCTION("""COMPUTED_VALUE"""),4)</f>
        <v>4</v>
      </c>
      <c r="J520" s="118">
        <f ca="1">IFERROR(__xludf.DUMMYFUNCTION("""COMPUTED_VALUE"""),2)</f>
        <v>2</v>
      </c>
      <c r="K520" s="120">
        <f ca="1">IFERROR(__xludf.DUMMYFUNCTION("""COMPUTED_VALUE"""),39.25)</f>
        <v>39.25</v>
      </c>
      <c r="L520" s="121"/>
      <c r="M520" s="120"/>
      <c r="N520" s="121"/>
      <c r="O520" s="120"/>
      <c r="P520" s="122"/>
      <c r="Q520" s="123" t="str">
        <f ca="1">IFERROR(__xludf.DUMMYFUNCTION("""COMPUTED_VALUE"""),"Kacey Duke")</f>
        <v>Kacey Duke</v>
      </c>
      <c r="R520" s="123" t="str">
        <f ca="1">IFERROR(__xludf.DUMMYFUNCTION("""COMPUTED_VALUE"""),"Parsa Tavakol")</f>
        <v>Parsa Tavakol</v>
      </c>
      <c r="S520" s="123" t="str">
        <f ca="1">IFERROR(__xludf.DUMMYFUNCTION("""COMPUTED_VALUE"""),"Gloria Johnson")</f>
        <v>Gloria Johnson</v>
      </c>
      <c r="T520" s="123" t="str">
        <f ca="1">IFERROR(__xludf.DUMMYFUNCTION("""COMPUTED_VALUE"""),"Kyle Ratner")</f>
        <v>Kyle Ratner</v>
      </c>
    </row>
    <row r="521" spans="1:20" ht="13.8">
      <c r="A521" s="118" t="str">
        <f ca="1">IFERROR(__xludf.DUMMYFUNCTION("""COMPUTED_VALUE"""),"F")</f>
        <v>F</v>
      </c>
      <c r="B521" s="119" t="str">
        <f ca="1">IFERROR(__xludf.DUMMYFUNCTION("""COMPUTED_VALUE"""),"Lucy Alizadeh")</f>
        <v>Lucy Alizadeh</v>
      </c>
      <c r="C521" s="118">
        <f ca="1">IFERROR(__xludf.DUMMYFUNCTION("""COMPUTED_VALUE"""),9)</f>
        <v>9</v>
      </c>
      <c r="D521" s="118" t="str">
        <f ca="1">IFERROR(__xludf.DUMMYFUNCTION("""COMPUTED_VALUE"""),"G")</f>
        <v>G</v>
      </c>
      <c r="E521" s="118" t="str">
        <f ca="1">IFERROR(__xludf.DUMMYFUNCTION("""COMPUTED_VALUE"""),"F")</f>
        <v>F</v>
      </c>
      <c r="F521" s="118" t="str">
        <f ca="1">IFERROR(__xludf.DUMMYFUNCTION("""COMPUTED_VALUE"""),"J")</f>
        <v>J</v>
      </c>
      <c r="G521" s="118">
        <f ca="1">IFERROR(__xludf.DUMMYFUNCTION("""COMPUTED_VALUE"""),1)</f>
        <v>1</v>
      </c>
      <c r="H521" s="118" t="str">
        <f ca="1">IFERROR(__xludf.DUMMYFUNCTION("""COMPUTED_VALUE"""),"F")</f>
        <v>F</v>
      </c>
      <c r="I521" s="118">
        <f ca="1">IFERROR(__xludf.DUMMYFUNCTION("""COMPUTED_VALUE"""),4)</f>
        <v>4</v>
      </c>
      <c r="J521" s="118">
        <f ca="1">IFERROR(__xludf.DUMMYFUNCTION("""COMPUTED_VALUE"""),0)</f>
        <v>0</v>
      </c>
      <c r="K521" s="120"/>
      <c r="L521" s="121"/>
      <c r="M521" s="120"/>
      <c r="N521" s="121"/>
      <c r="O521" s="120"/>
      <c r="P521" s="122"/>
      <c r="Q521" s="123" t="str">
        <f ca="1">IFERROR(__xludf.DUMMYFUNCTION("""COMPUTED_VALUE"""),"Kaelyn Farrelly")</f>
        <v>Kaelyn Farrelly</v>
      </c>
      <c r="R521" s="123" t="str">
        <f ca="1">IFERROR(__xludf.DUMMYFUNCTION("""COMPUTED_VALUE"""),"Patrick Coyne")</f>
        <v>Patrick Coyne</v>
      </c>
      <c r="S521" s="123" t="str">
        <f ca="1">IFERROR(__xludf.DUMMYFUNCTION("""COMPUTED_VALUE"""),"Grace Berik")</f>
        <v>Grace Berik</v>
      </c>
      <c r="T521" s="123" t="str">
        <f ca="1">IFERROR(__xludf.DUMMYFUNCTION("""COMPUTED_VALUE"""),"Kyle Schutt")</f>
        <v>Kyle Schutt</v>
      </c>
    </row>
    <row r="522" spans="1:20" ht="13.8">
      <c r="A522" s="118" t="str">
        <f ca="1">IFERROR(__xludf.DUMMYFUNCTION("""COMPUTED_VALUE"""),"F")</f>
        <v>F</v>
      </c>
      <c r="B522" s="119" t="str">
        <f ca="1">IFERROR(__xludf.DUMMYFUNCTION("""COMPUTED_VALUE"""),"Mila Farahi")</f>
        <v>Mila Farahi</v>
      </c>
      <c r="C522" s="118">
        <f ca="1">IFERROR(__xludf.DUMMYFUNCTION("""COMPUTED_VALUE"""),8)</f>
        <v>8</v>
      </c>
      <c r="D522" s="118" t="str">
        <f ca="1">IFERROR(__xludf.DUMMYFUNCTION("""COMPUTED_VALUE"""),"G")</f>
        <v>G</v>
      </c>
      <c r="E522" s="118" t="str">
        <f ca="1">IFERROR(__xludf.DUMMYFUNCTION("""COMPUTED_VALUE"""),"F")</f>
        <v>F</v>
      </c>
      <c r="F522" s="118" t="str">
        <f ca="1">IFERROR(__xludf.DUMMYFUNCTION("""COMPUTED_VALUE"""),"J")</f>
        <v>J</v>
      </c>
      <c r="G522" s="118">
        <f ca="1">IFERROR(__xludf.DUMMYFUNCTION("""COMPUTED_VALUE"""),1)</f>
        <v>1</v>
      </c>
      <c r="H522" s="118" t="str">
        <f ca="1">IFERROR(__xludf.DUMMYFUNCTION("""COMPUTED_VALUE"""),"F")</f>
        <v>F</v>
      </c>
      <c r="I522" s="118">
        <f ca="1">IFERROR(__xludf.DUMMYFUNCTION("""COMPUTED_VALUE"""),4)</f>
        <v>4</v>
      </c>
      <c r="J522" s="118">
        <f ca="1">IFERROR(__xludf.DUMMYFUNCTION("""COMPUTED_VALUE"""),4)</f>
        <v>4</v>
      </c>
      <c r="K522" s="120">
        <f ca="1">IFERROR(__xludf.DUMMYFUNCTION("""COMPUTED_VALUE"""),36)</f>
        <v>36</v>
      </c>
      <c r="L522" s="121"/>
      <c r="M522" s="120">
        <f ca="1">IFERROR(__xludf.DUMMYFUNCTION("""COMPUTED_VALUE"""),24)</f>
        <v>24</v>
      </c>
      <c r="N522" s="121"/>
      <c r="O522" s="120">
        <f ca="1">IFERROR(__xludf.DUMMYFUNCTION("""COMPUTED_VALUE"""),34.25)</f>
        <v>34.25</v>
      </c>
      <c r="P522" s="122"/>
      <c r="Q522" s="123" t="str">
        <f ca="1">IFERROR(__xludf.DUMMYFUNCTION("""COMPUTED_VALUE"""),"Kaitlyn Kimmitt")</f>
        <v>Kaitlyn Kimmitt</v>
      </c>
      <c r="R522" s="123" t="str">
        <f ca="1">IFERROR(__xludf.DUMMYFUNCTION("""COMPUTED_VALUE"""),"Patrick Donovan")</f>
        <v>Patrick Donovan</v>
      </c>
      <c r="S522" s="123" t="str">
        <f ca="1">IFERROR(__xludf.DUMMYFUNCTION("""COMPUTED_VALUE"""),"Grace Bowser")</f>
        <v>Grace Bowser</v>
      </c>
      <c r="T522" s="123" t="str">
        <f ca="1">IFERROR(__xludf.DUMMYFUNCTION("""COMPUTED_VALUE"""),"Lachlan Gellie")</f>
        <v>Lachlan Gellie</v>
      </c>
    </row>
    <row r="523" spans="1:20" ht="13.8">
      <c r="A523" s="118" t="str">
        <f ca="1">IFERROR(__xludf.DUMMYFUNCTION("""COMPUTED_VALUE"""),"F")</f>
        <v>F</v>
      </c>
      <c r="B523" s="119" t="str">
        <f ca="1">IFERROR(__xludf.DUMMYFUNCTION("""COMPUTED_VALUE"""),"Nati Dick")</f>
        <v>Nati Dick</v>
      </c>
      <c r="C523" s="118">
        <f ca="1">IFERROR(__xludf.DUMMYFUNCTION("""COMPUTED_VALUE"""),9)</f>
        <v>9</v>
      </c>
      <c r="D523" s="118" t="str">
        <f ca="1">IFERROR(__xludf.DUMMYFUNCTION("""COMPUTED_VALUE"""),"G")</f>
        <v>G</v>
      </c>
      <c r="E523" s="118" t="str">
        <f ca="1">IFERROR(__xludf.DUMMYFUNCTION("""COMPUTED_VALUE"""),"F")</f>
        <v>F</v>
      </c>
      <c r="F523" s="118" t="str">
        <f ca="1">IFERROR(__xludf.DUMMYFUNCTION("""COMPUTED_VALUE"""),"J")</f>
        <v>J</v>
      </c>
      <c r="G523" s="118">
        <f ca="1">IFERROR(__xludf.DUMMYFUNCTION("""COMPUTED_VALUE"""),1)</f>
        <v>1</v>
      </c>
      <c r="H523" s="118" t="str">
        <f ca="1">IFERROR(__xludf.DUMMYFUNCTION("""COMPUTED_VALUE"""),"F")</f>
        <v>F</v>
      </c>
      <c r="I523" s="118">
        <f ca="1">IFERROR(__xludf.DUMMYFUNCTION("""COMPUTED_VALUE"""),4)</f>
        <v>4</v>
      </c>
      <c r="J523" s="118">
        <f ca="1">IFERROR(__xludf.DUMMYFUNCTION("""COMPUTED_VALUE"""),0)</f>
        <v>0</v>
      </c>
      <c r="K523" s="120"/>
      <c r="L523" s="121"/>
      <c r="M523" s="120"/>
      <c r="N523" s="121"/>
      <c r="O523" s="120"/>
      <c r="P523" s="122"/>
      <c r="Q523" s="123" t="str">
        <f ca="1">IFERROR(__xludf.DUMMYFUNCTION("""COMPUTED_VALUE"""),"Karolina Ramon")</f>
        <v>Karolina Ramon</v>
      </c>
      <c r="R523" s="123" t="str">
        <f ca="1">IFERROR(__xludf.DUMMYFUNCTION("""COMPUTED_VALUE"""),"Patrick Mulholland")</f>
        <v>Patrick Mulholland</v>
      </c>
      <c r="S523" s="123" t="str">
        <f ca="1">IFERROR(__xludf.DUMMYFUNCTION("""COMPUTED_VALUE"""),"Grace Burnett")</f>
        <v>Grace Burnett</v>
      </c>
      <c r="T523" s="123" t="str">
        <f ca="1">IFERROR(__xludf.DUMMYFUNCTION("""COMPUTED_VALUE"""),"LaMonica Theo")</f>
        <v>LaMonica Theo</v>
      </c>
    </row>
    <row r="524" spans="1:20" ht="13.8">
      <c r="A524" s="118" t="str">
        <f ca="1">IFERROR(__xludf.DUMMYFUNCTION("""COMPUTED_VALUE"""),"F")</f>
        <v>F</v>
      </c>
      <c r="B524" s="119" t="str">
        <f ca="1">IFERROR(__xludf.DUMMYFUNCTION("""COMPUTED_VALUE"""),"Rosie Han")</f>
        <v>Rosie Han</v>
      </c>
      <c r="C524" s="118">
        <f ca="1">IFERROR(__xludf.DUMMYFUNCTION("""COMPUTED_VALUE"""),8)</f>
        <v>8</v>
      </c>
      <c r="D524" s="118" t="str">
        <f ca="1">IFERROR(__xludf.DUMMYFUNCTION("""COMPUTED_VALUE"""),"G")</f>
        <v>G</v>
      </c>
      <c r="E524" s="118" t="str">
        <f ca="1">IFERROR(__xludf.DUMMYFUNCTION("""COMPUTED_VALUE"""),"F")</f>
        <v>F</v>
      </c>
      <c r="F524" s="118" t="str">
        <f ca="1">IFERROR(__xludf.DUMMYFUNCTION("""COMPUTED_VALUE"""),"J")</f>
        <v>J</v>
      </c>
      <c r="G524" s="118">
        <f ca="1">IFERROR(__xludf.DUMMYFUNCTION("""COMPUTED_VALUE"""),1)</f>
        <v>1</v>
      </c>
      <c r="H524" s="118" t="str">
        <f ca="1">IFERROR(__xludf.DUMMYFUNCTION("""COMPUTED_VALUE"""),"F")</f>
        <v>F</v>
      </c>
      <c r="I524" s="118">
        <f ca="1">IFERROR(__xludf.DUMMYFUNCTION("""COMPUTED_VALUE"""),4)</f>
        <v>4</v>
      </c>
      <c r="J524" s="118">
        <f ca="1">IFERROR(__xludf.DUMMYFUNCTION("""COMPUTED_VALUE"""),0)</f>
        <v>0</v>
      </c>
      <c r="K524" s="120"/>
      <c r="L524" s="121"/>
      <c r="M524" s="120"/>
      <c r="N524" s="121"/>
      <c r="O524" s="120"/>
      <c r="P524" s="122"/>
      <c r="Q524" s="123" t="str">
        <f ca="1">IFERROR(__xludf.DUMMYFUNCTION("""COMPUTED_VALUE"""),"Kate Blinstrub")</f>
        <v>Kate Blinstrub</v>
      </c>
      <c r="R524" s="123" t="str">
        <f ca="1">IFERROR(__xludf.DUMMYFUNCTION("""COMPUTED_VALUE"""),"Patrick Smith")</f>
        <v>Patrick Smith</v>
      </c>
      <c r="S524" s="123" t="str">
        <f ca="1">IFERROR(__xludf.DUMMYFUNCTION("""COMPUTED_VALUE"""),"Grace Hawk")</f>
        <v>Grace Hawk</v>
      </c>
      <c r="T524" s="123" t="str">
        <f ca="1">IFERROR(__xludf.DUMMYFUNCTION("""COMPUTED_VALUE"""),"Landen Smith")</f>
        <v>Landen Smith</v>
      </c>
    </row>
    <row r="525" spans="1:20" ht="13.8">
      <c r="A525" s="118" t="str">
        <f ca="1">IFERROR(__xludf.DUMMYFUNCTION("""COMPUTED_VALUE"""),"F")</f>
        <v>F</v>
      </c>
      <c r="B525" s="119" t="str">
        <f ca="1">IFERROR(__xludf.DUMMYFUNCTION("""COMPUTED_VALUE"""),"Valerie Devlin")</f>
        <v>Valerie Devlin</v>
      </c>
      <c r="C525" s="118">
        <f ca="1">IFERROR(__xludf.DUMMYFUNCTION("""COMPUTED_VALUE"""),6)</f>
        <v>6</v>
      </c>
      <c r="D525" s="118" t="str">
        <f ca="1">IFERROR(__xludf.DUMMYFUNCTION("""COMPUTED_VALUE"""),"G")</f>
        <v>G</v>
      </c>
      <c r="E525" s="118" t="str">
        <f ca="1">IFERROR(__xludf.DUMMYFUNCTION("""COMPUTED_VALUE"""),"F")</f>
        <v>F</v>
      </c>
      <c r="F525" s="118" t="str">
        <f ca="1">IFERROR(__xludf.DUMMYFUNCTION("""COMPUTED_VALUE"""),"J")</f>
        <v>J</v>
      </c>
      <c r="G525" s="118">
        <f ca="1">IFERROR(__xludf.DUMMYFUNCTION("""COMPUTED_VALUE"""),1)</f>
        <v>1</v>
      </c>
      <c r="H525" s="118" t="str">
        <f ca="1">IFERROR(__xludf.DUMMYFUNCTION("""COMPUTED_VALUE"""),"F")</f>
        <v>F</v>
      </c>
      <c r="I525" s="118">
        <f ca="1">IFERROR(__xludf.DUMMYFUNCTION("""COMPUTED_VALUE"""),4)</f>
        <v>4</v>
      </c>
      <c r="J525" s="118">
        <f ca="1">IFERROR(__xludf.DUMMYFUNCTION("""COMPUTED_VALUE"""),5)</f>
        <v>5</v>
      </c>
      <c r="K525" s="120">
        <f ca="1">IFERROR(__xludf.DUMMYFUNCTION("""COMPUTED_VALUE"""),40.2)</f>
        <v>40.200000000000003</v>
      </c>
      <c r="L525" s="121"/>
      <c r="M525" s="120">
        <f ca="1">IFERROR(__xludf.DUMMYFUNCTION("""COMPUTED_VALUE"""),37.6)</f>
        <v>37.6</v>
      </c>
      <c r="N525" s="121"/>
      <c r="O525" s="120">
        <f ca="1">IFERROR(__xludf.DUMMYFUNCTION("""COMPUTED_VALUE"""),34.3)</f>
        <v>34.299999999999997</v>
      </c>
      <c r="P525" s="122"/>
      <c r="Q525" s="123" t="str">
        <f ca="1">IFERROR(__xludf.DUMMYFUNCTION("""COMPUTED_VALUE"""),"Kate Copes")</f>
        <v>Kate Copes</v>
      </c>
      <c r="R525" s="123" t="str">
        <f ca="1">IFERROR(__xludf.DUMMYFUNCTION("""COMPUTED_VALUE"""),"Patrick Swatt")</f>
        <v>Patrick Swatt</v>
      </c>
      <c r="S525" s="123" t="str">
        <f ca="1">IFERROR(__xludf.DUMMYFUNCTION("""COMPUTED_VALUE"""),"Grace Johnson")</f>
        <v>Grace Johnson</v>
      </c>
      <c r="T525" s="123" t="str">
        <f ca="1">IFERROR(__xludf.DUMMYFUNCTION("""COMPUTED_VALUE"""),"Landon Lucey")</f>
        <v>Landon Lucey</v>
      </c>
    </row>
    <row r="526" spans="1:20" ht="13.8">
      <c r="A526" s="118" t="str">
        <f ca="1">IFERROR(__xludf.DUMMYFUNCTION("""COMPUTED_VALUE"""),"F")</f>
        <v>F</v>
      </c>
      <c r="B526" s="119" t="str">
        <f ca="1">IFERROR(__xludf.DUMMYFUNCTION("""COMPUTED_VALUE"""),"Vivie Bucher")</f>
        <v>Vivie Bucher</v>
      </c>
      <c r="C526" s="118">
        <f ca="1">IFERROR(__xludf.DUMMYFUNCTION("""COMPUTED_VALUE"""),8)</f>
        <v>8</v>
      </c>
      <c r="D526" s="118" t="str">
        <f ca="1">IFERROR(__xludf.DUMMYFUNCTION("""COMPUTED_VALUE"""),"G")</f>
        <v>G</v>
      </c>
      <c r="E526" s="118" t="str">
        <f ca="1">IFERROR(__xludf.DUMMYFUNCTION("""COMPUTED_VALUE"""),"F")</f>
        <v>F</v>
      </c>
      <c r="F526" s="118" t="str">
        <f ca="1">IFERROR(__xludf.DUMMYFUNCTION("""COMPUTED_VALUE"""),"J")</f>
        <v>J</v>
      </c>
      <c r="G526" s="118">
        <f ca="1">IFERROR(__xludf.DUMMYFUNCTION("""COMPUTED_VALUE"""),1)</f>
        <v>1</v>
      </c>
      <c r="H526" s="118" t="str">
        <f ca="1">IFERROR(__xludf.DUMMYFUNCTION("""COMPUTED_VALUE"""),"F")</f>
        <v>F</v>
      </c>
      <c r="I526" s="118">
        <f ca="1">IFERROR(__xludf.DUMMYFUNCTION("""COMPUTED_VALUE"""),4)</f>
        <v>4</v>
      </c>
      <c r="J526" s="118">
        <f ca="1">IFERROR(__xludf.DUMMYFUNCTION("""COMPUTED_VALUE"""),3)</f>
        <v>3</v>
      </c>
      <c r="K526" s="120">
        <f ca="1">IFERROR(__xludf.DUMMYFUNCTION("""COMPUTED_VALUE"""),36.25)</f>
        <v>36.25</v>
      </c>
      <c r="L526" s="121"/>
      <c r="M526" s="120"/>
      <c r="N526" s="121"/>
      <c r="O526" s="120">
        <f ca="1">IFERROR(__xludf.DUMMYFUNCTION("""COMPUTED_VALUE"""),36.25)</f>
        <v>36.25</v>
      </c>
      <c r="P526" s="122"/>
      <c r="Q526" s="123" t="str">
        <f ca="1">IFERROR(__xludf.DUMMYFUNCTION("""COMPUTED_VALUE"""),"Kate Edgerton")</f>
        <v>Kate Edgerton</v>
      </c>
      <c r="R526" s="123" t="str">
        <f ca="1">IFERROR(__xludf.DUMMYFUNCTION("""COMPUTED_VALUE"""),"Patrick Walsh")</f>
        <v>Patrick Walsh</v>
      </c>
      <c r="S526" s="123" t="str">
        <f ca="1">IFERROR(__xludf.DUMMYFUNCTION("""COMPUTED_VALUE"""),"Grace Luk")</f>
        <v>Grace Luk</v>
      </c>
      <c r="T526" s="123" t="str">
        <f ca="1">IFERROR(__xludf.DUMMYFUNCTION("""COMPUTED_VALUE"""),"Landon Manwaring")</f>
        <v>Landon Manwaring</v>
      </c>
    </row>
    <row r="527" spans="1:20" ht="13.8">
      <c r="A527" s="118" t="str">
        <f ca="1">IFERROR(__xludf.DUMMYFUNCTION("""COMPUTED_VALUE"""),"F")</f>
        <v>F</v>
      </c>
      <c r="B527" s="119" t="str">
        <f ca="1">IFERROR(__xludf.DUMMYFUNCTION("""COMPUTED_VALUE"""),"Arthur Fleischer")</f>
        <v>Arthur Fleischer</v>
      </c>
      <c r="C527" s="118">
        <f ca="1">IFERROR(__xludf.DUMMYFUNCTION("""COMPUTED_VALUE"""),9)</f>
        <v>9</v>
      </c>
      <c r="D527" s="118" t="str">
        <f ca="1">IFERROR(__xludf.DUMMYFUNCTION("""COMPUTED_VALUE"""),"B")</f>
        <v>B</v>
      </c>
      <c r="E527" s="118" t="str">
        <f ca="1">IFERROR(__xludf.DUMMYFUNCTION("""COMPUTED_VALUE"""),"F")</f>
        <v>F</v>
      </c>
      <c r="F527" s="118" t="str">
        <f ca="1">IFERROR(__xludf.DUMMYFUNCTION("""COMPUTED_VALUE"""),"J")</f>
        <v>J</v>
      </c>
      <c r="G527" s="118">
        <f ca="1">IFERROR(__xludf.DUMMYFUNCTION("""COMPUTED_VALUE"""),1)</f>
        <v>1</v>
      </c>
      <c r="H527" s="118" t="str">
        <f ca="1">IFERROR(__xludf.DUMMYFUNCTION("""COMPUTED_VALUE"""),"F")</f>
        <v>F</v>
      </c>
      <c r="I527" s="118">
        <f ca="1">IFERROR(__xludf.DUMMYFUNCTION("""COMPUTED_VALUE"""),5)</f>
        <v>5</v>
      </c>
      <c r="J527" s="118">
        <f ca="1">IFERROR(__xludf.DUMMYFUNCTION("""COMPUTED_VALUE"""),0)</f>
        <v>0</v>
      </c>
      <c r="K527" s="120"/>
      <c r="L527" s="121"/>
      <c r="M527" s="120"/>
      <c r="N527" s="121"/>
      <c r="O527" s="120"/>
      <c r="P527" s="122"/>
      <c r="Q527" s="123" t="str">
        <f ca="1">IFERROR(__xludf.DUMMYFUNCTION("""COMPUTED_VALUE"""),"Kate Freeze")</f>
        <v>Kate Freeze</v>
      </c>
      <c r="R527" s="123" t="str">
        <f ca="1">IFERROR(__xludf.DUMMYFUNCTION("""COMPUTED_VALUE"""),"Paul DiCola")</f>
        <v>Paul DiCola</v>
      </c>
      <c r="S527" s="123" t="str">
        <f ca="1">IFERROR(__xludf.DUMMYFUNCTION("""COMPUTED_VALUE"""),"Grace Middendorf")</f>
        <v>Grace Middendorf</v>
      </c>
      <c r="T527" s="123" t="str">
        <f ca="1">IFERROR(__xludf.DUMMYFUNCTION("""COMPUTED_VALUE"""),"Landon Stang")</f>
        <v>Landon Stang</v>
      </c>
    </row>
    <row r="528" spans="1:20" ht="13.8">
      <c r="A528" s="118" t="str">
        <f ca="1">IFERROR(__xludf.DUMMYFUNCTION("""COMPUTED_VALUE"""),"F")</f>
        <v>F</v>
      </c>
      <c r="B528" s="119" t="str">
        <f ca="1">IFERROR(__xludf.DUMMYFUNCTION("""COMPUTED_VALUE"""),"Connor Barron")</f>
        <v>Connor Barron</v>
      </c>
      <c r="C528" s="118">
        <f ca="1">IFERROR(__xludf.DUMMYFUNCTION("""COMPUTED_VALUE"""),10)</f>
        <v>10</v>
      </c>
      <c r="D528" s="118" t="str">
        <f ca="1">IFERROR(__xludf.DUMMYFUNCTION("""COMPUTED_VALUE"""),"B")</f>
        <v>B</v>
      </c>
      <c r="E528" s="118" t="str">
        <f ca="1">IFERROR(__xludf.DUMMYFUNCTION("""COMPUTED_VALUE"""),"F")</f>
        <v>F</v>
      </c>
      <c r="F528" s="118" t="str">
        <f ca="1">IFERROR(__xludf.DUMMYFUNCTION("""COMPUTED_VALUE"""),"J")</f>
        <v>J</v>
      </c>
      <c r="G528" s="118">
        <f ca="1">IFERROR(__xludf.DUMMYFUNCTION("""COMPUTED_VALUE"""),1)</f>
        <v>1</v>
      </c>
      <c r="H528" s="118" t="str">
        <f ca="1">IFERROR(__xludf.DUMMYFUNCTION("""COMPUTED_VALUE"""),"F")</f>
        <v>F</v>
      </c>
      <c r="I528" s="118">
        <f ca="1">IFERROR(__xludf.DUMMYFUNCTION("""COMPUTED_VALUE"""),5)</f>
        <v>5</v>
      </c>
      <c r="J528" s="118">
        <f ca="1">IFERROR(__xludf.DUMMYFUNCTION("""COMPUTED_VALUE"""),5)</f>
        <v>5</v>
      </c>
      <c r="K528" s="120">
        <f ca="1">IFERROR(__xludf.DUMMYFUNCTION("""COMPUTED_VALUE"""),90.75)</f>
        <v>90.75</v>
      </c>
      <c r="L528" s="121"/>
      <c r="M528" s="120">
        <f ca="1">IFERROR(__xludf.DUMMYFUNCTION("""COMPUTED_VALUE"""),83.55)</f>
        <v>83.55</v>
      </c>
      <c r="N528" s="121"/>
      <c r="O528" s="120">
        <f ca="1">IFERROR(__xludf.DUMMYFUNCTION("""COMPUTED_VALUE"""),78.5)</f>
        <v>78.5</v>
      </c>
      <c r="P528" s="122"/>
      <c r="Q528" s="123" t="str">
        <f ca="1">IFERROR(__xludf.DUMMYFUNCTION("""COMPUTED_VALUE"""),"Kate Gentry")</f>
        <v>Kate Gentry</v>
      </c>
      <c r="R528" s="123" t="str">
        <f ca="1">IFERROR(__xludf.DUMMYFUNCTION("""COMPUTED_VALUE"""),"Peter Goehring")</f>
        <v>Peter Goehring</v>
      </c>
      <c r="S528" s="123" t="str">
        <f ca="1">IFERROR(__xludf.DUMMYFUNCTION("""COMPUTED_VALUE"""),"Grace Partain")</f>
        <v>Grace Partain</v>
      </c>
      <c r="T528" s="123" t="str">
        <f ca="1">IFERROR(__xludf.DUMMYFUNCTION("""COMPUTED_VALUE"""),"Landon Wade")</f>
        <v>Landon Wade</v>
      </c>
    </row>
    <row r="529" spans="1:20" ht="13.8">
      <c r="A529" s="118" t="str">
        <f ca="1">IFERROR(__xludf.DUMMYFUNCTION("""COMPUTED_VALUE"""),"F")</f>
        <v>F</v>
      </c>
      <c r="B529" s="119" t="str">
        <f ca="1">IFERROR(__xludf.DUMMYFUNCTION("""COMPUTED_VALUE"""),"Drew Winslow")</f>
        <v>Drew Winslow</v>
      </c>
      <c r="C529" s="118">
        <f ca="1">IFERROR(__xludf.DUMMYFUNCTION("""COMPUTED_VALUE"""),7)</f>
        <v>7</v>
      </c>
      <c r="D529" s="118" t="str">
        <f ca="1">IFERROR(__xludf.DUMMYFUNCTION("""COMPUTED_VALUE"""),"B")</f>
        <v>B</v>
      </c>
      <c r="E529" s="118" t="str">
        <f ca="1">IFERROR(__xludf.DUMMYFUNCTION("""COMPUTED_VALUE"""),"F")</f>
        <v>F</v>
      </c>
      <c r="F529" s="118" t="str">
        <f ca="1">IFERROR(__xludf.DUMMYFUNCTION("""COMPUTED_VALUE"""),"J")</f>
        <v>J</v>
      </c>
      <c r="G529" s="118">
        <f ca="1">IFERROR(__xludf.DUMMYFUNCTION("""COMPUTED_VALUE"""),1)</f>
        <v>1</v>
      </c>
      <c r="H529" s="118" t="str">
        <f ca="1">IFERROR(__xludf.DUMMYFUNCTION("""COMPUTED_VALUE"""),"F")</f>
        <v>F</v>
      </c>
      <c r="I529" s="118">
        <f ca="1">IFERROR(__xludf.DUMMYFUNCTION("""COMPUTED_VALUE"""),5)</f>
        <v>5</v>
      </c>
      <c r="J529" s="118">
        <f ca="1">IFERROR(__xludf.DUMMYFUNCTION("""COMPUTED_VALUE"""),0)</f>
        <v>0</v>
      </c>
      <c r="K529" s="120"/>
      <c r="L529" s="121"/>
      <c r="M529" s="120"/>
      <c r="N529" s="121"/>
      <c r="O529" s="120"/>
      <c r="P529" s="122"/>
      <c r="Q529" s="123" t="str">
        <f ca="1">IFERROR(__xludf.DUMMYFUNCTION("""COMPUTED_VALUE"""),"Kate Matthews")</f>
        <v>Kate Matthews</v>
      </c>
      <c r="R529" s="123" t="str">
        <f ca="1">IFERROR(__xludf.DUMMYFUNCTION("""COMPUTED_VALUE"""),"Peyton Farahi")</f>
        <v>Peyton Farahi</v>
      </c>
      <c r="S529" s="123" t="str">
        <f ca="1">IFERROR(__xludf.DUMMYFUNCTION("""COMPUTED_VALUE"""),"Grace Rose")</f>
        <v>Grace Rose</v>
      </c>
      <c r="T529" s="123" t="str">
        <f ca="1">IFERROR(__xludf.DUMMYFUNCTION("""COMPUTED_VALUE"""),"Laszlo Matias")</f>
        <v>Laszlo Matias</v>
      </c>
    </row>
    <row r="530" spans="1:20" ht="13.8">
      <c r="A530" s="118" t="str">
        <f ca="1">IFERROR(__xludf.DUMMYFUNCTION("""COMPUTED_VALUE"""),"F")</f>
        <v>F</v>
      </c>
      <c r="B530" s="119" t="str">
        <f ca="1">IFERROR(__xludf.DUMMYFUNCTION("""COMPUTED_VALUE"""),"Francis Smith")</f>
        <v>Francis Smith</v>
      </c>
      <c r="C530" s="118">
        <f ca="1">IFERROR(__xludf.DUMMYFUNCTION("""COMPUTED_VALUE"""),8)</f>
        <v>8</v>
      </c>
      <c r="D530" s="118" t="str">
        <f ca="1">IFERROR(__xludf.DUMMYFUNCTION("""COMPUTED_VALUE"""),"B")</f>
        <v>B</v>
      </c>
      <c r="E530" s="118" t="str">
        <f ca="1">IFERROR(__xludf.DUMMYFUNCTION("""COMPUTED_VALUE"""),"F")</f>
        <v>F</v>
      </c>
      <c r="F530" s="118" t="str">
        <f ca="1">IFERROR(__xludf.DUMMYFUNCTION("""COMPUTED_VALUE"""),"J")</f>
        <v>J</v>
      </c>
      <c r="G530" s="118">
        <f ca="1">IFERROR(__xludf.DUMMYFUNCTION("""COMPUTED_VALUE"""),1)</f>
        <v>1</v>
      </c>
      <c r="H530" s="118" t="str">
        <f ca="1">IFERROR(__xludf.DUMMYFUNCTION("""COMPUTED_VALUE"""),"F")</f>
        <v>F</v>
      </c>
      <c r="I530" s="118">
        <f ca="1">IFERROR(__xludf.DUMMYFUNCTION("""COMPUTED_VALUE"""),5)</f>
        <v>5</v>
      </c>
      <c r="J530" s="118">
        <f ca="1">IFERROR(__xludf.DUMMYFUNCTION("""COMPUTED_VALUE"""),0)</f>
        <v>0</v>
      </c>
      <c r="K530" s="120"/>
      <c r="L530" s="121"/>
      <c r="M530" s="120"/>
      <c r="N530" s="121"/>
      <c r="O530" s="120"/>
      <c r="P530" s="122"/>
      <c r="Q530" s="123" t="str">
        <f ca="1">IFERROR(__xludf.DUMMYFUNCTION("""COMPUTED_VALUE"""),"Katelyn Thackaberry")</f>
        <v>Katelyn Thackaberry</v>
      </c>
      <c r="R530" s="123" t="str">
        <f ca="1">IFERROR(__xludf.DUMMYFUNCTION("""COMPUTED_VALUE"""),"Phil Bernard")</f>
        <v>Phil Bernard</v>
      </c>
      <c r="S530" s="123" t="str">
        <f ca="1">IFERROR(__xludf.DUMMYFUNCTION("""COMPUTED_VALUE"""),"Grace Swihart")</f>
        <v>Grace Swihart</v>
      </c>
      <c r="T530" s="123" t="str">
        <f ca="1">IFERROR(__xludf.DUMMYFUNCTION("""COMPUTED_VALUE"""),"Late Entry")</f>
        <v>Late Entry</v>
      </c>
    </row>
    <row r="531" spans="1:20" ht="13.8">
      <c r="A531" s="118" t="str">
        <f ca="1">IFERROR(__xludf.DUMMYFUNCTION("""COMPUTED_VALUE"""),"F")</f>
        <v>F</v>
      </c>
      <c r="B531" s="119" t="str">
        <f ca="1">IFERROR(__xludf.DUMMYFUNCTION("""COMPUTED_VALUE"""),"Gio Flores")</f>
        <v>Gio Flores</v>
      </c>
      <c r="C531" s="118">
        <f ca="1">IFERROR(__xludf.DUMMYFUNCTION("""COMPUTED_VALUE"""),9)</f>
        <v>9</v>
      </c>
      <c r="D531" s="118" t="str">
        <f ca="1">IFERROR(__xludf.DUMMYFUNCTION("""COMPUTED_VALUE"""),"B")</f>
        <v>B</v>
      </c>
      <c r="E531" s="118" t="str">
        <f ca="1">IFERROR(__xludf.DUMMYFUNCTION("""COMPUTED_VALUE"""),"F")</f>
        <v>F</v>
      </c>
      <c r="F531" s="118" t="str">
        <f ca="1">IFERROR(__xludf.DUMMYFUNCTION("""COMPUTED_VALUE"""),"J")</f>
        <v>J</v>
      </c>
      <c r="G531" s="118">
        <f ca="1">IFERROR(__xludf.DUMMYFUNCTION("""COMPUTED_VALUE"""),1)</f>
        <v>1</v>
      </c>
      <c r="H531" s="118" t="str">
        <f ca="1">IFERROR(__xludf.DUMMYFUNCTION("""COMPUTED_VALUE"""),"F")</f>
        <v>F</v>
      </c>
      <c r="I531" s="118">
        <f ca="1">IFERROR(__xludf.DUMMYFUNCTION("""COMPUTED_VALUE"""),5)</f>
        <v>5</v>
      </c>
      <c r="J531" s="118">
        <f ca="1">IFERROR(__xludf.DUMMYFUNCTION("""COMPUTED_VALUE"""),2)</f>
        <v>2</v>
      </c>
      <c r="K531" s="120">
        <f ca="1">IFERROR(__xludf.DUMMYFUNCTION("""COMPUTED_VALUE"""),19.85)</f>
        <v>19.850000000000001</v>
      </c>
      <c r="L531" s="121"/>
      <c r="M531" s="120"/>
      <c r="N531" s="121"/>
      <c r="O531" s="120">
        <f ca="1">IFERROR(__xludf.DUMMYFUNCTION("""COMPUTED_VALUE"""),19.85)</f>
        <v>19.850000000000001</v>
      </c>
      <c r="P531" s="122"/>
      <c r="Q531" s="123" t="str">
        <f ca="1">IFERROR(__xludf.DUMMYFUNCTION("""COMPUTED_VALUE"""),"Katherine Emerick")</f>
        <v>Katherine Emerick</v>
      </c>
      <c r="R531" s="123" t="str">
        <f ca="1">IFERROR(__xludf.DUMMYFUNCTION("""COMPUTED_VALUE"""),"Philip Bastow")</f>
        <v>Philip Bastow</v>
      </c>
      <c r="S531" s="123" t="str">
        <f ca="1">IFERROR(__xludf.DUMMYFUNCTION("""COMPUTED_VALUE"""),"Grace Wegner")</f>
        <v>Grace Wegner</v>
      </c>
      <c r="T531" s="123" t="str">
        <f ca="1">IFERROR(__xludf.DUMMYFUNCTION("""COMPUTED_VALUE"""),"Leif Middendorf")</f>
        <v>Leif Middendorf</v>
      </c>
    </row>
    <row r="532" spans="1:20" ht="13.8">
      <c r="A532" s="118" t="str">
        <f ca="1">IFERROR(__xludf.DUMMYFUNCTION("""COMPUTED_VALUE"""),"F")</f>
        <v>F</v>
      </c>
      <c r="B532" s="119" t="str">
        <f ca="1">IFERROR(__xludf.DUMMYFUNCTION("""COMPUTED_VALUE"""),"Grady Kight")</f>
        <v>Grady Kight</v>
      </c>
      <c r="C532" s="118">
        <f ca="1">IFERROR(__xludf.DUMMYFUNCTION("""COMPUTED_VALUE"""),9)</f>
        <v>9</v>
      </c>
      <c r="D532" s="118" t="str">
        <f ca="1">IFERROR(__xludf.DUMMYFUNCTION("""COMPUTED_VALUE"""),"B")</f>
        <v>B</v>
      </c>
      <c r="E532" s="118" t="str">
        <f ca="1">IFERROR(__xludf.DUMMYFUNCTION("""COMPUTED_VALUE"""),"F")</f>
        <v>F</v>
      </c>
      <c r="F532" s="118" t="str">
        <f ca="1">IFERROR(__xludf.DUMMYFUNCTION("""COMPUTED_VALUE"""),"J")</f>
        <v>J</v>
      </c>
      <c r="G532" s="118">
        <f ca="1">IFERROR(__xludf.DUMMYFUNCTION("""COMPUTED_VALUE"""),1)</f>
        <v>1</v>
      </c>
      <c r="H532" s="118" t="str">
        <f ca="1">IFERROR(__xludf.DUMMYFUNCTION("""COMPUTED_VALUE"""),"F")</f>
        <v>F</v>
      </c>
      <c r="I532" s="118">
        <f ca="1">IFERROR(__xludf.DUMMYFUNCTION("""COMPUTED_VALUE"""),5)</f>
        <v>5</v>
      </c>
      <c r="J532" s="118">
        <f ca="1">IFERROR(__xludf.DUMMYFUNCTION("""COMPUTED_VALUE"""),0)</f>
        <v>0</v>
      </c>
      <c r="K532" s="120"/>
      <c r="L532" s="121"/>
      <c r="M532" s="120"/>
      <c r="N532" s="121"/>
      <c r="O532" s="120"/>
      <c r="P532" s="122"/>
      <c r="Q532" s="123" t="str">
        <f ca="1">IFERROR(__xludf.DUMMYFUNCTION("""COMPUTED_VALUE"""),"Katherine Lazarus")</f>
        <v>Katherine Lazarus</v>
      </c>
      <c r="R532" s="123" t="str">
        <f ca="1">IFERROR(__xludf.DUMMYFUNCTION("""COMPUTED_VALUE"""),"Pierre Kroely")</f>
        <v>Pierre Kroely</v>
      </c>
      <c r="S532" s="123" t="str">
        <f ca="1">IFERROR(__xludf.DUMMYFUNCTION("""COMPUTED_VALUE"""),"Gracie Weide")</f>
        <v>Gracie Weide</v>
      </c>
      <c r="T532" s="123" t="str">
        <f ca="1">IFERROR(__xludf.DUMMYFUNCTION("""COMPUTED_VALUE"""),"Leo Chang")</f>
        <v>Leo Chang</v>
      </c>
    </row>
    <row r="533" spans="1:20" ht="13.8">
      <c r="A533" s="118" t="str">
        <f ca="1">IFERROR(__xludf.DUMMYFUNCTION("""COMPUTED_VALUE"""),"F")</f>
        <v>F</v>
      </c>
      <c r="B533" s="119" t="str">
        <f ca="1">IFERROR(__xludf.DUMMYFUNCTION("""COMPUTED_VALUE"""),"Guayo Flores")</f>
        <v>Guayo Flores</v>
      </c>
      <c r="C533" s="118">
        <f ca="1">IFERROR(__xludf.DUMMYFUNCTION("""COMPUTED_VALUE"""),7)</f>
        <v>7</v>
      </c>
      <c r="D533" s="118" t="str">
        <f ca="1">IFERROR(__xludf.DUMMYFUNCTION("""COMPUTED_VALUE"""),"B")</f>
        <v>B</v>
      </c>
      <c r="E533" s="118" t="str">
        <f ca="1">IFERROR(__xludf.DUMMYFUNCTION("""COMPUTED_VALUE"""),"F")</f>
        <v>F</v>
      </c>
      <c r="F533" s="118" t="str">
        <f ca="1">IFERROR(__xludf.DUMMYFUNCTION("""COMPUTED_VALUE"""),"J")</f>
        <v>J</v>
      </c>
      <c r="G533" s="118">
        <f ca="1">IFERROR(__xludf.DUMMYFUNCTION("""COMPUTED_VALUE"""),1)</f>
        <v>1</v>
      </c>
      <c r="H533" s="118" t="str">
        <f ca="1">IFERROR(__xludf.DUMMYFUNCTION("""COMPUTED_VALUE"""),"F")</f>
        <v>F</v>
      </c>
      <c r="I533" s="118">
        <f ca="1">IFERROR(__xludf.DUMMYFUNCTION("""COMPUTED_VALUE"""),5)</f>
        <v>5</v>
      </c>
      <c r="J533" s="118">
        <f ca="1">IFERROR(__xludf.DUMMYFUNCTION("""COMPUTED_VALUE"""),0)</f>
        <v>0</v>
      </c>
      <c r="K533" s="120"/>
      <c r="L533" s="121"/>
      <c r="M533" s="120"/>
      <c r="N533" s="121"/>
      <c r="O533" s="120"/>
      <c r="P533" s="122"/>
      <c r="Q533" s="123" t="str">
        <f ca="1">IFERROR(__xludf.DUMMYFUNCTION("""COMPUTED_VALUE"""),"Katherine Oswald")</f>
        <v>Katherine Oswald</v>
      </c>
      <c r="R533" s="123" t="str">
        <f ca="1">IFERROR(__xludf.DUMMYFUNCTION("""COMPUTED_VALUE"""),"PJ Stigliano")</f>
        <v>PJ Stigliano</v>
      </c>
      <c r="S533" s="123" t="str">
        <f ca="1">IFERROR(__xludf.DUMMYFUNCTION("""COMPUTED_VALUE"""),"Graciela Padilla")</f>
        <v>Graciela Padilla</v>
      </c>
      <c r="T533" s="123" t="str">
        <f ca="1">IFERROR(__xludf.DUMMYFUNCTION("""COMPUTED_VALUE"""),"Leo McFadden")</f>
        <v>Leo McFadden</v>
      </c>
    </row>
    <row r="534" spans="1:20" ht="13.8">
      <c r="A534" s="118" t="str">
        <f ca="1">IFERROR(__xludf.DUMMYFUNCTION("""COMPUTED_VALUE"""),"F")</f>
        <v>F</v>
      </c>
      <c r="B534" s="119" t="str">
        <f ca="1">IFERROR(__xludf.DUMMYFUNCTION("""COMPUTED_VALUE"""),"Gus Medina-Keith")</f>
        <v>Gus Medina-Keith</v>
      </c>
      <c r="C534" s="118">
        <f ca="1">IFERROR(__xludf.DUMMYFUNCTION("""COMPUTED_VALUE"""),7)</f>
        <v>7</v>
      </c>
      <c r="D534" s="118" t="str">
        <f ca="1">IFERROR(__xludf.DUMMYFUNCTION("""COMPUTED_VALUE"""),"B")</f>
        <v>B</v>
      </c>
      <c r="E534" s="118" t="str">
        <f ca="1">IFERROR(__xludf.DUMMYFUNCTION("""COMPUTED_VALUE"""),"F")</f>
        <v>F</v>
      </c>
      <c r="F534" s="118" t="str">
        <f ca="1">IFERROR(__xludf.DUMMYFUNCTION("""COMPUTED_VALUE"""),"J")</f>
        <v>J</v>
      </c>
      <c r="G534" s="118">
        <f ca="1">IFERROR(__xludf.DUMMYFUNCTION("""COMPUTED_VALUE"""),1)</f>
        <v>1</v>
      </c>
      <c r="H534" s="118" t="str">
        <f ca="1">IFERROR(__xludf.DUMMYFUNCTION("""COMPUTED_VALUE"""),"F")</f>
        <v>F</v>
      </c>
      <c r="I534" s="118">
        <f ca="1">IFERROR(__xludf.DUMMYFUNCTION("""COMPUTED_VALUE"""),5)</f>
        <v>5</v>
      </c>
      <c r="J534" s="118">
        <f ca="1">IFERROR(__xludf.DUMMYFUNCTION("""COMPUTED_VALUE"""),2)</f>
        <v>2</v>
      </c>
      <c r="K534" s="120">
        <f ca="1">IFERROR(__xludf.DUMMYFUNCTION("""COMPUTED_VALUE"""),15.05)</f>
        <v>15.05</v>
      </c>
      <c r="L534" s="121"/>
      <c r="M534" s="120"/>
      <c r="N534" s="121"/>
      <c r="O534" s="120"/>
      <c r="P534" s="122"/>
      <c r="Q534" s="123" t="str">
        <f ca="1">IFERROR(__xludf.DUMMYFUNCTION("""COMPUTED_VALUE"""),"Katherine Walsh")</f>
        <v>Katherine Walsh</v>
      </c>
      <c r="R534" s="123" t="str">
        <f ca="1">IFERROR(__xludf.DUMMYFUNCTION("""COMPUTED_VALUE"""),"Preston Ta")</f>
        <v>Preston Ta</v>
      </c>
      <c r="S534" s="123" t="str">
        <f ca="1">IFERROR(__xludf.DUMMYFUNCTION("""COMPUTED_VALUE"""),"Graham Nicholson")</f>
        <v>Graham Nicholson</v>
      </c>
      <c r="T534" s="123" t="str">
        <f ca="1">IFERROR(__xludf.DUMMYFUNCTION("""COMPUTED_VALUE"""),"Leo Nadasi")</f>
        <v>Leo Nadasi</v>
      </c>
    </row>
    <row r="535" spans="1:20" ht="13.8">
      <c r="A535" s="118" t="str">
        <f ca="1">IFERROR(__xludf.DUMMYFUNCTION("""COMPUTED_VALUE"""),"F")</f>
        <v>F</v>
      </c>
      <c r="B535" s="119" t="str">
        <f ca="1">IFERROR(__xludf.DUMMYFUNCTION("""COMPUTED_VALUE"""),"Jack Devlin")</f>
        <v>Jack Devlin</v>
      </c>
      <c r="C535" s="118">
        <f ca="1">IFERROR(__xludf.DUMMYFUNCTION("""COMPUTED_VALUE"""),10)</f>
        <v>10</v>
      </c>
      <c r="D535" s="118" t="str">
        <f ca="1">IFERROR(__xludf.DUMMYFUNCTION("""COMPUTED_VALUE"""),"B")</f>
        <v>B</v>
      </c>
      <c r="E535" s="118" t="str">
        <f ca="1">IFERROR(__xludf.DUMMYFUNCTION("""COMPUTED_VALUE"""),"F")</f>
        <v>F</v>
      </c>
      <c r="F535" s="118" t="str">
        <f ca="1">IFERROR(__xludf.DUMMYFUNCTION("""COMPUTED_VALUE"""),"J")</f>
        <v>J</v>
      </c>
      <c r="G535" s="118">
        <f ca="1">IFERROR(__xludf.DUMMYFUNCTION("""COMPUTED_VALUE"""),1)</f>
        <v>1</v>
      </c>
      <c r="H535" s="118" t="str">
        <f ca="1">IFERROR(__xludf.DUMMYFUNCTION("""COMPUTED_VALUE"""),"F")</f>
        <v>F</v>
      </c>
      <c r="I535" s="118">
        <f ca="1">IFERROR(__xludf.DUMMYFUNCTION("""COMPUTED_VALUE"""),5)</f>
        <v>5</v>
      </c>
      <c r="J535" s="118">
        <f ca="1">IFERROR(__xludf.DUMMYFUNCTION("""COMPUTED_VALUE"""),2)</f>
        <v>2</v>
      </c>
      <c r="K535" s="120">
        <f ca="1">IFERROR(__xludf.DUMMYFUNCTION("""COMPUTED_VALUE"""),48.3)</f>
        <v>48.3</v>
      </c>
      <c r="L535" s="121"/>
      <c r="M535" s="120"/>
      <c r="N535" s="121"/>
      <c r="O535" s="120">
        <f ca="1">IFERROR(__xludf.DUMMYFUNCTION("""COMPUTED_VALUE"""),41.95)</f>
        <v>41.95</v>
      </c>
      <c r="P535" s="122"/>
      <c r="Q535" s="123" t="str">
        <f ca="1">IFERROR(__xludf.DUMMYFUNCTION("""COMPUTED_VALUE"""),"Kathryn Miller")</f>
        <v>Kathryn Miller</v>
      </c>
      <c r="R535" s="123" t="str">
        <f ca="1">IFERROR(__xludf.DUMMYFUNCTION("""COMPUTED_VALUE"""),"Preston Tuttle")</f>
        <v>Preston Tuttle</v>
      </c>
      <c r="S535" s="123" t="str">
        <f ca="1">IFERROR(__xludf.DUMMYFUNCTION("""COMPUTED_VALUE"""),"Gray Cotter")</f>
        <v>Gray Cotter</v>
      </c>
      <c r="T535" s="123" t="str">
        <f ca="1">IFERROR(__xludf.DUMMYFUNCTION("""COMPUTED_VALUE"""),"Leo Yarmolovich")</f>
        <v>Leo Yarmolovich</v>
      </c>
    </row>
    <row r="536" spans="1:20" ht="13.8">
      <c r="A536" s="118" t="str">
        <f ca="1">IFERROR(__xludf.DUMMYFUNCTION("""COMPUTED_VALUE"""),"F")</f>
        <v>F</v>
      </c>
      <c r="B536" s="119" t="str">
        <f ca="1">IFERROR(__xludf.DUMMYFUNCTION("""COMPUTED_VALUE"""),"Jasper Carpenter")</f>
        <v>Jasper Carpenter</v>
      </c>
      <c r="C536" s="118">
        <f ca="1">IFERROR(__xludf.DUMMYFUNCTION("""COMPUTED_VALUE"""),9)</f>
        <v>9</v>
      </c>
      <c r="D536" s="118" t="str">
        <f ca="1">IFERROR(__xludf.DUMMYFUNCTION("""COMPUTED_VALUE"""),"B")</f>
        <v>B</v>
      </c>
      <c r="E536" s="118" t="str">
        <f ca="1">IFERROR(__xludf.DUMMYFUNCTION("""COMPUTED_VALUE"""),"F")</f>
        <v>F</v>
      </c>
      <c r="F536" s="118" t="str">
        <f ca="1">IFERROR(__xludf.DUMMYFUNCTION("""COMPUTED_VALUE"""),"J")</f>
        <v>J</v>
      </c>
      <c r="G536" s="118">
        <f ca="1">IFERROR(__xludf.DUMMYFUNCTION("""COMPUTED_VALUE"""),1)</f>
        <v>1</v>
      </c>
      <c r="H536" s="118" t="str">
        <f ca="1">IFERROR(__xludf.DUMMYFUNCTION("""COMPUTED_VALUE"""),"F")</f>
        <v>F</v>
      </c>
      <c r="I536" s="118">
        <f ca="1">IFERROR(__xludf.DUMMYFUNCTION("""COMPUTED_VALUE"""),5)</f>
        <v>5</v>
      </c>
      <c r="J536" s="118">
        <f ca="1">IFERROR(__xludf.DUMMYFUNCTION("""COMPUTED_VALUE"""),5)</f>
        <v>5</v>
      </c>
      <c r="K536" s="120">
        <f ca="1">IFERROR(__xludf.DUMMYFUNCTION("""COMPUTED_VALUE"""),70.75)</f>
        <v>70.75</v>
      </c>
      <c r="L536" s="121"/>
      <c r="M536" s="120">
        <f ca="1">IFERROR(__xludf.DUMMYFUNCTION("""COMPUTED_VALUE"""),53.25)</f>
        <v>53.25</v>
      </c>
      <c r="N536" s="121"/>
      <c r="O536" s="120">
        <f ca="1">IFERROR(__xludf.DUMMYFUNCTION("""COMPUTED_VALUE"""),70.75)</f>
        <v>70.75</v>
      </c>
      <c r="P536" s="122"/>
      <c r="Q536" s="123" t="str">
        <f ca="1">IFERROR(__xludf.DUMMYFUNCTION("""COMPUTED_VALUE"""),"Katie Weaver")</f>
        <v>Katie Weaver</v>
      </c>
      <c r="R536" s="123" t="str">
        <f ca="1">IFERROR(__xludf.DUMMYFUNCTION("""COMPUTED_VALUE"""),"Qader Sarsour")</f>
        <v>Qader Sarsour</v>
      </c>
      <c r="S536" s="123" t="str">
        <f ca="1">IFERROR(__xludf.DUMMYFUNCTION("""COMPUTED_VALUE"""),"Greer Dempster")</f>
        <v>Greer Dempster</v>
      </c>
      <c r="T536" s="123" t="str">
        <f ca="1">IFERROR(__xludf.DUMMYFUNCTION("""COMPUTED_VALUE"""),"Leonardo Hardin")</f>
        <v>Leonardo Hardin</v>
      </c>
    </row>
    <row r="537" spans="1:20" ht="13.8">
      <c r="A537" s="118" t="str">
        <f ca="1">IFERROR(__xludf.DUMMYFUNCTION("""COMPUTED_VALUE"""),"F")</f>
        <v>F</v>
      </c>
      <c r="B537" s="119" t="str">
        <f ca="1">IFERROR(__xludf.DUMMYFUNCTION("""COMPUTED_VALUE"""),"Julian Medina-Keith")</f>
        <v>Julian Medina-Keith</v>
      </c>
      <c r="C537" s="118">
        <f ca="1">IFERROR(__xludf.DUMMYFUNCTION("""COMPUTED_VALUE"""),7)</f>
        <v>7</v>
      </c>
      <c r="D537" s="118" t="str">
        <f ca="1">IFERROR(__xludf.DUMMYFUNCTION("""COMPUTED_VALUE"""),"B")</f>
        <v>B</v>
      </c>
      <c r="E537" s="118" t="str">
        <f ca="1">IFERROR(__xludf.DUMMYFUNCTION("""COMPUTED_VALUE"""),"F")</f>
        <v>F</v>
      </c>
      <c r="F537" s="118" t="str">
        <f ca="1">IFERROR(__xludf.DUMMYFUNCTION("""COMPUTED_VALUE"""),"J")</f>
        <v>J</v>
      </c>
      <c r="G537" s="118">
        <f ca="1">IFERROR(__xludf.DUMMYFUNCTION("""COMPUTED_VALUE"""),1)</f>
        <v>1</v>
      </c>
      <c r="H537" s="118" t="str">
        <f ca="1">IFERROR(__xludf.DUMMYFUNCTION("""COMPUTED_VALUE"""),"F")</f>
        <v>F</v>
      </c>
      <c r="I537" s="118">
        <f ca="1">IFERROR(__xludf.DUMMYFUNCTION("""COMPUTED_VALUE"""),5)</f>
        <v>5</v>
      </c>
      <c r="J537" s="118">
        <f ca="1">IFERROR(__xludf.DUMMYFUNCTION("""COMPUTED_VALUE"""),1)</f>
        <v>1</v>
      </c>
      <c r="K537" s="120"/>
      <c r="L537" s="121"/>
      <c r="M537" s="120"/>
      <c r="N537" s="121"/>
      <c r="O537" s="120"/>
      <c r="P537" s="122"/>
      <c r="Q537" s="123" t="str">
        <f ca="1">IFERROR(__xludf.DUMMYFUNCTION("""COMPUTED_VALUE"""),"Keira Chaney")</f>
        <v>Keira Chaney</v>
      </c>
      <c r="R537" s="123" t="str">
        <f ca="1">IFERROR(__xludf.DUMMYFUNCTION("""COMPUTED_VALUE"""),"R. Emerson Koch")</f>
        <v>R. Emerson Koch</v>
      </c>
      <c r="S537" s="123" t="str">
        <f ca="1">IFERROR(__xludf.DUMMYFUNCTION("""COMPUTED_VALUE"""),"Greta Bowser")</f>
        <v>Greta Bowser</v>
      </c>
      <c r="T537" s="123" t="str">
        <f ca="1">IFERROR(__xludf.DUMMYFUNCTION("""COMPUTED_VALUE"""),"Levi Lesser")</f>
        <v>Levi Lesser</v>
      </c>
    </row>
    <row r="538" spans="1:20" ht="13.8">
      <c r="A538" s="118" t="str">
        <f ca="1">IFERROR(__xludf.DUMMYFUNCTION("""COMPUTED_VALUE"""),"F")</f>
        <v>F</v>
      </c>
      <c r="B538" s="119" t="str">
        <f ca="1">IFERROR(__xludf.DUMMYFUNCTION("""COMPUTED_VALUE"""),"Liam Zheng")</f>
        <v>Liam Zheng</v>
      </c>
      <c r="C538" s="118">
        <f ca="1">IFERROR(__xludf.DUMMYFUNCTION("""COMPUTED_VALUE"""),9)</f>
        <v>9</v>
      </c>
      <c r="D538" s="118" t="str">
        <f ca="1">IFERROR(__xludf.DUMMYFUNCTION("""COMPUTED_VALUE"""),"B")</f>
        <v>B</v>
      </c>
      <c r="E538" s="118" t="str">
        <f ca="1">IFERROR(__xludf.DUMMYFUNCTION("""COMPUTED_VALUE"""),"F")</f>
        <v>F</v>
      </c>
      <c r="F538" s="118" t="str">
        <f ca="1">IFERROR(__xludf.DUMMYFUNCTION("""COMPUTED_VALUE"""),"J")</f>
        <v>J</v>
      </c>
      <c r="G538" s="118">
        <f ca="1">IFERROR(__xludf.DUMMYFUNCTION("""COMPUTED_VALUE"""),1)</f>
        <v>1</v>
      </c>
      <c r="H538" s="118" t="str">
        <f ca="1">IFERROR(__xludf.DUMMYFUNCTION("""COMPUTED_VALUE"""),"F")</f>
        <v>F</v>
      </c>
      <c r="I538" s="118">
        <f ca="1">IFERROR(__xludf.DUMMYFUNCTION("""COMPUTED_VALUE"""),5)</f>
        <v>5</v>
      </c>
      <c r="J538" s="118">
        <f ca="1">IFERROR(__xludf.DUMMYFUNCTION("""COMPUTED_VALUE"""),0)</f>
        <v>0</v>
      </c>
      <c r="K538" s="120"/>
      <c r="L538" s="121"/>
      <c r="M538" s="120"/>
      <c r="N538" s="121"/>
      <c r="O538" s="120"/>
      <c r="P538" s="122"/>
      <c r="Q538" s="123" t="str">
        <f ca="1">IFERROR(__xludf.DUMMYFUNCTION("""COMPUTED_VALUE"""),"Kelsie Trieu")</f>
        <v>Kelsie Trieu</v>
      </c>
      <c r="R538" s="123" t="str">
        <f ca="1">IFERROR(__xludf.DUMMYFUNCTION("""COMPUTED_VALUE"""),"Raphael Mesmer")</f>
        <v>Raphael Mesmer</v>
      </c>
      <c r="S538" s="123" t="str">
        <f ca="1">IFERROR(__xludf.DUMMYFUNCTION("""COMPUTED_VALUE"""),"Greta Goehring")</f>
        <v>Greta Goehring</v>
      </c>
      <c r="T538" s="123" t="str">
        <f ca="1">IFERROR(__xludf.DUMMYFUNCTION("""COMPUTED_VALUE"""),"Lex Brucker")</f>
        <v>Lex Brucker</v>
      </c>
    </row>
    <row r="539" spans="1:20" ht="13.8">
      <c r="A539" s="118" t="str">
        <f ca="1">IFERROR(__xludf.DUMMYFUNCTION("""COMPUTED_VALUE"""),"F")</f>
        <v>F</v>
      </c>
      <c r="B539" s="119" t="str">
        <f ca="1">IFERROR(__xludf.DUMMYFUNCTION("""COMPUTED_VALUE"""),"Martin Streckfus-Green")</f>
        <v>Martin Streckfus-Green</v>
      </c>
      <c r="C539" s="118">
        <f ca="1">IFERROR(__xludf.DUMMYFUNCTION("""COMPUTED_VALUE"""),9)</f>
        <v>9</v>
      </c>
      <c r="D539" s="118" t="str">
        <f ca="1">IFERROR(__xludf.DUMMYFUNCTION("""COMPUTED_VALUE"""),"B")</f>
        <v>B</v>
      </c>
      <c r="E539" s="118" t="str">
        <f ca="1">IFERROR(__xludf.DUMMYFUNCTION("""COMPUTED_VALUE"""),"F")</f>
        <v>F</v>
      </c>
      <c r="F539" s="118" t="str">
        <f ca="1">IFERROR(__xludf.DUMMYFUNCTION("""COMPUTED_VALUE"""),"J")</f>
        <v>J</v>
      </c>
      <c r="G539" s="118">
        <f ca="1">IFERROR(__xludf.DUMMYFUNCTION("""COMPUTED_VALUE"""),1)</f>
        <v>1</v>
      </c>
      <c r="H539" s="118" t="str">
        <f ca="1">IFERROR(__xludf.DUMMYFUNCTION("""COMPUTED_VALUE"""),"F")</f>
        <v>F</v>
      </c>
      <c r="I539" s="118">
        <f ca="1">IFERROR(__xludf.DUMMYFUNCTION("""COMPUTED_VALUE"""),5)</f>
        <v>5</v>
      </c>
      <c r="J539" s="118">
        <f ca="1">IFERROR(__xludf.DUMMYFUNCTION("""COMPUTED_VALUE"""),0)</f>
        <v>0</v>
      </c>
      <c r="K539" s="120"/>
      <c r="L539" s="121"/>
      <c r="M539" s="120"/>
      <c r="N539" s="121"/>
      <c r="O539" s="120"/>
      <c r="P539" s="122"/>
      <c r="Q539" s="123" t="str">
        <f ca="1">IFERROR(__xludf.DUMMYFUNCTION("""COMPUTED_VALUE"""),"Kendall Looney")</f>
        <v>Kendall Looney</v>
      </c>
      <c r="R539" s="123" t="str">
        <f ca="1">IFERROR(__xludf.DUMMYFUNCTION("""COMPUTED_VALUE"""),"Ravi Martinez")</f>
        <v>Ravi Martinez</v>
      </c>
      <c r="S539" s="123" t="str">
        <f ca="1">IFERROR(__xludf.DUMMYFUNCTION("""COMPUTED_VALUE"""),"Greta Ploetz")</f>
        <v>Greta Ploetz</v>
      </c>
      <c r="T539" s="123" t="str">
        <f ca="1">IFERROR(__xludf.DUMMYFUNCTION("""COMPUTED_VALUE"""),"Liam Cahill")</f>
        <v>Liam Cahill</v>
      </c>
    </row>
    <row r="540" spans="1:20" ht="13.8">
      <c r="A540" s="118" t="str">
        <f ca="1">IFERROR(__xludf.DUMMYFUNCTION("""COMPUTED_VALUE"""),"F")</f>
        <v>F</v>
      </c>
      <c r="B540" s="119" t="str">
        <f ca="1">IFERROR(__xludf.DUMMYFUNCTION("""COMPUTED_VALUE"""),"Will Winslow")</f>
        <v>Will Winslow</v>
      </c>
      <c r="C540" s="118">
        <f ca="1">IFERROR(__xludf.DUMMYFUNCTION("""COMPUTED_VALUE"""),5)</f>
        <v>5</v>
      </c>
      <c r="D540" s="118" t="str">
        <f ca="1">IFERROR(__xludf.DUMMYFUNCTION("""COMPUTED_VALUE"""),"B")</f>
        <v>B</v>
      </c>
      <c r="E540" s="118" t="str">
        <f ca="1">IFERROR(__xludf.DUMMYFUNCTION("""COMPUTED_VALUE"""),"F")</f>
        <v>F</v>
      </c>
      <c r="F540" s="118" t="str">
        <f ca="1">IFERROR(__xludf.DUMMYFUNCTION("""COMPUTED_VALUE"""),"J")</f>
        <v>J</v>
      </c>
      <c r="G540" s="118">
        <f ca="1">IFERROR(__xludf.DUMMYFUNCTION("""COMPUTED_VALUE"""),1)</f>
        <v>1</v>
      </c>
      <c r="H540" s="118" t="str">
        <f ca="1">IFERROR(__xludf.DUMMYFUNCTION("""COMPUTED_VALUE"""),"F")</f>
        <v>F</v>
      </c>
      <c r="I540" s="118">
        <f ca="1">IFERROR(__xludf.DUMMYFUNCTION("""COMPUTED_VALUE"""),5)</f>
        <v>5</v>
      </c>
      <c r="J540" s="118">
        <f ca="1">IFERROR(__xludf.DUMMYFUNCTION("""COMPUTED_VALUE"""),0)</f>
        <v>0</v>
      </c>
      <c r="K540" s="120"/>
      <c r="L540" s="121"/>
      <c r="M540" s="120"/>
      <c r="N540" s="121"/>
      <c r="O540" s="120"/>
      <c r="P540" s="122"/>
      <c r="Q540" s="123" t="str">
        <f ca="1">IFERROR(__xludf.DUMMYFUNCTION("""COMPUTED_VALUE"""),"Kendall Wilson")</f>
        <v>Kendall Wilson</v>
      </c>
      <c r="R540" s="123" t="str">
        <f ca="1">IFERROR(__xludf.DUMMYFUNCTION("""COMPUTED_VALUE"""),"Ray Roswell")</f>
        <v>Ray Roswell</v>
      </c>
      <c r="S540" s="123" t="str">
        <f ca="1">IFERROR(__xludf.DUMMYFUNCTION("""COMPUTED_VALUE"""),"Gwyneth Clifton")</f>
        <v>Gwyneth Clifton</v>
      </c>
      <c r="T540" s="123" t="str">
        <f ca="1">IFERROR(__xludf.DUMMYFUNCTION("""COMPUTED_VALUE"""),"Liam Ezekiel")</f>
        <v>Liam Ezekiel</v>
      </c>
    </row>
    <row r="541" spans="1:20" ht="13.8">
      <c r="A541" s="118" t="str">
        <f ca="1">IFERROR(__xludf.DUMMYFUNCTION("""COMPUTED_VALUE"""),"F")</f>
        <v>F</v>
      </c>
      <c r="B541" s="119" t="str">
        <f ca="1">IFERROR(__xludf.DUMMYFUNCTION("""COMPUTED_VALUE"""),"Abbie Colwill")</f>
        <v>Abbie Colwill</v>
      </c>
      <c r="C541" s="118">
        <f ca="1">IFERROR(__xludf.DUMMYFUNCTION("""COMPUTED_VALUE"""),12)</f>
        <v>12</v>
      </c>
      <c r="D541" s="118" t="str">
        <f ca="1">IFERROR(__xludf.DUMMYFUNCTION("""COMPUTED_VALUE"""),"G")</f>
        <v>G</v>
      </c>
      <c r="E541" s="118" t="str">
        <f ca="1">IFERROR(__xludf.DUMMYFUNCTION("""COMPUTED_VALUE"""),"J")</f>
        <v>J</v>
      </c>
      <c r="F541" s="118" t="str">
        <f ca="1">IFERROR(__xludf.DUMMYFUNCTION("""COMPUTED_VALUE"""),"I")</f>
        <v>I</v>
      </c>
      <c r="G541" s="118">
        <f ca="1">IFERROR(__xludf.DUMMYFUNCTION("""COMPUTED_VALUE"""),1)</f>
        <v>1</v>
      </c>
      <c r="H541" s="118" t="str">
        <f ca="1">IFERROR(__xludf.DUMMYFUNCTION("""COMPUTED_VALUE"""),"F")</f>
        <v>F</v>
      </c>
      <c r="I541" s="118">
        <f ca="1">IFERROR(__xludf.DUMMYFUNCTION("""COMPUTED_VALUE"""),6)</f>
        <v>6</v>
      </c>
      <c r="J541" s="118">
        <f ca="1">IFERROR(__xludf.DUMMYFUNCTION("""COMPUTED_VALUE"""),2)</f>
        <v>2</v>
      </c>
      <c r="K541" s="120">
        <f ca="1">IFERROR(__xludf.DUMMYFUNCTION("""COMPUTED_VALUE"""),89.15)</f>
        <v>89.15</v>
      </c>
      <c r="L541" s="121"/>
      <c r="M541" s="120"/>
      <c r="N541" s="121"/>
      <c r="O541" s="120">
        <f ca="1">IFERROR(__xludf.DUMMYFUNCTION("""COMPUTED_VALUE"""),85.75)</f>
        <v>85.75</v>
      </c>
      <c r="P541" s="122"/>
      <c r="Q541" s="123" t="str">
        <f ca="1">IFERROR(__xludf.DUMMYFUNCTION("""COMPUTED_VALUE"""),"Kenly McAllister")</f>
        <v>Kenly McAllister</v>
      </c>
      <c r="R541" s="123" t="str">
        <f ca="1">IFERROR(__xludf.DUMMYFUNCTION("""COMPUTED_VALUE"""),"Reed Conques")</f>
        <v>Reed Conques</v>
      </c>
      <c r="S541" s="123" t="str">
        <f ca="1">IFERROR(__xludf.DUMMYFUNCTION("""COMPUTED_VALUE"""),"Hadley Chang")</f>
        <v>Hadley Chang</v>
      </c>
      <c r="T541" s="123" t="str">
        <f ca="1">IFERROR(__xludf.DUMMYFUNCTION("""COMPUTED_VALUE"""),"Liam Johns")</f>
        <v>Liam Johns</v>
      </c>
    </row>
    <row r="542" spans="1:20" ht="13.8">
      <c r="A542" s="118" t="str">
        <f ca="1">IFERROR(__xludf.DUMMYFUNCTION("""COMPUTED_VALUE"""),"F")</f>
        <v>F</v>
      </c>
      <c r="B542" s="119" t="str">
        <f ca="1">IFERROR(__xludf.DUMMYFUNCTION("""COMPUTED_VALUE"""),"Ashley Alizadeh")</f>
        <v>Ashley Alizadeh</v>
      </c>
      <c r="C542" s="118">
        <f ca="1">IFERROR(__xludf.DUMMYFUNCTION("""COMPUTED_VALUE"""),12)</f>
        <v>12</v>
      </c>
      <c r="D542" s="118" t="str">
        <f ca="1">IFERROR(__xludf.DUMMYFUNCTION("""COMPUTED_VALUE"""),"G")</f>
        <v>G</v>
      </c>
      <c r="E542" s="118" t="str">
        <f ca="1">IFERROR(__xludf.DUMMYFUNCTION("""COMPUTED_VALUE"""),"J")</f>
        <v>J</v>
      </c>
      <c r="F542" s="118" t="str">
        <f ca="1">IFERROR(__xludf.DUMMYFUNCTION("""COMPUTED_VALUE"""),"I")</f>
        <v>I</v>
      </c>
      <c r="G542" s="118">
        <f ca="1">IFERROR(__xludf.DUMMYFUNCTION("""COMPUTED_VALUE"""),1)</f>
        <v>1</v>
      </c>
      <c r="H542" s="118" t="str">
        <f ca="1">IFERROR(__xludf.DUMMYFUNCTION("""COMPUTED_VALUE"""),"F")</f>
        <v>F</v>
      </c>
      <c r="I542" s="118">
        <f ca="1">IFERROR(__xludf.DUMMYFUNCTION("""COMPUTED_VALUE"""),6)</f>
        <v>6</v>
      </c>
      <c r="J542" s="118">
        <f ca="1">IFERROR(__xludf.DUMMYFUNCTION("""COMPUTED_VALUE"""),0)</f>
        <v>0</v>
      </c>
      <c r="K542" s="120"/>
      <c r="L542" s="121"/>
      <c r="M542" s="120"/>
      <c r="N542" s="121"/>
      <c r="O542" s="120"/>
      <c r="P542" s="122"/>
      <c r="Q542" s="123" t="str">
        <f ca="1">IFERROR(__xludf.DUMMYFUNCTION("""COMPUTED_VALUE"""),"Kennedy Anderson")</f>
        <v>Kennedy Anderson</v>
      </c>
      <c r="R542" s="123" t="str">
        <f ca="1">IFERROR(__xludf.DUMMYFUNCTION("""COMPUTED_VALUE"""),"Reed Schymanski")</f>
        <v>Reed Schymanski</v>
      </c>
      <c r="S542" s="123" t="str">
        <f ca="1">IFERROR(__xludf.DUMMYFUNCTION("""COMPUTED_VALUE"""),"Hadley Chen")</f>
        <v>Hadley Chen</v>
      </c>
      <c r="T542" s="123" t="str">
        <f ca="1">IFERROR(__xludf.DUMMYFUNCTION("""COMPUTED_VALUE"""),"Liam Miller")</f>
        <v>Liam Miller</v>
      </c>
    </row>
    <row r="543" spans="1:20" ht="13.8">
      <c r="A543" s="118" t="str">
        <f ca="1">IFERROR(__xludf.DUMMYFUNCTION("""COMPUTED_VALUE"""),"F")</f>
        <v>F</v>
      </c>
      <c r="B543" s="119" t="str">
        <f ca="1">IFERROR(__xludf.DUMMYFUNCTION("""COMPUTED_VALUE"""),"Emma Strano")</f>
        <v>Emma Strano</v>
      </c>
      <c r="C543" s="118">
        <f ca="1">IFERROR(__xludf.DUMMYFUNCTION("""COMPUTED_VALUE"""),11)</f>
        <v>11</v>
      </c>
      <c r="D543" s="118" t="str">
        <f ca="1">IFERROR(__xludf.DUMMYFUNCTION("""COMPUTED_VALUE"""),"G")</f>
        <v>G</v>
      </c>
      <c r="E543" s="118" t="str">
        <f ca="1">IFERROR(__xludf.DUMMYFUNCTION("""COMPUTED_VALUE"""),"J")</f>
        <v>J</v>
      </c>
      <c r="F543" s="118" t="str">
        <f ca="1">IFERROR(__xludf.DUMMYFUNCTION("""COMPUTED_VALUE"""),"I")</f>
        <v>I</v>
      </c>
      <c r="G543" s="118">
        <f ca="1">IFERROR(__xludf.DUMMYFUNCTION("""COMPUTED_VALUE"""),1)</f>
        <v>1</v>
      </c>
      <c r="H543" s="118" t="str">
        <f ca="1">IFERROR(__xludf.DUMMYFUNCTION("""COMPUTED_VALUE"""),"F")</f>
        <v>F</v>
      </c>
      <c r="I543" s="118">
        <f ca="1">IFERROR(__xludf.DUMMYFUNCTION("""COMPUTED_VALUE"""),6)</f>
        <v>6</v>
      </c>
      <c r="J543" s="118">
        <f ca="1">IFERROR(__xludf.DUMMYFUNCTION("""COMPUTED_VALUE"""),5)</f>
        <v>5</v>
      </c>
      <c r="K543" s="120">
        <f ca="1">IFERROR(__xludf.DUMMYFUNCTION("""COMPUTED_VALUE"""),83.85)</f>
        <v>83.85</v>
      </c>
      <c r="L543" s="121"/>
      <c r="M543" s="120">
        <f ca="1">IFERROR(__xludf.DUMMYFUNCTION("""COMPUTED_VALUE"""),80.15)</f>
        <v>80.150000000000006</v>
      </c>
      <c r="N543" s="121"/>
      <c r="O543" s="120">
        <f ca="1">IFERROR(__xludf.DUMMYFUNCTION("""COMPUTED_VALUE"""),73.25)</f>
        <v>73.25</v>
      </c>
      <c r="P543" s="122"/>
      <c r="Q543" s="123" t="str">
        <f ca="1">IFERROR(__xludf.DUMMYFUNCTION("""COMPUTED_VALUE"""),"Kennedy Lorah")</f>
        <v>Kennedy Lorah</v>
      </c>
      <c r="R543" s="123" t="str">
        <f ca="1">IFERROR(__xludf.DUMMYFUNCTION("""COMPUTED_VALUE"""),"Reese Duke")</f>
        <v>Reese Duke</v>
      </c>
      <c r="S543" s="123" t="str">
        <f ca="1">IFERROR(__xludf.DUMMYFUNCTION("""COMPUTED_VALUE"""),"Hadley Miller")</f>
        <v>Hadley Miller</v>
      </c>
      <c r="T543" s="123" t="str">
        <f ca="1">IFERROR(__xludf.DUMMYFUNCTION("""COMPUTED_VALUE"""),"Liam Painter")</f>
        <v>Liam Painter</v>
      </c>
    </row>
    <row r="544" spans="1:20" ht="13.8">
      <c r="A544" s="118" t="str">
        <f ca="1">IFERROR(__xludf.DUMMYFUNCTION("""COMPUTED_VALUE"""),"F")</f>
        <v>F</v>
      </c>
      <c r="B544" s="119" t="str">
        <f ca="1">IFERROR(__xludf.DUMMYFUNCTION("""COMPUTED_VALUE"""),"Lily Booher")</f>
        <v>Lily Booher</v>
      </c>
      <c r="C544" s="118">
        <f ca="1">IFERROR(__xludf.DUMMYFUNCTION("""COMPUTED_VALUE"""),11)</f>
        <v>11</v>
      </c>
      <c r="D544" s="118" t="str">
        <f ca="1">IFERROR(__xludf.DUMMYFUNCTION("""COMPUTED_VALUE"""),"G")</f>
        <v>G</v>
      </c>
      <c r="E544" s="118" t="str">
        <f ca="1">IFERROR(__xludf.DUMMYFUNCTION("""COMPUTED_VALUE"""),"J")</f>
        <v>J</v>
      </c>
      <c r="F544" s="118" t="str">
        <f ca="1">IFERROR(__xludf.DUMMYFUNCTION("""COMPUTED_VALUE"""),"I")</f>
        <v>I</v>
      </c>
      <c r="G544" s="118">
        <f ca="1">IFERROR(__xludf.DUMMYFUNCTION("""COMPUTED_VALUE"""),1)</f>
        <v>1</v>
      </c>
      <c r="H544" s="118" t="str">
        <f ca="1">IFERROR(__xludf.DUMMYFUNCTION("""COMPUTED_VALUE"""),"F")</f>
        <v>F</v>
      </c>
      <c r="I544" s="118">
        <f ca="1">IFERROR(__xludf.DUMMYFUNCTION("""COMPUTED_VALUE"""),6)</f>
        <v>6</v>
      </c>
      <c r="J544" s="118">
        <f ca="1">IFERROR(__xludf.DUMMYFUNCTION("""COMPUTED_VALUE"""),0)</f>
        <v>0</v>
      </c>
      <c r="K544" s="120"/>
      <c r="L544" s="121"/>
      <c r="M544" s="120"/>
      <c r="N544" s="121"/>
      <c r="O544" s="120"/>
      <c r="P544" s="122"/>
      <c r="Q544" s="123" t="str">
        <f ca="1">IFERROR(__xludf.DUMMYFUNCTION("""COMPUTED_VALUE"""),"Kenzie Doss")</f>
        <v>Kenzie Doss</v>
      </c>
      <c r="R544" s="123" t="str">
        <f ca="1">IFERROR(__xludf.DUMMYFUNCTION("""COMPUTED_VALUE"""),"Reid Bittenbender")</f>
        <v>Reid Bittenbender</v>
      </c>
      <c r="S544" s="123" t="str">
        <f ca="1">IFERROR(__xludf.DUMMYFUNCTION("""COMPUTED_VALUE"""),"Hailey DiVincenzo")</f>
        <v>Hailey DiVincenzo</v>
      </c>
      <c r="T544" s="123" t="str">
        <f ca="1">IFERROR(__xludf.DUMMYFUNCTION("""COMPUTED_VALUE"""),"Liam Redington")</f>
        <v>Liam Redington</v>
      </c>
    </row>
    <row r="545" spans="1:20" ht="13.8">
      <c r="A545" s="118" t="str">
        <f ca="1">IFERROR(__xludf.DUMMYFUNCTION("""COMPUTED_VALUE"""),"F")</f>
        <v>F</v>
      </c>
      <c r="B545" s="119" t="str">
        <f ca="1">IFERROR(__xludf.DUMMYFUNCTION("""COMPUTED_VALUE"""),"Lily Carpenter")</f>
        <v>Lily Carpenter</v>
      </c>
      <c r="C545" s="118">
        <f ca="1">IFERROR(__xludf.DUMMYFUNCTION("""COMPUTED_VALUE"""),11)</f>
        <v>11</v>
      </c>
      <c r="D545" s="118" t="str">
        <f ca="1">IFERROR(__xludf.DUMMYFUNCTION("""COMPUTED_VALUE"""),"G")</f>
        <v>G</v>
      </c>
      <c r="E545" s="118" t="str">
        <f ca="1">IFERROR(__xludf.DUMMYFUNCTION("""COMPUTED_VALUE"""),"J")</f>
        <v>J</v>
      </c>
      <c r="F545" s="118" t="str">
        <f ca="1">IFERROR(__xludf.DUMMYFUNCTION("""COMPUTED_VALUE"""),"I")</f>
        <v>I</v>
      </c>
      <c r="G545" s="118">
        <f ca="1">IFERROR(__xludf.DUMMYFUNCTION("""COMPUTED_VALUE"""),1)</f>
        <v>1</v>
      </c>
      <c r="H545" s="118" t="str">
        <f ca="1">IFERROR(__xludf.DUMMYFUNCTION("""COMPUTED_VALUE"""),"F")</f>
        <v>F</v>
      </c>
      <c r="I545" s="118">
        <f ca="1">IFERROR(__xludf.DUMMYFUNCTION("""COMPUTED_VALUE"""),6)</f>
        <v>6</v>
      </c>
      <c r="J545" s="118">
        <f ca="1">IFERROR(__xludf.DUMMYFUNCTION("""COMPUTED_VALUE"""),5)</f>
        <v>5</v>
      </c>
      <c r="K545" s="120">
        <f ca="1">IFERROR(__xludf.DUMMYFUNCTION("""COMPUTED_VALUE"""),102)</f>
        <v>102</v>
      </c>
      <c r="L545" s="121"/>
      <c r="M545" s="120">
        <f ca="1">IFERROR(__xludf.DUMMYFUNCTION("""COMPUTED_VALUE"""),88.7)</f>
        <v>88.7</v>
      </c>
      <c r="N545" s="121"/>
      <c r="O545" s="120">
        <f ca="1">IFERROR(__xludf.DUMMYFUNCTION("""COMPUTED_VALUE"""),84.75)</f>
        <v>84.75</v>
      </c>
      <c r="P545" s="122"/>
      <c r="Q545" s="123" t="str">
        <f ca="1">IFERROR(__xludf.DUMMYFUNCTION("""COMPUTED_VALUE"""),"Kerrington Supple")</f>
        <v>Kerrington Supple</v>
      </c>
      <c r="R545" s="123" t="str">
        <f ca="1">IFERROR(__xludf.DUMMYFUNCTION("""COMPUTED_VALUE"""),"Reid Heller")</f>
        <v>Reid Heller</v>
      </c>
      <c r="S545" s="123" t="str">
        <f ca="1">IFERROR(__xludf.DUMMYFUNCTION("""COMPUTED_VALUE"""),"Hailey Randazzo")</f>
        <v>Hailey Randazzo</v>
      </c>
      <c r="T545" s="123" t="str">
        <f ca="1">IFERROR(__xludf.DUMMYFUNCTION("""COMPUTED_VALUE"""),"Liam Ross")</f>
        <v>Liam Ross</v>
      </c>
    </row>
    <row r="546" spans="1:20" ht="13.8">
      <c r="A546" s="118" t="str">
        <f ca="1">IFERROR(__xludf.DUMMYFUNCTION("""COMPUTED_VALUE"""),"F")</f>
        <v>F</v>
      </c>
      <c r="B546" s="119" t="str">
        <f ca="1">IFERROR(__xludf.DUMMYFUNCTION("""COMPUTED_VALUE"""),"Maddie Laccone")</f>
        <v>Maddie Laccone</v>
      </c>
      <c r="C546" s="118">
        <f ca="1">IFERROR(__xludf.DUMMYFUNCTION("""COMPUTED_VALUE"""),12)</f>
        <v>12</v>
      </c>
      <c r="D546" s="118" t="str">
        <f ca="1">IFERROR(__xludf.DUMMYFUNCTION("""COMPUTED_VALUE"""),"G")</f>
        <v>G</v>
      </c>
      <c r="E546" s="118" t="str">
        <f ca="1">IFERROR(__xludf.DUMMYFUNCTION("""COMPUTED_VALUE"""),"J")</f>
        <v>J</v>
      </c>
      <c r="F546" s="118" t="str">
        <f ca="1">IFERROR(__xludf.DUMMYFUNCTION("""COMPUTED_VALUE"""),"I")</f>
        <v>I</v>
      </c>
      <c r="G546" s="118">
        <f ca="1">IFERROR(__xludf.DUMMYFUNCTION("""COMPUTED_VALUE"""),1)</f>
        <v>1</v>
      </c>
      <c r="H546" s="118" t="str">
        <f ca="1">IFERROR(__xludf.DUMMYFUNCTION("""COMPUTED_VALUE"""),"F")</f>
        <v>F</v>
      </c>
      <c r="I546" s="118">
        <f ca="1">IFERROR(__xludf.DUMMYFUNCTION("""COMPUTED_VALUE"""),6)</f>
        <v>6</v>
      </c>
      <c r="J546" s="118">
        <f ca="1">IFERROR(__xludf.DUMMYFUNCTION("""COMPUTED_VALUE"""),0)</f>
        <v>0</v>
      </c>
      <c r="K546" s="120"/>
      <c r="L546" s="121"/>
      <c r="M546" s="120"/>
      <c r="N546" s="121"/>
      <c r="O546" s="120"/>
      <c r="P546" s="122"/>
      <c r="Q546" s="123" t="str">
        <f ca="1">IFERROR(__xludf.DUMMYFUNCTION("""COMPUTED_VALUE"""),"Kiera Carpenter")</f>
        <v>Kiera Carpenter</v>
      </c>
      <c r="R546" s="123" t="str">
        <f ca="1">IFERROR(__xludf.DUMMYFUNCTION("""COMPUTED_VALUE"""),"Reid Yeh")</f>
        <v>Reid Yeh</v>
      </c>
      <c r="S546" s="123" t="str">
        <f ca="1">IFERROR(__xludf.DUMMYFUNCTION("""COMPUTED_VALUE"""),"Hailey Walkenhorst")</f>
        <v>Hailey Walkenhorst</v>
      </c>
      <c r="T546" s="123" t="str">
        <f ca="1">IFERROR(__xludf.DUMMYFUNCTION("""COMPUTED_VALUE"""),"Liam Stodel")</f>
        <v>Liam Stodel</v>
      </c>
    </row>
    <row r="547" spans="1:20" ht="13.8">
      <c r="A547" s="118" t="str">
        <f ca="1">IFERROR(__xludf.DUMMYFUNCTION("""COMPUTED_VALUE"""),"F")</f>
        <v>F</v>
      </c>
      <c r="B547" s="119" t="str">
        <f ca="1">IFERROR(__xludf.DUMMYFUNCTION("""COMPUTED_VALUE"""),"Makayla Barnes")</f>
        <v>Makayla Barnes</v>
      </c>
      <c r="C547" s="118">
        <f ca="1">IFERROR(__xludf.DUMMYFUNCTION("""COMPUTED_VALUE"""),11)</f>
        <v>11</v>
      </c>
      <c r="D547" s="118" t="str">
        <f ca="1">IFERROR(__xludf.DUMMYFUNCTION("""COMPUTED_VALUE"""),"G")</f>
        <v>G</v>
      </c>
      <c r="E547" s="118" t="str">
        <f ca="1">IFERROR(__xludf.DUMMYFUNCTION("""COMPUTED_VALUE"""),"J")</f>
        <v>J</v>
      </c>
      <c r="F547" s="118" t="str">
        <f ca="1">IFERROR(__xludf.DUMMYFUNCTION("""COMPUTED_VALUE"""),"I")</f>
        <v>I</v>
      </c>
      <c r="G547" s="118">
        <f ca="1">IFERROR(__xludf.DUMMYFUNCTION("""COMPUTED_VALUE"""),1)</f>
        <v>1</v>
      </c>
      <c r="H547" s="118" t="str">
        <f ca="1">IFERROR(__xludf.DUMMYFUNCTION("""COMPUTED_VALUE"""),"F")</f>
        <v>F</v>
      </c>
      <c r="I547" s="118">
        <f ca="1">IFERROR(__xludf.DUMMYFUNCTION("""COMPUTED_VALUE"""),6)</f>
        <v>6</v>
      </c>
      <c r="J547" s="118">
        <f ca="1">IFERROR(__xludf.DUMMYFUNCTION("""COMPUTED_VALUE"""),5)</f>
        <v>5</v>
      </c>
      <c r="K547" s="120">
        <f ca="1">IFERROR(__xludf.DUMMYFUNCTION("""COMPUTED_VALUE"""),87.7)</f>
        <v>87.7</v>
      </c>
      <c r="L547" s="121"/>
      <c r="M547" s="120">
        <f ca="1">IFERROR(__xludf.DUMMYFUNCTION("""COMPUTED_VALUE"""),87.7)</f>
        <v>87.7</v>
      </c>
      <c r="N547" s="121"/>
      <c r="O547" s="120">
        <f ca="1">IFERROR(__xludf.DUMMYFUNCTION("""COMPUTED_VALUE"""),73.6)</f>
        <v>73.599999999999994</v>
      </c>
      <c r="P547" s="122"/>
      <c r="Q547" s="123" t="str">
        <f ca="1">IFERROR(__xludf.DUMMYFUNCTION("""COMPUTED_VALUE"""),"Kiki Smythe")</f>
        <v>Kiki Smythe</v>
      </c>
      <c r="R547" s="123" t="str">
        <f ca="1">IFERROR(__xludf.DUMMYFUNCTION("""COMPUTED_VALUE"""),"Remy Nicholson")</f>
        <v>Remy Nicholson</v>
      </c>
      <c r="S547" s="123" t="str">
        <f ca="1">IFERROR(__xludf.DUMMYFUNCTION("""COMPUTED_VALUE"""),"Haley Trieu")</f>
        <v>Haley Trieu</v>
      </c>
      <c r="T547" s="123" t="str">
        <f ca="1">IFERROR(__xludf.DUMMYFUNCTION("""COMPUTED_VALUE"""),"Liam Tavares")</f>
        <v>Liam Tavares</v>
      </c>
    </row>
    <row r="548" spans="1:20" ht="13.8">
      <c r="A548" s="118" t="str">
        <f ca="1">IFERROR(__xludf.DUMMYFUNCTION("""COMPUTED_VALUE"""),"F")</f>
        <v>F</v>
      </c>
      <c r="B548" s="119" t="str">
        <f ca="1">IFERROR(__xludf.DUMMYFUNCTION("""COMPUTED_VALUE"""),"Serra Yildiz")</f>
        <v>Serra Yildiz</v>
      </c>
      <c r="C548" s="118">
        <f ca="1">IFERROR(__xludf.DUMMYFUNCTION("""COMPUTED_VALUE"""),11)</f>
        <v>11</v>
      </c>
      <c r="D548" s="118" t="str">
        <f ca="1">IFERROR(__xludf.DUMMYFUNCTION("""COMPUTED_VALUE"""),"G")</f>
        <v>G</v>
      </c>
      <c r="E548" s="118" t="str">
        <f ca="1">IFERROR(__xludf.DUMMYFUNCTION("""COMPUTED_VALUE"""),"J")</f>
        <v>J</v>
      </c>
      <c r="F548" s="118" t="str">
        <f ca="1">IFERROR(__xludf.DUMMYFUNCTION("""COMPUTED_VALUE"""),"I")</f>
        <v>I</v>
      </c>
      <c r="G548" s="118">
        <f ca="1">IFERROR(__xludf.DUMMYFUNCTION("""COMPUTED_VALUE"""),1)</f>
        <v>1</v>
      </c>
      <c r="H548" s="118" t="str">
        <f ca="1">IFERROR(__xludf.DUMMYFUNCTION("""COMPUTED_VALUE"""),"F")</f>
        <v>F</v>
      </c>
      <c r="I548" s="118">
        <f ca="1">IFERROR(__xludf.DUMMYFUNCTION("""COMPUTED_VALUE"""),6)</f>
        <v>6</v>
      </c>
      <c r="J548" s="118">
        <f ca="1">IFERROR(__xludf.DUMMYFUNCTION("""COMPUTED_VALUE"""),0)</f>
        <v>0</v>
      </c>
      <c r="K548" s="120"/>
      <c r="L548" s="121"/>
      <c r="M548" s="120"/>
      <c r="N548" s="121"/>
      <c r="O548" s="120"/>
      <c r="P548" s="122"/>
      <c r="Q548" s="123" t="str">
        <f ca="1">IFERROR(__xludf.DUMMYFUNCTION("""COMPUTED_VALUE"""),"Kira Bhasin")</f>
        <v>Kira Bhasin</v>
      </c>
      <c r="R548" s="123" t="str">
        <f ca="1">IFERROR(__xludf.DUMMYFUNCTION("""COMPUTED_VALUE"""),"Ren Newton")</f>
        <v>Ren Newton</v>
      </c>
      <c r="S548" s="123" t="str">
        <f ca="1">IFERROR(__xludf.DUMMYFUNCTION("""COMPUTED_VALUE"""),"Halia Ochieng")</f>
        <v>Halia Ochieng</v>
      </c>
      <c r="T548" s="123" t="str">
        <f ca="1">IFERROR(__xludf.DUMMYFUNCTION("""COMPUTED_VALUE"""),"Liam Varma")</f>
        <v>Liam Varma</v>
      </c>
    </row>
    <row r="549" spans="1:20" ht="13.8">
      <c r="A549" s="118" t="str">
        <f ca="1">IFERROR(__xludf.DUMMYFUNCTION("""COMPUTED_VALUE"""),"F")</f>
        <v>F</v>
      </c>
      <c r="B549" s="119" t="str">
        <f ca="1">IFERROR(__xludf.DUMMYFUNCTION("""COMPUTED_VALUE"""),"Thatchelle Boateng")</f>
        <v>Thatchelle Boateng</v>
      </c>
      <c r="C549" s="118">
        <f ca="1">IFERROR(__xludf.DUMMYFUNCTION("""COMPUTED_VALUE"""),11)</f>
        <v>11</v>
      </c>
      <c r="D549" s="118" t="str">
        <f ca="1">IFERROR(__xludf.DUMMYFUNCTION("""COMPUTED_VALUE"""),"G")</f>
        <v>G</v>
      </c>
      <c r="E549" s="118" t="str">
        <f ca="1">IFERROR(__xludf.DUMMYFUNCTION("""COMPUTED_VALUE"""),"J")</f>
        <v>J</v>
      </c>
      <c r="F549" s="118" t="str">
        <f ca="1">IFERROR(__xludf.DUMMYFUNCTION("""COMPUTED_VALUE"""),"I")</f>
        <v>I</v>
      </c>
      <c r="G549" s="118">
        <f ca="1">IFERROR(__xludf.DUMMYFUNCTION("""COMPUTED_VALUE"""),1)</f>
        <v>1</v>
      </c>
      <c r="H549" s="118" t="str">
        <f ca="1">IFERROR(__xludf.DUMMYFUNCTION("""COMPUTED_VALUE"""),"F")</f>
        <v>F</v>
      </c>
      <c r="I549" s="118">
        <f ca="1">IFERROR(__xludf.DUMMYFUNCTION("""COMPUTED_VALUE"""),6)</f>
        <v>6</v>
      </c>
      <c r="J549" s="118">
        <f ca="1">IFERROR(__xludf.DUMMYFUNCTION("""COMPUTED_VALUE"""),0)</f>
        <v>0</v>
      </c>
      <c r="K549" s="120"/>
      <c r="L549" s="121"/>
      <c r="M549" s="120"/>
      <c r="N549" s="121"/>
      <c r="O549" s="120"/>
      <c r="P549" s="122"/>
      <c r="Q549" s="123" t="str">
        <f ca="1">IFERROR(__xludf.DUMMYFUNCTION("""COMPUTED_VALUE"""),"Kira Harrison")</f>
        <v>Kira Harrison</v>
      </c>
      <c r="R549" s="123" t="str">
        <f ca="1">IFERROR(__xludf.DUMMYFUNCTION("""COMPUTED_VALUE"""),"Renner Davis")</f>
        <v>Renner Davis</v>
      </c>
      <c r="S549" s="123" t="str">
        <f ca="1">IFERROR(__xludf.DUMMYFUNCTION("""COMPUTED_VALUE"""),"Halley Hughes")</f>
        <v>Halley Hughes</v>
      </c>
      <c r="T549" s="123" t="str">
        <f ca="1">IFERROR(__xludf.DUMMYFUNCTION("""COMPUTED_VALUE"""),"Liam Volosin")</f>
        <v>Liam Volosin</v>
      </c>
    </row>
    <row r="550" spans="1:20" ht="13.8">
      <c r="A550" s="118" t="str">
        <f ca="1">IFERROR(__xludf.DUMMYFUNCTION("""COMPUTED_VALUE"""),"F")</f>
        <v>F</v>
      </c>
      <c r="B550" s="119" t="str">
        <f ca="1">IFERROR(__xludf.DUMMYFUNCTION("""COMPUTED_VALUE"""),"Vivian Rumrill")</f>
        <v>Vivian Rumrill</v>
      </c>
      <c r="C550" s="118">
        <f ca="1">IFERROR(__xludf.DUMMYFUNCTION("""COMPUTED_VALUE"""),12)</f>
        <v>12</v>
      </c>
      <c r="D550" s="118" t="str">
        <f ca="1">IFERROR(__xludf.DUMMYFUNCTION("""COMPUTED_VALUE"""),"G")</f>
        <v>G</v>
      </c>
      <c r="E550" s="118" t="str">
        <f ca="1">IFERROR(__xludf.DUMMYFUNCTION("""COMPUTED_VALUE"""),"J")</f>
        <v>J</v>
      </c>
      <c r="F550" s="118" t="str">
        <f ca="1">IFERROR(__xludf.DUMMYFUNCTION("""COMPUTED_VALUE"""),"I")</f>
        <v>I</v>
      </c>
      <c r="G550" s="118">
        <f ca="1">IFERROR(__xludf.DUMMYFUNCTION("""COMPUTED_VALUE"""),1)</f>
        <v>1</v>
      </c>
      <c r="H550" s="118" t="str">
        <f ca="1">IFERROR(__xludf.DUMMYFUNCTION("""COMPUTED_VALUE"""),"F")</f>
        <v>F</v>
      </c>
      <c r="I550" s="118">
        <f ca="1">IFERROR(__xludf.DUMMYFUNCTION("""COMPUTED_VALUE"""),6)</f>
        <v>6</v>
      </c>
      <c r="J550" s="118">
        <f ca="1">IFERROR(__xludf.DUMMYFUNCTION("""COMPUTED_VALUE"""),2)</f>
        <v>2</v>
      </c>
      <c r="K550" s="120">
        <f ca="1">IFERROR(__xludf.DUMMYFUNCTION("""COMPUTED_VALUE"""),77.85)</f>
        <v>77.849999999999994</v>
      </c>
      <c r="L550" s="121"/>
      <c r="M550" s="120"/>
      <c r="N550" s="121"/>
      <c r="O550" s="120">
        <f ca="1">IFERROR(__xludf.DUMMYFUNCTION("""COMPUTED_VALUE"""),69.65)</f>
        <v>69.650000000000006</v>
      </c>
      <c r="P550" s="122"/>
      <c r="Q550" s="123" t="str">
        <f ca="1">IFERROR(__xludf.DUMMYFUNCTION("""COMPUTED_VALUE"""),"Kisma Sarsour")</f>
        <v>Kisma Sarsour</v>
      </c>
      <c r="R550" s="123" t="str">
        <f ca="1">IFERROR(__xludf.DUMMYFUNCTION("""COMPUTED_VALUE"""),"Rhys Willet")</f>
        <v>Rhys Willet</v>
      </c>
      <c r="S550" s="123" t="str">
        <f ca="1">IFERROR(__xludf.DUMMYFUNCTION("""COMPUTED_VALUE"""),"Hana LaCroix")</f>
        <v>Hana LaCroix</v>
      </c>
      <c r="T550" s="123" t="str">
        <f ca="1">IFERROR(__xludf.DUMMYFUNCTION("""COMPUTED_VALUE"""),"Liam Zheng")</f>
        <v>Liam Zheng</v>
      </c>
    </row>
    <row r="551" spans="1:20" ht="13.8">
      <c r="A551" s="118" t="str">
        <f ca="1">IFERROR(__xludf.DUMMYFUNCTION("""COMPUTED_VALUE"""),"F")</f>
        <v>F</v>
      </c>
      <c r="B551" s="119" t="str">
        <f ca="1">IFERROR(__xludf.DUMMYFUNCTION("""COMPUTED_VALUE"""),"Brandon HO")</f>
        <v>Brandon HO</v>
      </c>
      <c r="C551" s="118">
        <f ca="1">IFERROR(__xludf.DUMMYFUNCTION("""COMPUTED_VALUE"""),11)</f>
        <v>11</v>
      </c>
      <c r="D551" s="118" t="str">
        <f ca="1">IFERROR(__xludf.DUMMYFUNCTION("""COMPUTED_VALUE"""),"B")</f>
        <v>B</v>
      </c>
      <c r="E551" s="118" t="str">
        <f ca="1">IFERROR(__xludf.DUMMYFUNCTION("""COMPUTED_VALUE"""),"J")</f>
        <v>J</v>
      </c>
      <c r="F551" s="118" t="str">
        <f ca="1">IFERROR(__xludf.DUMMYFUNCTION("""COMPUTED_VALUE"""),"I")</f>
        <v>I</v>
      </c>
      <c r="G551" s="118">
        <f ca="1">IFERROR(__xludf.DUMMYFUNCTION("""COMPUTED_VALUE"""),1)</f>
        <v>1</v>
      </c>
      <c r="H551" s="118" t="str">
        <f ca="1">IFERROR(__xludf.DUMMYFUNCTION("""COMPUTED_VALUE"""),"F")</f>
        <v>F</v>
      </c>
      <c r="I551" s="118">
        <f ca="1">IFERROR(__xludf.DUMMYFUNCTION("""COMPUTED_VALUE"""),7)</f>
        <v>7</v>
      </c>
      <c r="J551" s="118">
        <f ca="1">IFERROR(__xludf.DUMMYFUNCTION("""COMPUTED_VALUE"""),0)</f>
        <v>0</v>
      </c>
      <c r="K551" s="120"/>
      <c r="L551" s="121"/>
      <c r="M551" s="120"/>
      <c r="N551" s="121"/>
      <c r="O551" s="120"/>
      <c r="P551" s="122"/>
      <c r="Q551" s="123" t="str">
        <f ca="1">IFERROR(__xludf.DUMMYFUNCTION("""COMPUTED_VALUE"""),"Kollins Badlam")</f>
        <v>Kollins Badlam</v>
      </c>
      <c r="R551" s="123" t="str">
        <f ca="1">IFERROR(__xludf.DUMMYFUNCTION("""COMPUTED_VALUE"""),"Riley Burgess Carpenter")</f>
        <v>Riley Burgess Carpenter</v>
      </c>
      <c r="S551" s="123" t="str">
        <f ca="1">IFERROR(__xludf.DUMMYFUNCTION("""COMPUTED_VALUE"""),"Hannah Ax")</f>
        <v>Hannah Ax</v>
      </c>
      <c r="T551" s="123" t="str">
        <f ca="1">IFERROR(__xludf.DUMMYFUNCTION("""COMPUTED_VALUE"""),"Lincoln Kemp")</f>
        <v>Lincoln Kemp</v>
      </c>
    </row>
    <row r="552" spans="1:20" ht="13.8">
      <c r="A552" s="118" t="str">
        <f ca="1">IFERROR(__xludf.DUMMYFUNCTION("""COMPUTED_VALUE"""),"F")</f>
        <v>F</v>
      </c>
      <c r="B552" s="119" t="str">
        <f ca="1">IFERROR(__xludf.DUMMYFUNCTION("""COMPUTED_VALUE"""),"Caiden Stark")</f>
        <v>Caiden Stark</v>
      </c>
      <c r="C552" s="118">
        <f ca="1">IFERROR(__xludf.DUMMYFUNCTION("""COMPUTED_VALUE"""),12)</f>
        <v>12</v>
      </c>
      <c r="D552" s="118" t="str">
        <f ca="1">IFERROR(__xludf.DUMMYFUNCTION("""COMPUTED_VALUE"""),"B")</f>
        <v>B</v>
      </c>
      <c r="E552" s="118" t="str">
        <f ca="1">IFERROR(__xludf.DUMMYFUNCTION("""COMPUTED_VALUE"""),"J")</f>
        <v>J</v>
      </c>
      <c r="F552" s="118" t="str">
        <f ca="1">IFERROR(__xludf.DUMMYFUNCTION("""COMPUTED_VALUE"""),"I")</f>
        <v>I</v>
      </c>
      <c r="G552" s="118">
        <f ca="1">IFERROR(__xludf.DUMMYFUNCTION("""COMPUTED_VALUE"""),1)</f>
        <v>1</v>
      </c>
      <c r="H552" s="118" t="str">
        <f ca="1">IFERROR(__xludf.DUMMYFUNCTION("""COMPUTED_VALUE"""),"F")</f>
        <v>F</v>
      </c>
      <c r="I552" s="118">
        <f ca="1">IFERROR(__xludf.DUMMYFUNCTION("""COMPUTED_VALUE"""),7)</f>
        <v>7</v>
      </c>
      <c r="J552" s="118">
        <f ca="1">IFERROR(__xludf.DUMMYFUNCTION("""COMPUTED_VALUE"""),0)</f>
        <v>0</v>
      </c>
      <c r="K552" s="120"/>
      <c r="L552" s="121"/>
      <c r="M552" s="120"/>
      <c r="N552" s="121"/>
      <c r="O552" s="120"/>
      <c r="P552" s="122"/>
      <c r="Q552" s="123" t="str">
        <f ca="1">IFERROR(__xludf.DUMMYFUNCTION("""COMPUTED_VALUE"""),"Kyla Calkins")</f>
        <v>Kyla Calkins</v>
      </c>
      <c r="R552" s="123" t="str">
        <f ca="1">IFERROR(__xludf.DUMMYFUNCTION("""COMPUTED_VALUE"""),"Robert Burke")</f>
        <v>Robert Burke</v>
      </c>
      <c r="S552" s="123" t="str">
        <f ca="1">IFERROR(__xludf.DUMMYFUNCTION("""COMPUTED_VALUE"""),"Hannah Barry")</f>
        <v>Hannah Barry</v>
      </c>
      <c r="T552" s="123" t="str">
        <f ca="1">IFERROR(__xludf.DUMMYFUNCTION("""COMPUTED_VALUE"""),"Lincoln Wade")</f>
        <v>Lincoln Wade</v>
      </c>
    </row>
    <row r="553" spans="1:20" ht="13.8">
      <c r="A553" s="118" t="str">
        <f ca="1">IFERROR(__xludf.DUMMYFUNCTION("""COMPUTED_VALUE"""),"F")</f>
        <v>F</v>
      </c>
      <c r="B553" s="119" t="str">
        <f ca="1">IFERROR(__xludf.DUMMYFUNCTION("""COMPUTED_VALUE"""),"Christopher Barron")</f>
        <v>Christopher Barron</v>
      </c>
      <c r="C553" s="118">
        <f ca="1">IFERROR(__xludf.DUMMYFUNCTION("""COMPUTED_VALUE"""),12)</f>
        <v>12</v>
      </c>
      <c r="D553" s="118" t="str">
        <f ca="1">IFERROR(__xludf.DUMMYFUNCTION("""COMPUTED_VALUE"""),"B")</f>
        <v>B</v>
      </c>
      <c r="E553" s="118" t="str">
        <f ca="1">IFERROR(__xludf.DUMMYFUNCTION("""COMPUTED_VALUE"""),"J")</f>
        <v>J</v>
      </c>
      <c r="F553" s="118" t="str">
        <f ca="1">IFERROR(__xludf.DUMMYFUNCTION("""COMPUTED_VALUE"""),"I")</f>
        <v>I</v>
      </c>
      <c r="G553" s="118">
        <f ca="1">IFERROR(__xludf.DUMMYFUNCTION("""COMPUTED_VALUE"""),1)</f>
        <v>1</v>
      </c>
      <c r="H553" s="118" t="str">
        <f ca="1">IFERROR(__xludf.DUMMYFUNCTION("""COMPUTED_VALUE"""),"F")</f>
        <v>F</v>
      </c>
      <c r="I553" s="118">
        <f ca="1">IFERROR(__xludf.DUMMYFUNCTION("""COMPUTED_VALUE"""),7)</f>
        <v>7</v>
      </c>
      <c r="J553" s="118">
        <f ca="1">IFERROR(__xludf.DUMMYFUNCTION("""COMPUTED_VALUE"""),5)</f>
        <v>5</v>
      </c>
      <c r="K553" s="120">
        <f ca="1">IFERROR(__xludf.DUMMYFUNCTION("""COMPUTED_VALUE"""),92.6)</f>
        <v>92.6</v>
      </c>
      <c r="L553" s="121"/>
      <c r="M553" s="120">
        <f ca="1">IFERROR(__xludf.DUMMYFUNCTION("""COMPUTED_VALUE"""),92.6)</f>
        <v>92.6</v>
      </c>
      <c r="N553" s="121"/>
      <c r="O553" s="120">
        <f ca="1">IFERROR(__xludf.DUMMYFUNCTION("""COMPUTED_VALUE"""),85.65)</f>
        <v>85.65</v>
      </c>
      <c r="P553" s="122"/>
      <c r="Q553" s="123" t="str">
        <f ca="1">IFERROR(__xludf.DUMMYFUNCTION("""COMPUTED_VALUE"""),"Kylie O'Brien")</f>
        <v>Kylie O'Brien</v>
      </c>
      <c r="R553" s="123" t="str">
        <f ca="1">IFERROR(__xludf.DUMMYFUNCTION("""COMPUTED_VALUE"""),"Rodeen Kia")</f>
        <v>Rodeen Kia</v>
      </c>
      <c r="S553" s="123" t="str">
        <f ca="1">IFERROR(__xludf.DUMMYFUNCTION("""COMPUTED_VALUE"""),"Hannah Berthe")</f>
        <v>Hannah Berthe</v>
      </c>
      <c r="T553" s="123" t="str">
        <f ca="1">IFERROR(__xludf.DUMMYFUNCTION("""COMPUTED_VALUE"""),"Linus Raring")</f>
        <v>Linus Raring</v>
      </c>
    </row>
    <row r="554" spans="1:20" ht="13.8">
      <c r="A554" s="118" t="str">
        <f ca="1">IFERROR(__xludf.DUMMYFUNCTION("""COMPUTED_VALUE"""),"F")</f>
        <v>F</v>
      </c>
      <c r="B554" s="119" t="str">
        <f ca="1">IFERROR(__xludf.DUMMYFUNCTION("""COMPUTED_VALUE"""),"Elias Flores")</f>
        <v>Elias Flores</v>
      </c>
      <c r="C554" s="118">
        <f ca="1">IFERROR(__xludf.DUMMYFUNCTION("""COMPUTED_VALUE"""),11)</f>
        <v>11</v>
      </c>
      <c r="D554" s="118" t="str">
        <f ca="1">IFERROR(__xludf.DUMMYFUNCTION("""COMPUTED_VALUE"""),"B")</f>
        <v>B</v>
      </c>
      <c r="E554" s="118" t="str">
        <f ca="1">IFERROR(__xludf.DUMMYFUNCTION("""COMPUTED_VALUE"""),"J")</f>
        <v>J</v>
      </c>
      <c r="F554" s="118" t="str">
        <f ca="1">IFERROR(__xludf.DUMMYFUNCTION("""COMPUTED_VALUE"""),"I")</f>
        <v>I</v>
      </c>
      <c r="G554" s="118">
        <f ca="1">IFERROR(__xludf.DUMMYFUNCTION("""COMPUTED_VALUE"""),1)</f>
        <v>1</v>
      </c>
      <c r="H554" s="118" t="str">
        <f ca="1">IFERROR(__xludf.DUMMYFUNCTION("""COMPUTED_VALUE"""),"F")</f>
        <v>F</v>
      </c>
      <c r="I554" s="118">
        <f ca="1">IFERROR(__xludf.DUMMYFUNCTION("""COMPUTED_VALUE"""),7)</f>
        <v>7</v>
      </c>
      <c r="J554" s="118">
        <f ca="1">IFERROR(__xludf.DUMMYFUNCTION("""COMPUTED_VALUE"""),0)</f>
        <v>0</v>
      </c>
      <c r="K554" s="120"/>
      <c r="L554" s="121"/>
      <c r="M554" s="120"/>
      <c r="N554" s="121"/>
      <c r="O554" s="120"/>
      <c r="P554" s="122"/>
      <c r="Q554" s="123" t="str">
        <f ca="1">IFERROR(__xludf.DUMMYFUNCTION("""COMPUTED_VALUE"""),"Lacey Niedzialek")</f>
        <v>Lacey Niedzialek</v>
      </c>
      <c r="R554" s="123" t="str">
        <f ca="1">IFERROR(__xludf.DUMMYFUNCTION("""COMPUTED_VALUE"""),"Ronan Gallagher")</f>
        <v>Ronan Gallagher</v>
      </c>
      <c r="S554" s="123" t="str">
        <f ca="1">IFERROR(__xludf.DUMMYFUNCTION("""COMPUTED_VALUE"""),"Hannah Brubeck")</f>
        <v>Hannah Brubeck</v>
      </c>
      <c r="T554" s="123" t="str">
        <f ca="1">IFERROR(__xludf.DUMMYFUNCTION("""COMPUTED_VALUE"""),"Logan Cao")</f>
        <v>Logan Cao</v>
      </c>
    </row>
    <row r="555" spans="1:20" ht="13.8">
      <c r="A555" s="118" t="str">
        <f ca="1">IFERROR(__xludf.DUMMYFUNCTION("""COMPUTED_VALUE"""),"F")</f>
        <v>F</v>
      </c>
      <c r="B555" s="119" t="str">
        <f ca="1">IFERROR(__xludf.DUMMYFUNCTION("""COMPUTED_VALUE"""),"Joseph Smith")</f>
        <v>Joseph Smith</v>
      </c>
      <c r="C555" s="118">
        <f ca="1">IFERROR(__xludf.DUMMYFUNCTION("""COMPUTED_VALUE"""),11)</f>
        <v>11</v>
      </c>
      <c r="D555" s="118" t="str">
        <f ca="1">IFERROR(__xludf.DUMMYFUNCTION("""COMPUTED_VALUE"""),"B")</f>
        <v>B</v>
      </c>
      <c r="E555" s="118" t="str">
        <f ca="1">IFERROR(__xludf.DUMMYFUNCTION("""COMPUTED_VALUE"""),"J")</f>
        <v>J</v>
      </c>
      <c r="F555" s="118" t="str">
        <f ca="1">IFERROR(__xludf.DUMMYFUNCTION("""COMPUTED_VALUE"""),"I")</f>
        <v>I</v>
      </c>
      <c r="G555" s="118">
        <f ca="1">IFERROR(__xludf.DUMMYFUNCTION("""COMPUTED_VALUE"""),1)</f>
        <v>1</v>
      </c>
      <c r="H555" s="118" t="str">
        <f ca="1">IFERROR(__xludf.DUMMYFUNCTION("""COMPUTED_VALUE"""),"F")</f>
        <v>F</v>
      </c>
      <c r="I555" s="118">
        <f ca="1">IFERROR(__xludf.DUMMYFUNCTION("""COMPUTED_VALUE"""),7)</f>
        <v>7</v>
      </c>
      <c r="J555" s="118">
        <f ca="1">IFERROR(__xludf.DUMMYFUNCTION("""COMPUTED_VALUE"""),0)</f>
        <v>0</v>
      </c>
      <c r="K555" s="120"/>
      <c r="L555" s="121"/>
      <c r="M555" s="120"/>
      <c r="N555" s="121"/>
      <c r="O555" s="120"/>
      <c r="P555" s="122"/>
      <c r="Q555" s="123" t="str">
        <f ca="1">IFERROR(__xludf.DUMMYFUNCTION("""COMPUTED_VALUE"""),"Lacey Slone")</f>
        <v>Lacey Slone</v>
      </c>
      <c r="R555" s="123" t="str">
        <f ca="1">IFERROR(__xludf.DUMMYFUNCTION("""COMPUTED_VALUE"""),"Ronin Pickenheim")</f>
        <v>Ronin Pickenheim</v>
      </c>
      <c r="S555" s="123" t="str">
        <f ca="1">IFERROR(__xludf.DUMMYFUNCTION("""COMPUTED_VALUE"""),"Hannah Carr")</f>
        <v>Hannah Carr</v>
      </c>
      <c r="T555" s="123" t="str">
        <f ca="1">IFERROR(__xludf.DUMMYFUNCTION("""COMPUTED_VALUE"""),"Logan DiBenigno")</f>
        <v>Logan DiBenigno</v>
      </c>
    </row>
    <row r="556" spans="1:20" ht="13.8">
      <c r="A556" s="118" t="str">
        <f ca="1">IFERROR(__xludf.DUMMYFUNCTION("""COMPUTED_VALUE"""),"F")</f>
        <v>F</v>
      </c>
      <c r="B556" s="119" t="str">
        <f ca="1">IFERROR(__xludf.DUMMYFUNCTION("""COMPUTED_VALUE"""),"Miles Hacker")</f>
        <v>Miles Hacker</v>
      </c>
      <c r="C556" s="118">
        <f ca="1">IFERROR(__xludf.DUMMYFUNCTION("""COMPUTED_VALUE"""),11)</f>
        <v>11</v>
      </c>
      <c r="D556" s="118" t="str">
        <f ca="1">IFERROR(__xludf.DUMMYFUNCTION("""COMPUTED_VALUE"""),"B")</f>
        <v>B</v>
      </c>
      <c r="E556" s="118" t="str">
        <f ca="1">IFERROR(__xludf.DUMMYFUNCTION("""COMPUTED_VALUE"""),"J")</f>
        <v>J</v>
      </c>
      <c r="F556" s="118" t="str">
        <f ca="1">IFERROR(__xludf.DUMMYFUNCTION("""COMPUTED_VALUE"""),"I")</f>
        <v>I</v>
      </c>
      <c r="G556" s="118">
        <f ca="1">IFERROR(__xludf.DUMMYFUNCTION("""COMPUTED_VALUE"""),1)</f>
        <v>1</v>
      </c>
      <c r="H556" s="118" t="str">
        <f ca="1">IFERROR(__xludf.DUMMYFUNCTION("""COMPUTED_VALUE"""),"F")</f>
        <v>F</v>
      </c>
      <c r="I556" s="118">
        <f ca="1">IFERROR(__xludf.DUMMYFUNCTION("""COMPUTED_VALUE"""),7)</f>
        <v>7</v>
      </c>
      <c r="J556" s="118">
        <f ca="1">IFERROR(__xludf.DUMMYFUNCTION("""COMPUTED_VALUE"""),5)</f>
        <v>5</v>
      </c>
      <c r="K556" s="120">
        <f ca="1">IFERROR(__xludf.DUMMYFUNCTION("""COMPUTED_VALUE"""),78.4)</f>
        <v>78.400000000000006</v>
      </c>
      <c r="L556" s="121"/>
      <c r="M556" s="120">
        <f ca="1">IFERROR(__xludf.DUMMYFUNCTION("""COMPUTED_VALUE"""),73.2)</f>
        <v>73.2</v>
      </c>
      <c r="N556" s="121"/>
      <c r="O556" s="120">
        <f ca="1">IFERROR(__xludf.DUMMYFUNCTION("""COMPUTED_VALUE"""),68.85)</f>
        <v>68.849999999999994</v>
      </c>
      <c r="P556" s="122"/>
      <c r="Q556" s="123" t="str">
        <f ca="1">IFERROR(__xludf.DUMMYFUNCTION("""COMPUTED_VALUE"""),"Laila Kolonda")</f>
        <v>Laila Kolonda</v>
      </c>
      <c r="R556" s="123" t="str">
        <f ca="1">IFERROR(__xludf.DUMMYFUNCTION("""COMPUTED_VALUE"""),"Rowan O'Leary")</f>
        <v>Rowan O'Leary</v>
      </c>
      <c r="S556" s="123" t="str">
        <f ca="1">IFERROR(__xludf.DUMMYFUNCTION("""COMPUTED_VALUE"""),"Hannah DeLong")</f>
        <v>Hannah DeLong</v>
      </c>
      <c r="T556" s="123" t="str">
        <f ca="1">IFERROR(__xludf.DUMMYFUNCTION("""COMPUTED_VALUE"""),"Logan Schuster")</f>
        <v>Logan Schuster</v>
      </c>
    </row>
    <row r="557" spans="1:20" ht="13.8">
      <c r="A557" s="118" t="str">
        <f ca="1">IFERROR(__xludf.DUMMYFUNCTION("""COMPUTED_VALUE"""),"F")</f>
        <v>F</v>
      </c>
      <c r="B557" s="119" t="str">
        <f ca="1">IFERROR(__xludf.DUMMYFUNCTION("""COMPUTED_VALUE"""),"Patrick Smith")</f>
        <v>Patrick Smith</v>
      </c>
      <c r="C557" s="118">
        <f ca="1">IFERROR(__xludf.DUMMYFUNCTION("""COMPUTED_VALUE"""),11)</f>
        <v>11</v>
      </c>
      <c r="D557" s="118" t="str">
        <f ca="1">IFERROR(__xludf.DUMMYFUNCTION("""COMPUTED_VALUE"""),"B")</f>
        <v>B</v>
      </c>
      <c r="E557" s="118" t="str">
        <f ca="1">IFERROR(__xludf.DUMMYFUNCTION("""COMPUTED_VALUE"""),"J")</f>
        <v>J</v>
      </c>
      <c r="F557" s="118" t="str">
        <f ca="1">IFERROR(__xludf.DUMMYFUNCTION("""COMPUTED_VALUE"""),"I")</f>
        <v>I</v>
      </c>
      <c r="G557" s="118">
        <f ca="1">IFERROR(__xludf.DUMMYFUNCTION("""COMPUTED_VALUE"""),1)</f>
        <v>1</v>
      </c>
      <c r="H557" s="118" t="str">
        <f ca="1">IFERROR(__xludf.DUMMYFUNCTION("""COMPUTED_VALUE"""),"F")</f>
        <v>F</v>
      </c>
      <c r="I557" s="118">
        <f ca="1">IFERROR(__xludf.DUMMYFUNCTION("""COMPUTED_VALUE"""),7)</f>
        <v>7</v>
      </c>
      <c r="J557" s="118">
        <f ca="1">IFERROR(__xludf.DUMMYFUNCTION("""COMPUTED_VALUE"""),0)</f>
        <v>0</v>
      </c>
      <c r="K557" s="120"/>
      <c r="L557" s="121"/>
      <c r="M557" s="120"/>
      <c r="N557" s="121"/>
      <c r="O557" s="120"/>
      <c r="P557" s="122"/>
      <c r="Q557" s="123" t="str">
        <f ca="1">IFERROR(__xludf.DUMMYFUNCTION("""COMPUTED_VALUE"""),"Lainey Cestaro")</f>
        <v>Lainey Cestaro</v>
      </c>
      <c r="R557" s="123" t="str">
        <f ca="1">IFERROR(__xludf.DUMMYFUNCTION("""COMPUTED_VALUE"""),"Rowen Haldeman")</f>
        <v>Rowen Haldeman</v>
      </c>
      <c r="S557" s="123" t="str">
        <f ca="1">IFERROR(__xludf.DUMMYFUNCTION("""COMPUTED_VALUE"""),"Hannah Dho")</f>
        <v>Hannah Dho</v>
      </c>
      <c r="T557" s="123" t="str">
        <f ca="1">IFERROR(__xludf.DUMMYFUNCTION("""COMPUTED_VALUE"""),"Logan Thornsbury")</f>
        <v>Logan Thornsbury</v>
      </c>
    </row>
    <row r="558" spans="1:20" ht="13.8">
      <c r="A558" s="118" t="str">
        <f ca="1">IFERROR(__xludf.DUMMYFUNCTION("""COMPUTED_VALUE"""),"F")</f>
        <v>F</v>
      </c>
      <c r="B558" s="119" t="str">
        <f ca="1">IFERROR(__xludf.DUMMYFUNCTION("""COMPUTED_VALUE"""),"Peyton Farahi")</f>
        <v>Peyton Farahi</v>
      </c>
      <c r="C558" s="118">
        <f ca="1">IFERROR(__xludf.DUMMYFUNCTION("""COMPUTED_VALUE"""),12)</f>
        <v>12</v>
      </c>
      <c r="D558" s="118" t="str">
        <f ca="1">IFERROR(__xludf.DUMMYFUNCTION("""COMPUTED_VALUE"""),"B")</f>
        <v>B</v>
      </c>
      <c r="E558" s="118" t="str">
        <f ca="1">IFERROR(__xludf.DUMMYFUNCTION("""COMPUTED_VALUE"""),"J")</f>
        <v>J</v>
      </c>
      <c r="F558" s="118" t="str">
        <f ca="1">IFERROR(__xludf.DUMMYFUNCTION("""COMPUTED_VALUE"""),"I")</f>
        <v>I</v>
      </c>
      <c r="G558" s="118">
        <f ca="1">IFERROR(__xludf.DUMMYFUNCTION("""COMPUTED_VALUE"""),1)</f>
        <v>1</v>
      </c>
      <c r="H558" s="118" t="str">
        <f ca="1">IFERROR(__xludf.DUMMYFUNCTION("""COMPUTED_VALUE"""),"F")</f>
        <v>F</v>
      </c>
      <c r="I558" s="118">
        <f ca="1">IFERROR(__xludf.DUMMYFUNCTION("""COMPUTED_VALUE"""),7)</f>
        <v>7</v>
      </c>
      <c r="J558" s="118">
        <f ca="1">IFERROR(__xludf.DUMMYFUNCTION("""COMPUTED_VALUE"""),5)</f>
        <v>5</v>
      </c>
      <c r="K558" s="120">
        <f ca="1">IFERROR(__xludf.DUMMYFUNCTION("""COMPUTED_VALUE"""),100.4)</f>
        <v>100.4</v>
      </c>
      <c r="L558" s="121"/>
      <c r="M558" s="120">
        <f ca="1">IFERROR(__xludf.DUMMYFUNCTION("""COMPUTED_VALUE"""),100.4)</f>
        <v>100.4</v>
      </c>
      <c r="N558" s="121"/>
      <c r="O558" s="120">
        <f ca="1">IFERROR(__xludf.DUMMYFUNCTION("""COMPUTED_VALUE"""),90.55)</f>
        <v>90.55</v>
      </c>
      <c r="P558" s="122"/>
      <c r="Q558" s="123" t="str">
        <f ca="1">IFERROR(__xludf.DUMMYFUNCTION("""COMPUTED_VALUE"""),"Laura Krumins")</f>
        <v>Laura Krumins</v>
      </c>
      <c r="R558" s="123" t="str">
        <f ca="1">IFERROR(__xludf.DUMMYFUNCTION("""COMPUTED_VALUE"""),"Rowen Stenberg")</f>
        <v>Rowen Stenberg</v>
      </c>
      <c r="S558" s="123" t="str">
        <f ca="1">IFERROR(__xludf.DUMMYFUNCTION("""COMPUTED_VALUE"""),"Hannah Gibson")</f>
        <v>Hannah Gibson</v>
      </c>
      <c r="T558" s="123" t="str">
        <f ca="1">IFERROR(__xludf.DUMMYFUNCTION("""COMPUTED_VALUE"""),"Logan Titus")</f>
        <v>Logan Titus</v>
      </c>
    </row>
    <row r="559" spans="1:20" ht="13.8">
      <c r="A559" s="118" t="str">
        <f ca="1">IFERROR(__xludf.DUMMYFUNCTION("""COMPUTED_VALUE"""),"F")</f>
        <v>F</v>
      </c>
      <c r="B559" s="119" t="str">
        <f ca="1">IFERROR(__xludf.DUMMYFUNCTION("""COMPUTED_VALUE"""),"Trey McIntosh")</f>
        <v>Trey McIntosh</v>
      </c>
      <c r="C559" s="118">
        <f ca="1">IFERROR(__xludf.DUMMYFUNCTION("""COMPUTED_VALUE"""),11)</f>
        <v>11</v>
      </c>
      <c r="D559" s="118" t="str">
        <f ca="1">IFERROR(__xludf.DUMMYFUNCTION("""COMPUTED_VALUE"""),"B")</f>
        <v>B</v>
      </c>
      <c r="E559" s="118" t="str">
        <f ca="1">IFERROR(__xludf.DUMMYFUNCTION("""COMPUTED_VALUE"""),"J")</f>
        <v>J</v>
      </c>
      <c r="F559" s="118" t="str">
        <f ca="1">IFERROR(__xludf.DUMMYFUNCTION("""COMPUTED_VALUE"""),"I")</f>
        <v>I</v>
      </c>
      <c r="G559" s="118">
        <f ca="1">IFERROR(__xludf.DUMMYFUNCTION("""COMPUTED_VALUE"""),1)</f>
        <v>1</v>
      </c>
      <c r="H559" s="118" t="str">
        <f ca="1">IFERROR(__xludf.DUMMYFUNCTION("""COMPUTED_VALUE"""),"F")</f>
        <v>F</v>
      </c>
      <c r="I559" s="118">
        <f ca="1">IFERROR(__xludf.DUMMYFUNCTION("""COMPUTED_VALUE"""),7)</f>
        <v>7</v>
      </c>
      <c r="J559" s="118">
        <f ca="1">IFERROR(__xludf.DUMMYFUNCTION("""COMPUTED_VALUE"""),5)</f>
        <v>5</v>
      </c>
      <c r="K559" s="120">
        <f ca="1">IFERROR(__xludf.DUMMYFUNCTION("""COMPUTED_VALUE"""),122.15)</f>
        <v>122.15</v>
      </c>
      <c r="L559" s="121"/>
      <c r="M559" s="120">
        <f ca="1">IFERROR(__xludf.DUMMYFUNCTION("""COMPUTED_VALUE"""),122.15)</f>
        <v>122.15</v>
      </c>
      <c r="N559" s="121"/>
      <c r="O559" s="120">
        <f ca="1">IFERROR(__xludf.DUMMYFUNCTION("""COMPUTED_VALUE"""),111.75)</f>
        <v>111.75</v>
      </c>
      <c r="P559" s="122"/>
      <c r="Q559" s="123" t="str">
        <f ca="1">IFERROR(__xludf.DUMMYFUNCTION("""COMPUTED_VALUE"""),"Lauren Emerick")</f>
        <v>Lauren Emerick</v>
      </c>
      <c r="R559" s="123" t="str">
        <f ca="1">IFERROR(__xludf.DUMMYFUNCTION("""COMPUTED_VALUE"""),"Ruby Herbig")</f>
        <v>Ruby Herbig</v>
      </c>
      <c r="S559" s="123" t="str">
        <f ca="1">IFERROR(__xludf.DUMMYFUNCTION("""COMPUTED_VALUE"""),"Hannah Murawski")</f>
        <v>Hannah Murawski</v>
      </c>
      <c r="T559" s="123" t="str">
        <f ca="1">IFERROR(__xludf.DUMMYFUNCTION("""COMPUTED_VALUE"""),"Logan Varner")</f>
        <v>Logan Varner</v>
      </c>
    </row>
    <row r="560" spans="1:20" ht="13.8">
      <c r="A560" s="118" t="str">
        <f ca="1">IFERROR(__xludf.DUMMYFUNCTION("""COMPUTED_VALUE"""),"F")</f>
        <v>F</v>
      </c>
      <c r="B560" s="119" t="str">
        <f ca="1">IFERROR(__xludf.DUMMYFUNCTION("""COMPUTED_VALUE"""),"Beatriz Perosa")</f>
        <v>Beatriz Perosa</v>
      </c>
      <c r="C560" s="118">
        <f ca="1">IFERROR(__xludf.DUMMYFUNCTION("""COMPUTED_VALUE"""),13)</f>
        <v>13</v>
      </c>
      <c r="D560" s="118" t="str">
        <f ca="1">IFERROR(__xludf.DUMMYFUNCTION("""COMPUTED_VALUE"""),"G")</f>
        <v>G</v>
      </c>
      <c r="E560" s="118" t="str">
        <f ca="1">IFERROR(__xludf.DUMMYFUNCTION("""COMPUTED_VALUE"""),"I")</f>
        <v>I</v>
      </c>
      <c r="F560" s="118" t="str">
        <f ca="1">IFERROR(__xludf.DUMMYFUNCTION("""COMPUTED_VALUE"""),"S")</f>
        <v>S</v>
      </c>
      <c r="G560" s="118">
        <f ca="1">IFERROR(__xludf.DUMMYFUNCTION("""COMPUTED_VALUE"""),1)</f>
        <v>1</v>
      </c>
      <c r="H560" s="118" t="str">
        <f ca="1">IFERROR(__xludf.DUMMYFUNCTION("""COMPUTED_VALUE"""),"F")</f>
        <v>F</v>
      </c>
      <c r="I560" s="118">
        <f ca="1">IFERROR(__xludf.DUMMYFUNCTION("""COMPUTED_VALUE"""),8)</f>
        <v>8</v>
      </c>
      <c r="J560" s="118">
        <f ca="1">IFERROR(__xludf.DUMMYFUNCTION("""COMPUTED_VALUE"""),0)</f>
        <v>0</v>
      </c>
      <c r="K560" s="120"/>
      <c r="L560" s="121"/>
      <c r="M560" s="120"/>
      <c r="N560" s="121"/>
      <c r="O560" s="120"/>
      <c r="P560" s="122"/>
      <c r="Q560" s="123" t="str">
        <f ca="1">IFERROR(__xludf.DUMMYFUNCTION("""COMPUTED_VALUE"""),"Lauren Hefferan")</f>
        <v>Lauren Hefferan</v>
      </c>
      <c r="R560" s="123" t="str">
        <f ca="1">IFERROR(__xludf.DUMMYFUNCTION("""COMPUTED_VALUE"""),"Russell Velasco")</f>
        <v>Russell Velasco</v>
      </c>
      <c r="S560" s="123" t="str">
        <f ca="1">IFERROR(__xludf.DUMMYFUNCTION("""COMPUTED_VALUE"""),"Hannah Robbins")</f>
        <v>Hannah Robbins</v>
      </c>
      <c r="T560" s="123" t="str">
        <f ca="1">IFERROR(__xludf.DUMMYFUNCTION("""COMPUTED_VALUE"""),"Lorenzo Hardin")</f>
        <v>Lorenzo Hardin</v>
      </c>
    </row>
    <row r="561" spans="1:20" ht="13.8">
      <c r="A561" s="118" t="str">
        <f ca="1">IFERROR(__xludf.DUMMYFUNCTION("""COMPUTED_VALUE"""),"F")</f>
        <v>F</v>
      </c>
      <c r="B561" s="119" t="str">
        <f ca="1">IFERROR(__xludf.DUMMYFUNCTION("""COMPUTED_VALUE"""),"Cally Codding")</f>
        <v>Cally Codding</v>
      </c>
      <c r="C561" s="118">
        <f ca="1">IFERROR(__xludf.DUMMYFUNCTION("""COMPUTED_VALUE"""),14)</f>
        <v>14</v>
      </c>
      <c r="D561" s="118" t="str">
        <f ca="1">IFERROR(__xludf.DUMMYFUNCTION("""COMPUTED_VALUE"""),"G")</f>
        <v>G</v>
      </c>
      <c r="E561" s="118" t="str">
        <f ca="1">IFERROR(__xludf.DUMMYFUNCTION("""COMPUTED_VALUE"""),"I")</f>
        <v>I</v>
      </c>
      <c r="F561" s="118" t="str">
        <f ca="1">IFERROR(__xludf.DUMMYFUNCTION("""COMPUTED_VALUE"""),"S")</f>
        <v>S</v>
      </c>
      <c r="G561" s="118">
        <f ca="1">IFERROR(__xludf.DUMMYFUNCTION("""COMPUTED_VALUE"""),1)</f>
        <v>1</v>
      </c>
      <c r="H561" s="118" t="str">
        <f ca="1">IFERROR(__xludf.DUMMYFUNCTION("""COMPUTED_VALUE"""),"F")</f>
        <v>F</v>
      </c>
      <c r="I561" s="118">
        <f ca="1">IFERROR(__xludf.DUMMYFUNCTION("""COMPUTED_VALUE"""),8)</f>
        <v>8</v>
      </c>
      <c r="J561" s="118">
        <f ca="1">IFERROR(__xludf.DUMMYFUNCTION("""COMPUTED_VALUE"""),4)</f>
        <v>4</v>
      </c>
      <c r="K561" s="120">
        <f ca="1">IFERROR(__xludf.DUMMYFUNCTION("""COMPUTED_VALUE"""),152.7)</f>
        <v>152.69999999999999</v>
      </c>
      <c r="L561" s="121"/>
      <c r="M561" s="120">
        <f ca="1">IFERROR(__xludf.DUMMYFUNCTION("""COMPUTED_VALUE"""),144)</f>
        <v>144</v>
      </c>
      <c r="N561" s="121"/>
      <c r="O561" s="120">
        <f ca="1">IFERROR(__xludf.DUMMYFUNCTION("""COMPUTED_VALUE"""),132.1)</f>
        <v>132.1</v>
      </c>
      <c r="P561" s="122"/>
      <c r="Q561" s="123" t="str">
        <f ca="1">IFERROR(__xludf.DUMMYFUNCTION("""COMPUTED_VALUE"""),"Lauren Lynn")</f>
        <v>Lauren Lynn</v>
      </c>
      <c r="R561" s="123" t="str">
        <f ca="1">IFERROR(__xludf.DUMMYFUNCTION("""COMPUTED_VALUE"""),"Ryan Foshay")</f>
        <v>Ryan Foshay</v>
      </c>
      <c r="S561" s="123" t="str">
        <f ca="1">IFERROR(__xludf.DUMMYFUNCTION("""COMPUTED_VALUE"""),"Hannah Shriber")</f>
        <v>Hannah Shriber</v>
      </c>
      <c r="T561" s="123" t="str">
        <f ca="1">IFERROR(__xludf.DUMMYFUNCTION("""COMPUTED_VALUE"""),"Louie Marra")</f>
        <v>Louie Marra</v>
      </c>
    </row>
    <row r="562" spans="1:20" ht="13.8">
      <c r="A562" s="118" t="str">
        <f ca="1">IFERROR(__xludf.DUMMYFUNCTION("""COMPUTED_VALUE"""),"F")</f>
        <v>F</v>
      </c>
      <c r="B562" s="119" t="str">
        <f ca="1">IFERROR(__xludf.DUMMYFUNCTION("""COMPUTED_VALUE"""),"Carleigh Devlin")</f>
        <v>Carleigh Devlin</v>
      </c>
      <c r="C562" s="118">
        <f ca="1">IFERROR(__xludf.DUMMYFUNCTION("""COMPUTED_VALUE"""),13)</f>
        <v>13</v>
      </c>
      <c r="D562" s="118" t="str">
        <f ca="1">IFERROR(__xludf.DUMMYFUNCTION("""COMPUTED_VALUE"""),"G")</f>
        <v>G</v>
      </c>
      <c r="E562" s="118" t="str">
        <f ca="1">IFERROR(__xludf.DUMMYFUNCTION("""COMPUTED_VALUE"""),"I")</f>
        <v>I</v>
      </c>
      <c r="F562" s="118" t="str">
        <f ca="1">IFERROR(__xludf.DUMMYFUNCTION("""COMPUTED_VALUE"""),"S")</f>
        <v>S</v>
      </c>
      <c r="G562" s="118">
        <f ca="1">IFERROR(__xludf.DUMMYFUNCTION("""COMPUTED_VALUE"""),1)</f>
        <v>1</v>
      </c>
      <c r="H562" s="118" t="str">
        <f ca="1">IFERROR(__xludf.DUMMYFUNCTION("""COMPUTED_VALUE"""),"F")</f>
        <v>F</v>
      </c>
      <c r="I562" s="118">
        <f ca="1">IFERROR(__xludf.DUMMYFUNCTION("""COMPUTED_VALUE"""),8)</f>
        <v>8</v>
      </c>
      <c r="J562" s="118">
        <f ca="1">IFERROR(__xludf.DUMMYFUNCTION("""COMPUTED_VALUE"""),5)</f>
        <v>5</v>
      </c>
      <c r="K562" s="120">
        <f ca="1">IFERROR(__xludf.DUMMYFUNCTION("""COMPUTED_VALUE"""),132.95)</f>
        <v>132.94999999999999</v>
      </c>
      <c r="L562" s="121"/>
      <c r="M562" s="120">
        <f ca="1">IFERROR(__xludf.DUMMYFUNCTION("""COMPUTED_VALUE"""),132.95)</f>
        <v>132.94999999999999</v>
      </c>
      <c r="N562" s="121"/>
      <c r="O562" s="120">
        <f ca="1">IFERROR(__xludf.DUMMYFUNCTION("""COMPUTED_VALUE"""),106.6)</f>
        <v>106.6</v>
      </c>
      <c r="P562" s="122"/>
      <c r="Q562" s="123" t="str">
        <f ca="1">IFERROR(__xludf.DUMMYFUNCTION("""COMPUTED_VALUE"""),"Lauren Myers")</f>
        <v>Lauren Myers</v>
      </c>
      <c r="R562" s="123" t="str">
        <f ca="1">IFERROR(__xludf.DUMMYFUNCTION("""COMPUTED_VALUE"""),"Ryan Guy")</f>
        <v>Ryan Guy</v>
      </c>
      <c r="S562" s="123" t="str">
        <f ca="1">IFERROR(__xludf.DUMMYFUNCTION("""COMPUTED_VALUE"""),"Hannah Snyder")</f>
        <v>Hannah Snyder</v>
      </c>
      <c r="T562" s="123" t="str">
        <f ca="1">IFERROR(__xludf.DUMMYFUNCTION("""COMPUTED_VALUE"""),"Louis Mintzer")</f>
        <v>Louis Mintzer</v>
      </c>
    </row>
    <row r="563" spans="1:20" ht="13.8">
      <c r="A563" s="118" t="str">
        <f ca="1">IFERROR(__xludf.DUMMYFUNCTION("""COMPUTED_VALUE"""),"F")</f>
        <v>F</v>
      </c>
      <c r="B563" s="119" t="str">
        <f ca="1">IFERROR(__xludf.DUMMYFUNCTION("""COMPUTED_VALUE"""),"Emily Gu")</f>
        <v>Emily Gu</v>
      </c>
      <c r="C563" s="118">
        <f ca="1">IFERROR(__xludf.DUMMYFUNCTION("""COMPUTED_VALUE"""),14)</f>
        <v>14</v>
      </c>
      <c r="D563" s="118" t="str">
        <f ca="1">IFERROR(__xludf.DUMMYFUNCTION("""COMPUTED_VALUE"""),"G")</f>
        <v>G</v>
      </c>
      <c r="E563" s="118" t="str">
        <f ca="1">IFERROR(__xludf.DUMMYFUNCTION("""COMPUTED_VALUE"""),"I")</f>
        <v>I</v>
      </c>
      <c r="F563" s="118" t="str">
        <f ca="1">IFERROR(__xludf.DUMMYFUNCTION("""COMPUTED_VALUE"""),"S")</f>
        <v>S</v>
      </c>
      <c r="G563" s="118">
        <f ca="1">IFERROR(__xludf.DUMMYFUNCTION("""COMPUTED_VALUE"""),1)</f>
        <v>1</v>
      </c>
      <c r="H563" s="118" t="str">
        <f ca="1">IFERROR(__xludf.DUMMYFUNCTION("""COMPUTED_VALUE"""),"F")</f>
        <v>F</v>
      </c>
      <c r="I563" s="118">
        <f ca="1">IFERROR(__xludf.DUMMYFUNCTION("""COMPUTED_VALUE"""),8)</f>
        <v>8</v>
      </c>
      <c r="J563" s="118">
        <f ca="1">IFERROR(__xludf.DUMMYFUNCTION("""COMPUTED_VALUE"""),0)</f>
        <v>0</v>
      </c>
      <c r="K563" s="120"/>
      <c r="L563" s="121"/>
      <c r="M563" s="120"/>
      <c r="N563" s="121"/>
      <c r="O563" s="120"/>
      <c r="P563" s="122"/>
      <c r="Q563" s="123" t="str">
        <f ca="1">IFERROR(__xludf.DUMMYFUNCTION("""COMPUTED_VALUE"""),"Lauren Rueffert")</f>
        <v>Lauren Rueffert</v>
      </c>
      <c r="R563" s="123" t="str">
        <f ca="1">IFERROR(__xludf.DUMMYFUNCTION("""COMPUTED_VALUE"""),"Ryan Howsare")</f>
        <v>Ryan Howsare</v>
      </c>
      <c r="S563" s="123" t="str">
        <f ca="1">IFERROR(__xludf.DUMMYFUNCTION("""COMPUTED_VALUE"""),"Hannah Tran")</f>
        <v>Hannah Tran</v>
      </c>
      <c r="T563" s="123" t="str">
        <f ca="1">IFERROR(__xludf.DUMMYFUNCTION("""COMPUTED_VALUE"""),"Luca Bucci")</f>
        <v>Luca Bucci</v>
      </c>
    </row>
    <row r="564" spans="1:20" ht="13.8">
      <c r="A564" s="118" t="str">
        <f ca="1">IFERROR(__xludf.DUMMYFUNCTION("""COMPUTED_VALUE"""),"F")</f>
        <v>F</v>
      </c>
      <c r="B564" s="119" t="str">
        <f ca="1">IFERROR(__xludf.DUMMYFUNCTION("""COMPUTED_VALUE"""),"Jackie Colwill")</f>
        <v>Jackie Colwill</v>
      </c>
      <c r="C564" s="118">
        <f ca="1">IFERROR(__xludf.DUMMYFUNCTION("""COMPUTED_VALUE"""),14)</f>
        <v>14</v>
      </c>
      <c r="D564" s="118" t="str">
        <f ca="1">IFERROR(__xludf.DUMMYFUNCTION("""COMPUTED_VALUE"""),"G")</f>
        <v>G</v>
      </c>
      <c r="E564" s="118" t="str">
        <f ca="1">IFERROR(__xludf.DUMMYFUNCTION("""COMPUTED_VALUE"""),"I")</f>
        <v>I</v>
      </c>
      <c r="F564" s="118" t="str">
        <f ca="1">IFERROR(__xludf.DUMMYFUNCTION("""COMPUTED_VALUE"""),"S")</f>
        <v>S</v>
      </c>
      <c r="G564" s="118">
        <f ca="1">IFERROR(__xludf.DUMMYFUNCTION("""COMPUTED_VALUE"""),1)</f>
        <v>1</v>
      </c>
      <c r="H564" s="118" t="str">
        <f ca="1">IFERROR(__xludf.DUMMYFUNCTION("""COMPUTED_VALUE"""),"F")</f>
        <v>F</v>
      </c>
      <c r="I564" s="118">
        <f ca="1">IFERROR(__xludf.DUMMYFUNCTION("""COMPUTED_VALUE"""),8)</f>
        <v>8</v>
      </c>
      <c r="J564" s="118">
        <f ca="1">IFERROR(__xludf.DUMMYFUNCTION("""COMPUTED_VALUE"""),2)</f>
        <v>2</v>
      </c>
      <c r="K564" s="120">
        <f ca="1">IFERROR(__xludf.DUMMYFUNCTION("""COMPUTED_VALUE"""),110.45)</f>
        <v>110.45</v>
      </c>
      <c r="L564" s="121"/>
      <c r="M564" s="120"/>
      <c r="N564" s="121"/>
      <c r="O564" s="120">
        <f ca="1">IFERROR(__xludf.DUMMYFUNCTION("""COMPUTED_VALUE"""),103.4)</f>
        <v>103.4</v>
      </c>
      <c r="P564" s="122"/>
      <c r="Q564" s="123" t="str">
        <f ca="1">IFERROR(__xludf.DUMMYFUNCTION("""COMPUTED_VALUE"""),"Leah Bailey")</f>
        <v>Leah Bailey</v>
      </c>
      <c r="R564" s="123" t="str">
        <f ca="1">IFERROR(__xludf.DUMMYFUNCTION("""COMPUTED_VALUE"""),"Ryan Kalfus")</f>
        <v>Ryan Kalfus</v>
      </c>
      <c r="S564" s="123" t="str">
        <f ca="1">IFERROR(__xludf.DUMMYFUNCTION("""COMPUTED_VALUE"""),"Hannah Trimble")</f>
        <v>Hannah Trimble</v>
      </c>
      <c r="T564" s="123" t="str">
        <f ca="1">IFERROR(__xludf.DUMMYFUNCTION("""COMPUTED_VALUE"""),"Luca Hardin")</f>
        <v>Luca Hardin</v>
      </c>
    </row>
    <row r="565" spans="1:20" ht="13.8">
      <c r="A565" s="118" t="str">
        <f ca="1">IFERROR(__xludf.DUMMYFUNCTION("""COMPUTED_VALUE"""),"F")</f>
        <v>F</v>
      </c>
      <c r="B565" s="119" t="str">
        <f ca="1">IFERROR(__xludf.DUMMYFUNCTION("""COMPUTED_VALUE"""),"Olivia Hangval")</f>
        <v>Olivia Hangval</v>
      </c>
      <c r="C565" s="118">
        <f ca="1">IFERROR(__xludf.DUMMYFUNCTION("""COMPUTED_VALUE"""),13)</f>
        <v>13</v>
      </c>
      <c r="D565" s="118" t="str">
        <f ca="1">IFERROR(__xludf.DUMMYFUNCTION("""COMPUTED_VALUE"""),"G")</f>
        <v>G</v>
      </c>
      <c r="E565" s="118" t="str">
        <f ca="1">IFERROR(__xludf.DUMMYFUNCTION("""COMPUTED_VALUE"""),"I")</f>
        <v>I</v>
      </c>
      <c r="F565" s="118" t="str">
        <f ca="1">IFERROR(__xludf.DUMMYFUNCTION("""COMPUTED_VALUE"""),"S")</f>
        <v>S</v>
      </c>
      <c r="G565" s="118">
        <f ca="1">IFERROR(__xludf.DUMMYFUNCTION("""COMPUTED_VALUE"""),1)</f>
        <v>1</v>
      </c>
      <c r="H565" s="118" t="str">
        <f ca="1">IFERROR(__xludf.DUMMYFUNCTION("""COMPUTED_VALUE"""),"F")</f>
        <v>F</v>
      </c>
      <c r="I565" s="118">
        <f ca="1">IFERROR(__xludf.DUMMYFUNCTION("""COMPUTED_VALUE"""),8)</f>
        <v>8</v>
      </c>
      <c r="J565" s="118">
        <f ca="1">IFERROR(__xludf.DUMMYFUNCTION("""COMPUTED_VALUE"""),0)</f>
        <v>0</v>
      </c>
      <c r="K565" s="120"/>
      <c r="L565" s="121"/>
      <c r="M565" s="120"/>
      <c r="N565" s="121"/>
      <c r="O565" s="120"/>
      <c r="P565" s="122"/>
      <c r="Q565" s="123" t="str">
        <f ca="1">IFERROR(__xludf.DUMMYFUNCTION("""COMPUTED_VALUE"""),"Leah Jandrain")</f>
        <v>Leah Jandrain</v>
      </c>
      <c r="R565" s="123" t="str">
        <f ca="1">IFERROR(__xludf.DUMMYFUNCTION("""COMPUTED_VALUE"""),"Ryan Linegang")</f>
        <v>Ryan Linegang</v>
      </c>
      <c r="S565" s="123" t="str">
        <f ca="1">IFERROR(__xludf.DUMMYFUNCTION("""COMPUTED_VALUE"""),"Hannah Waters")</f>
        <v>Hannah Waters</v>
      </c>
      <c r="T565" s="123" t="str">
        <f ca="1">IFERROR(__xludf.DUMMYFUNCTION("""COMPUTED_VALUE"""),"Lucas Lynn")</f>
        <v>Lucas Lynn</v>
      </c>
    </row>
    <row r="566" spans="1:20" ht="13.8">
      <c r="A566" s="118" t="str">
        <f ca="1">IFERROR(__xludf.DUMMYFUNCTION("""COMPUTED_VALUE"""),"F")</f>
        <v>F</v>
      </c>
      <c r="B566" s="119" t="str">
        <f ca="1">IFERROR(__xludf.DUMMYFUNCTION("""COMPUTED_VALUE"""),"Eric Fleischer")</f>
        <v>Eric Fleischer</v>
      </c>
      <c r="C566" s="118">
        <f ca="1">IFERROR(__xludf.DUMMYFUNCTION("""COMPUTED_VALUE"""),13)</f>
        <v>13</v>
      </c>
      <c r="D566" s="118" t="str">
        <f ca="1">IFERROR(__xludf.DUMMYFUNCTION("""COMPUTED_VALUE"""),"B")</f>
        <v>B</v>
      </c>
      <c r="E566" s="118" t="str">
        <f ca="1">IFERROR(__xludf.DUMMYFUNCTION("""COMPUTED_VALUE"""),"I")</f>
        <v>I</v>
      </c>
      <c r="F566" s="118" t="str">
        <f ca="1">IFERROR(__xludf.DUMMYFUNCTION("""COMPUTED_VALUE"""),"S")</f>
        <v>S</v>
      </c>
      <c r="G566" s="118">
        <f ca="1">IFERROR(__xludf.DUMMYFUNCTION("""COMPUTED_VALUE"""),1)</f>
        <v>1</v>
      </c>
      <c r="H566" s="118" t="str">
        <f ca="1">IFERROR(__xludf.DUMMYFUNCTION("""COMPUTED_VALUE"""),"F")</f>
        <v>F</v>
      </c>
      <c r="I566" s="118">
        <f ca="1">IFERROR(__xludf.DUMMYFUNCTION("""COMPUTED_VALUE"""),9)</f>
        <v>9</v>
      </c>
      <c r="J566" s="118">
        <f ca="1">IFERROR(__xludf.DUMMYFUNCTION("""COMPUTED_VALUE"""),0)</f>
        <v>0</v>
      </c>
      <c r="K566" s="120"/>
      <c r="L566" s="121"/>
      <c r="M566" s="120"/>
      <c r="N566" s="121"/>
      <c r="O566" s="120"/>
      <c r="P566" s="122"/>
      <c r="Q566" s="123" t="str">
        <f ca="1">IFERROR(__xludf.DUMMYFUNCTION("""COMPUTED_VALUE"""),"Leah Thoman")</f>
        <v>Leah Thoman</v>
      </c>
      <c r="R566" s="123" t="str">
        <f ca="1">IFERROR(__xludf.DUMMYFUNCTION("""COMPUTED_VALUE"""),"Ryan Phung")</f>
        <v>Ryan Phung</v>
      </c>
      <c r="S566" s="123" t="str">
        <f ca="1">IFERROR(__xludf.DUMMYFUNCTION("""COMPUTED_VALUE"""),"Hannah Williams")</f>
        <v>Hannah Williams</v>
      </c>
      <c r="T566" s="123" t="str">
        <f ca="1">IFERROR(__xludf.DUMMYFUNCTION("""COMPUTED_VALUE"""),"Lucas Moreno")</f>
        <v>Lucas Moreno</v>
      </c>
    </row>
    <row r="567" spans="1:20" ht="13.8">
      <c r="A567" s="118" t="str">
        <f ca="1">IFERROR(__xludf.DUMMYFUNCTION("""COMPUTED_VALUE"""),"F")</f>
        <v>F</v>
      </c>
      <c r="B567" s="119" t="str">
        <f ca="1">IFERROR(__xludf.DUMMYFUNCTION("""COMPUTED_VALUE"""),"John Zhu")</f>
        <v>John Zhu</v>
      </c>
      <c r="C567" s="118">
        <f ca="1">IFERROR(__xludf.DUMMYFUNCTION("""COMPUTED_VALUE"""),13)</f>
        <v>13</v>
      </c>
      <c r="D567" s="118" t="str">
        <f ca="1">IFERROR(__xludf.DUMMYFUNCTION("""COMPUTED_VALUE"""),"B")</f>
        <v>B</v>
      </c>
      <c r="E567" s="118" t="str">
        <f ca="1">IFERROR(__xludf.DUMMYFUNCTION("""COMPUTED_VALUE"""),"I")</f>
        <v>I</v>
      </c>
      <c r="F567" s="118" t="str">
        <f ca="1">IFERROR(__xludf.DUMMYFUNCTION("""COMPUTED_VALUE"""),"S")</f>
        <v>S</v>
      </c>
      <c r="G567" s="118">
        <f ca="1">IFERROR(__xludf.DUMMYFUNCTION("""COMPUTED_VALUE"""),1)</f>
        <v>1</v>
      </c>
      <c r="H567" s="118" t="str">
        <f ca="1">IFERROR(__xludf.DUMMYFUNCTION("""COMPUTED_VALUE"""),"F")</f>
        <v>F</v>
      </c>
      <c r="I567" s="118">
        <f ca="1">IFERROR(__xludf.DUMMYFUNCTION("""COMPUTED_VALUE"""),9)</f>
        <v>9</v>
      </c>
      <c r="J567" s="118">
        <f ca="1">IFERROR(__xludf.DUMMYFUNCTION("""COMPUTED_VALUE"""),5)</f>
        <v>5</v>
      </c>
      <c r="K567" s="120">
        <f ca="1">IFERROR(__xludf.DUMMYFUNCTION("""COMPUTED_VALUE"""),91.4)</f>
        <v>91.4</v>
      </c>
      <c r="L567" s="121"/>
      <c r="M567" s="120">
        <f ca="1">IFERROR(__xludf.DUMMYFUNCTION("""COMPUTED_VALUE"""),86.85)</f>
        <v>86.85</v>
      </c>
      <c r="N567" s="121"/>
      <c r="O567" s="120">
        <f ca="1">IFERROR(__xludf.DUMMYFUNCTION("""COMPUTED_VALUE"""),78.1)</f>
        <v>78.099999999999994</v>
      </c>
      <c r="P567" s="122"/>
      <c r="Q567" s="123" t="str">
        <f ca="1">IFERROR(__xludf.DUMMYFUNCTION("""COMPUTED_VALUE"""),"Leighton Raich")</f>
        <v>Leighton Raich</v>
      </c>
      <c r="R567" s="123" t="str">
        <f ca="1">IFERROR(__xludf.DUMMYFUNCTION("""COMPUTED_VALUE"""),"Ryker Ellis")</f>
        <v>Ryker Ellis</v>
      </c>
      <c r="S567" s="123" t="str">
        <f ca="1">IFERROR(__xludf.DUMMYFUNCTION("""COMPUTED_VALUE"""),"Hannah Wilson")</f>
        <v>Hannah Wilson</v>
      </c>
      <c r="T567" s="123" t="str">
        <f ca="1">IFERROR(__xludf.DUMMYFUNCTION("""COMPUTED_VALUE"""),"Lucas Nguyen")</f>
        <v>Lucas Nguyen</v>
      </c>
    </row>
    <row r="568" spans="1:20" ht="13.8">
      <c r="A568" s="118" t="str">
        <f ca="1">IFERROR(__xludf.DUMMYFUNCTION("""COMPUTED_VALUE"""),"F")</f>
        <v>F</v>
      </c>
      <c r="B568" s="119" t="str">
        <f ca="1">IFERROR(__xludf.DUMMYFUNCTION("""COMPUTED_VALUE"""),"Noah Laccone")</f>
        <v>Noah Laccone</v>
      </c>
      <c r="C568" s="118">
        <f ca="1">IFERROR(__xludf.DUMMYFUNCTION("""COMPUTED_VALUE"""),14)</f>
        <v>14</v>
      </c>
      <c r="D568" s="118" t="str">
        <f ca="1">IFERROR(__xludf.DUMMYFUNCTION("""COMPUTED_VALUE"""),"B")</f>
        <v>B</v>
      </c>
      <c r="E568" s="118" t="str">
        <f ca="1">IFERROR(__xludf.DUMMYFUNCTION("""COMPUTED_VALUE"""),"I")</f>
        <v>I</v>
      </c>
      <c r="F568" s="118" t="str">
        <f ca="1">IFERROR(__xludf.DUMMYFUNCTION("""COMPUTED_VALUE"""),"S")</f>
        <v>S</v>
      </c>
      <c r="G568" s="118">
        <f ca="1">IFERROR(__xludf.DUMMYFUNCTION("""COMPUTED_VALUE"""),1)</f>
        <v>1</v>
      </c>
      <c r="H568" s="118" t="str">
        <f ca="1">IFERROR(__xludf.DUMMYFUNCTION("""COMPUTED_VALUE"""),"F")</f>
        <v>F</v>
      </c>
      <c r="I568" s="118">
        <f ca="1">IFERROR(__xludf.DUMMYFUNCTION("""COMPUTED_VALUE"""),9)</f>
        <v>9</v>
      </c>
      <c r="J568" s="118">
        <f ca="1">IFERROR(__xludf.DUMMYFUNCTION("""COMPUTED_VALUE"""),0)</f>
        <v>0</v>
      </c>
      <c r="K568" s="120"/>
      <c r="L568" s="121"/>
      <c r="M568" s="120"/>
      <c r="N568" s="121"/>
      <c r="O568" s="120"/>
      <c r="P568" s="122"/>
      <c r="Q568" s="123" t="str">
        <f ca="1">IFERROR(__xludf.DUMMYFUNCTION("""COMPUTED_VALUE"""),"Leila Adams")</f>
        <v>Leila Adams</v>
      </c>
      <c r="R568" s="123" t="str">
        <f ca="1">IFERROR(__xludf.DUMMYFUNCTION("""COMPUTED_VALUE"""),"Salvatore Matias")</f>
        <v>Salvatore Matias</v>
      </c>
      <c r="S568" s="123" t="str">
        <f ca="1">IFERROR(__xludf.DUMMYFUNCTION("""COMPUTED_VALUE"""),"Harleigh Spencer")</f>
        <v>Harleigh Spencer</v>
      </c>
      <c r="T568" s="123" t="str">
        <f ca="1">IFERROR(__xludf.DUMMYFUNCTION("""COMPUTED_VALUE"""),"Lucas Stadelmann")</f>
        <v>Lucas Stadelmann</v>
      </c>
    </row>
    <row r="569" spans="1:20" ht="13.8">
      <c r="A569" s="118" t="str">
        <f ca="1">IFERROR(__xludf.DUMMYFUNCTION("""COMPUTED_VALUE"""),"F")</f>
        <v>F</v>
      </c>
      <c r="B569" s="119" t="str">
        <f ca="1">IFERROR(__xludf.DUMMYFUNCTION("""COMPUTED_VALUE"""),"Victor Kruml")</f>
        <v>Victor Kruml</v>
      </c>
      <c r="C569" s="118">
        <f ca="1">IFERROR(__xludf.DUMMYFUNCTION("""COMPUTED_VALUE"""),13)</f>
        <v>13</v>
      </c>
      <c r="D569" s="118" t="str">
        <f ca="1">IFERROR(__xludf.DUMMYFUNCTION("""COMPUTED_VALUE"""),"B")</f>
        <v>B</v>
      </c>
      <c r="E569" s="118" t="str">
        <f ca="1">IFERROR(__xludf.DUMMYFUNCTION("""COMPUTED_VALUE"""),"I")</f>
        <v>I</v>
      </c>
      <c r="F569" s="118" t="str">
        <f ca="1">IFERROR(__xludf.DUMMYFUNCTION("""COMPUTED_VALUE"""),"S")</f>
        <v>S</v>
      </c>
      <c r="G569" s="118">
        <f ca="1">IFERROR(__xludf.DUMMYFUNCTION("""COMPUTED_VALUE"""),1)</f>
        <v>1</v>
      </c>
      <c r="H569" s="118" t="str">
        <f ca="1">IFERROR(__xludf.DUMMYFUNCTION("""COMPUTED_VALUE"""),"F")</f>
        <v>F</v>
      </c>
      <c r="I569" s="118">
        <f ca="1">IFERROR(__xludf.DUMMYFUNCTION("""COMPUTED_VALUE"""),9)</f>
        <v>9</v>
      </c>
      <c r="J569" s="118">
        <f ca="1">IFERROR(__xludf.DUMMYFUNCTION("""COMPUTED_VALUE"""),3)</f>
        <v>3</v>
      </c>
      <c r="K569" s="120">
        <f ca="1">IFERROR(__xludf.DUMMYFUNCTION("""COMPUTED_VALUE"""),66.75)</f>
        <v>66.75</v>
      </c>
      <c r="L569" s="121"/>
      <c r="M569" s="120"/>
      <c r="N569" s="121"/>
      <c r="O569" s="120"/>
      <c r="P569" s="122"/>
      <c r="Q569" s="123" t="str">
        <f ca="1">IFERROR(__xludf.DUMMYFUNCTION("""COMPUTED_VALUE"""),"Leila Diliberto")</f>
        <v>Leila Diliberto</v>
      </c>
      <c r="R569" s="123" t="str">
        <f ca="1">IFERROR(__xludf.DUMMYFUNCTION("""COMPUTED_VALUE"""),"Sam Rosser")</f>
        <v>Sam Rosser</v>
      </c>
      <c r="S569" s="123" t="str">
        <f ca="1">IFERROR(__xludf.DUMMYFUNCTION("""COMPUTED_VALUE"""),"Harper Bassler")</f>
        <v>Harper Bassler</v>
      </c>
      <c r="T569" s="123" t="str">
        <f ca="1">IFERROR(__xludf.DUMMYFUNCTION("""COMPUTED_VALUE"""),"Lucas Vida")</f>
        <v>Lucas Vida</v>
      </c>
    </row>
    <row r="570" spans="1:20" ht="13.8">
      <c r="A570" s="118" t="str">
        <f ca="1">IFERROR(__xludf.DUMMYFUNCTION("""COMPUTED_VALUE"""),"F")</f>
        <v>F</v>
      </c>
      <c r="B570" s="119" t="str">
        <f ca="1">IFERROR(__xludf.DUMMYFUNCTION("""COMPUTED_VALUE"""),"Greer Dempster")</f>
        <v>Greer Dempster</v>
      </c>
      <c r="C570" s="118">
        <f ca="1">IFERROR(__xludf.DUMMYFUNCTION("""COMPUTED_VALUE"""),18)</f>
        <v>18</v>
      </c>
      <c r="D570" s="118" t="str">
        <f ca="1">IFERROR(__xludf.DUMMYFUNCTION("""COMPUTED_VALUE"""),"G")</f>
        <v>G</v>
      </c>
      <c r="E570" s="118" t="str">
        <f ca="1">IFERROR(__xludf.DUMMYFUNCTION("""COMPUTED_VALUE"""),"S")</f>
        <v>S</v>
      </c>
      <c r="F570" s="118" t="str">
        <f ca="1">IFERROR(__xludf.DUMMYFUNCTION("""COMPUTED_VALUE"""),"S")</f>
        <v>S</v>
      </c>
      <c r="G570" s="118">
        <f ca="1">IFERROR(__xludf.DUMMYFUNCTION("""COMPUTED_VALUE"""),1)</f>
        <v>1</v>
      </c>
      <c r="H570" s="118" t="str">
        <f ca="1">IFERROR(__xludf.DUMMYFUNCTION("""COMPUTED_VALUE"""),"F")</f>
        <v>F</v>
      </c>
      <c r="I570" s="118">
        <f ca="1">IFERROR(__xludf.DUMMYFUNCTION("""COMPUTED_VALUE"""),10)</f>
        <v>10</v>
      </c>
      <c r="J570" s="118">
        <f ca="1">IFERROR(__xludf.DUMMYFUNCTION("""COMPUTED_VALUE"""),3)</f>
        <v>3</v>
      </c>
      <c r="K570" s="120">
        <f ca="1">IFERROR(__xludf.DUMMYFUNCTION("""COMPUTED_VALUE"""),183.25)</f>
        <v>183.25</v>
      </c>
      <c r="L570" s="121"/>
      <c r="M570" s="120"/>
      <c r="N570" s="121"/>
      <c r="O570" s="120">
        <f ca="1">IFERROR(__xludf.DUMMYFUNCTION("""COMPUTED_VALUE"""),181.9)</f>
        <v>181.9</v>
      </c>
      <c r="P570" s="122"/>
      <c r="Q570" s="123" t="str">
        <f ca="1">IFERROR(__xludf.DUMMYFUNCTION("""COMPUTED_VALUE"""),"Leila Hessell")</f>
        <v>Leila Hessell</v>
      </c>
      <c r="R570" s="123" t="str">
        <f ca="1">IFERROR(__xludf.DUMMYFUNCTION("""COMPUTED_VALUE"""),"Sam Signer")</f>
        <v>Sam Signer</v>
      </c>
      <c r="S570" s="123" t="str">
        <f ca="1">IFERROR(__xludf.DUMMYFUNCTION("""COMPUTED_VALUE"""),"Harper Easley")</f>
        <v>Harper Easley</v>
      </c>
      <c r="T570" s="123" t="str">
        <f ca="1">IFERROR(__xludf.DUMMYFUNCTION("""COMPUTED_VALUE"""),"Luis Peter Fernandez")</f>
        <v>Luis Peter Fernandez</v>
      </c>
    </row>
    <row r="571" spans="1:20" ht="13.8">
      <c r="A571" s="118" t="str">
        <f ca="1">IFERROR(__xludf.DUMMYFUNCTION("""COMPUTED_VALUE"""),"F")</f>
        <v>F</v>
      </c>
      <c r="B571" s="119" t="str">
        <f ca="1">IFERROR(__xludf.DUMMYFUNCTION("""COMPUTED_VALUE"""),"Helena Perosa")</f>
        <v>Helena Perosa</v>
      </c>
      <c r="C571" s="118">
        <f ca="1">IFERROR(__xludf.DUMMYFUNCTION("""COMPUTED_VALUE"""),15)</f>
        <v>15</v>
      </c>
      <c r="D571" s="118" t="str">
        <f ca="1">IFERROR(__xludf.DUMMYFUNCTION("""COMPUTED_VALUE"""),"G")</f>
        <v>G</v>
      </c>
      <c r="E571" s="118" t="str">
        <f ca="1">IFERROR(__xludf.DUMMYFUNCTION("""COMPUTED_VALUE"""),"S")</f>
        <v>S</v>
      </c>
      <c r="F571" s="118" t="str">
        <f ca="1">IFERROR(__xludf.DUMMYFUNCTION("""COMPUTED_VALUE"""),"S")</f>
        <v>S</v>
      </c>
      <c r="G571" s="118">
        <f ca="1">IFERROR(__xludf.DUMMYFUNCTION("""COMPUTED_VALUE"""),1)</f>
        <v>1</v>
      </c>
      <c r="H571" s="118" t="str">
        <f ca="1">IFERROR(__xludf.DUMMYFUNCTION("""COMPUTED_VALUE"""),"F")</f>
        <v>F</v>
      </c>
      <c r="I571" s="118">
        <f ca="1">IFERROR(__xludf.DUMMYFUNCTION("""COMPUTED_VALUE"""),10)</f>
        <v>10</v>
      </c>
      <c r="J571" s="118">
        <f ca="1">IFERROR(__xludf.DUMMYFUNCTION("""COMPUTED_VALUE"""),0)</f>
        <v>0</v>
      </c>
      <c r="K571" s="120"/>
      <c r="L571" s="121"/>
      <c r="M571" s="120"/>
      <c r="N571" s="121"/>
      <c r="O571" s="120"/>
      <c r="P571" s="122"/>
      <c r="Q571" s="123" t="str">
        <f ca="1">IFERROR(__xludf.DUMMYFUNCTION("""COMPUTED_VALUE"""),"Leila Iqbal")</f>
        <v>Leila Iqbal</v>
      </c>
      <c r="R571" s="123" t="str">
        <f ca="1">IFERROR(__xludf.DUMMYFUNCTION("""COMPUTED_VALUE"""),"Sam Stankus")</f>
        <v>Sam Stankus</v>
      </c>
      <c r="S571" s="123" t="str">
        <f ca="1">IFERROR(__xludf.DUMMYFUNCTION("""COMPUTED_VALUE"""),"Harper Fried")</f>
        <v>Harper Fried</v>
      </c>
      <c r="T571" s="123" t="str">
        <f ca="1">IFERROR(__xludf.DUMMYFUNCTION("""COMPUTED_VALUE"""),"Luka Dodd")</f>
        <v>Luka Dodd</v>
      </c>
    </row>
    <row r="572" spans="1:20" ht="13.8">
      <c r="A572" s="118" t="str">
        <f ca="1">IFERROR(__xludf.DUMMYFUNCTION("""COMPUTED_VALUE"""),"F")</f>
        <v>F</v>
      </c>
      <c r="B572" s="119" t="str">
        <f ca="1">IFERROR(__xludf.DUMMYFUNCTION("""COMPUTED_VALUE"""),"Jennifer Schneider")</f>
        <v>Jennifer Schneider</v>
      </c>
      <c r="C572" s="118">
        <f ca="1">IFERROR(__xludf.DUMMYFUNCTION("""COMPUTED_VALUE"""),17)</f>
        <v>17</v>
      </c>
      <c r="D572" s="118" t="str">
        <f ca="1">IFERROR(__xludf.DUMMYFUNCTION("""COMPUTED_VALUE"""),"G")</f>
        <v>G</v>
      </c>
      <c r="E572" s="118" t="str">
        <f ca="1">IFERROR(__xludf.DUMMYFUNCTION("""COMPUTED_VALUE"""),"S")</f>
        <v>S</v>
      </c>
      <c r="F572" s="118" t="str">
        <f ca="1">IFERROR(__xludf.DUMMYFUNCTION("""COMPUTED_VALUE"""),"S")</f>
        <v>S</v>
      </c>
      <c r="G572" s="118">
        <f ca="1">IFERROR(__xludf.DUMMYFUNCTION("""COMPUTED_VALUE"""),1)</f>
        <v>1</v>
      </c>
      <c r="H572" s="118" t="str">
        <f ca="1">IFERROR(__xludf.DUMMYFUNCTION("""COMPUTED_VALUE"""),"F")</f>
        <v>F</v>
      </c>
      <c r="I572" s="118">
        <f ca="1">IFERROR(__xludf.DUMMYFUNCTION("""COMPUTED_VALUE"""),10)</f>
        <v>10</v>
      </c>
      <c r="J572" s="118">
        <f ca="1">IFERROR(__xludf.DUMMYFUNCTION("""COMPUTED_VALUE"""),0)</f>
        <v>0</v>
      </c>
      <c r="K572" s="120"/>
      <c r="L572" s="121"/>
      <c r="M572" s="120"/>
      <c r="N572" s="121"/>
      <c r="O572" s="120"/>
      <c r="P572" s="122"/>
      <c r="Q572" s="123" t="str">
        <f ca="1">IFERROR(__xludf.DUMMYFUNCTION("""COMPUTED_VALUE"""),"Leila Suqi")</f>
        <v>Leila Suqi</v>
      </c>
      <c r="R572" s="123" t="str">
        <f ca="1">IFERROR(__xludf.DUMMYFUNCTION("""COMPUTED_VALUE"""),"Sam Thoman")</f>
        <v>Sam Thoman</v>
      </c>
      <c r="S572" s="123" t="str">
        <f ca="1">IFERROR(__xludf.DUMMYFUNCTION("""COMPUTED_VALUE"""),"Harper Lichte")</f>
        <v>Harper Lichte</v>
      </c>
      <c r="T572" s="123" t="str">
        <f ca="1">IFERROR(__xludf.DUMMYFUNCTION("""COMPUTED_VALUE"""),"Luke Bergeron")</f>
        <v>Luke Bergeron</v>
      </c>
    </row>
    <row r="573" spans="1:20" ht="13.8">
      <c r="A573" s="118" t="str">
        <f ca="1">IFERROR(__xludf.DUMMYFUNCTION("""COMPUTED_VALUE"""),"F")</f>
        <v>F</v>
      </c>
      <c r="B573" s="119" t="str">
        <f ca="1">IFERROR(__xludf.DUMMYFUNCTION("""COMPUTED_VALUE"""),"Lexi Haynie")</f>
        <v>Lexi Haynie</v>
      </c>
      <c r="C573" s="118">
        <f ca="1">IFERROR(__xludf.DUMMYFUNCTION("""COMPUTED_VALUE"""),17)</f>
        <v>17</v>
      </c>
      <c r="D573" s="118" t="str">
        <f ca="1">IFERROR(__xludf.DUMMYFUNCTION("""COMPUTED_VALUE"""),"G")</f>
        <v>G</v>
      </c>
      <c r="E573" s="118" t="str">
        <f ca="1">IFERROR(__xludf.DUMMYFUNCTION("""COMPUTED_VALUE"""),"S")</f>
        <v>S</v>
      </c>
      <c r="F573" s="118" t="str">
        <f ca="1">IFERROR(__xludf.DUMMYFUNCTION("""COMPUTED_VALUE"""),"S")</f>
        <v>S</v>
      </c>
      <c r="G573" s="118">
        <f ca="1">IFERROR(__xludf.DUMMYFUNCTION("""COMPUTED_VALUE"""),1)</f>
        <v>1</v>
      </c>
      <c r="H573" s="118" t="str">
        <f ca="1">IFERROR(__xludf.DUMMYFUNCTION("""COMPUTED_VALUE"""),"F")</f>
        <v>F</v>
      </c>
      <c r="I573" s="118">
        <f ca="1">IFERROR(__xludf.DUMMYFUNCTION("""COMPUTED_VALUE"""),10)</f>
        <v>10</v>
      </c>
      <c r="J573" s="118">
        <f ca="1">IFERROR(__xludf.DUMMYFUNCTION("""COMPUTED_VALUE"""),3)</f>
        <v>3</v>
      </c>
      <c r="K573" s="120">
        <f ca="1">IFERROR(__xludf.DUMMYFUNCTION("""COMPUTED_VALUE"""),158.15)</f>
        <v>158.15</v>
      </c>
      <c r="L573" s="121"/>
      <c r="M573" s="120"/>
      <c r="N573" s="121"/>
      <c r="O573" s="120"/>
      <c r="P573" s="122"/>
      <c r="Q573" s="123" t="str">
        <f ca="1">IFERROR(__xludf.DUMMYFUNCTION("""COMPUTED_VALUE"""),"Leila White")</f>
        <v>Leila White</v>
      </c>
      <c r="R573" s="123" t="str">
        <f ca="1">IFERROR(__xludf.DUMMYFUNCTION("""COMPUTED_VALUE"""),"Sami Ramon")</f>
        <v>Sami Ramon</v>
      </c>
      <c r="S573" s="123" t="str">
        <f ca="1">IFERROR(__xludf.DUMMYFUNCTION("""COMPUTED_VALUE"""),"Harper Pham")</f>
        <v>Harper Pham</v>
      </c>
      <c r="T573" s="123" t="str">
        <f ca="1">IFERROR(__xludf.DUMMYFUNCTION("""COMPUTED_VALUE"""),"Luke Bracken")</f>
        <v>Luke Bracken</v>
      </c>
    </row>
    <row r="574" spans="1:20" ht="13.8">
      <c r="A574" s="118" t="str">
        <f ca="1">IFERROR(__xludf.DUMMYFUNCTION("""COMPUTED_VALUE"""),"F")</f>
        <v>F</v>
      </c>
      <c r="B574" s="119" t="str">
        <f ca="1">IFERROR(__xludf.DUMMYFUNCTION("""COMPUTED_VALUE"""),"Lyla Devlin")</f>
        <v>Lyla Devlin</v>
      </c>
      <c r="C574" s="118">
        <f ca="1">IFERROR(__xludf.DUMMYFUNCTION("""COMPUTED_VALUE"""),15)</f>
        <v>15</v>
      </c>
      <c r="D574" s="118" t="str">
        <f ca="1">IFERROR(__xludf.DUMMYFUNCTION("""COMPUTED_VALUE"""),"G")</f>
        <v>G</v>
      </c>
      <c r="E574" s="118" t="str">
        <f ca="1">IFERROR(__xludf.DUMMYFUNCTION("""COMPUTED_VALUE"""),"S")</f>
        <v>S</v>
      </c>
      <c r="F574" s="118" t="str">
        <f ca="1">IFERROR(__xludf.DUMMYFUNCTION("""COMPUTED_VALUE"""),"S")</f>
        <v>S</v>
      </c>
      <c r="G574" s="118">
        <f ca="1">IFERROR(__xludf.DUMMYFUNCTION("""COMPUTED_VALUE"""),1)</f>
        <v>1</v>
      </c>
      <c r="H574" s="118" t="str">
        <f ca="1">IFERROR(__xludf.DUMMYFUNCTION("""COMPUTED_VALUE"""),"F")</f>
        <v>F</v>
      </c>
      <c r="I574" s="118">
        <f ca="1">IFERROR(__xludf.DUMMYFUNCTION("""COMPUTED_VALUE"""),10)</f>
        <v>10</v>
      </c>
      <c r="J574" s="118">
        <f ca="1">IFERROR(__xludf.DUMMYFUNCTION("""COMPUTED_VALUE"""),3)</f>
        <v>3</v>
      </c>
      <c r="K574" s="120">
        <f ca="1">IFERROR(__xludf.DUMMYFUNCTION("""COMPUTED_VALUE"""),151.85)</f>
        <v>151.85</v>
      </c>
      <c r="L574" s="121"/>
      <c r="M574" s="120">
        <f ca="1">IFERROR(__xludf.DUMMYFUNCTION("""COMPUTED_VALUE"""),151.85)</f>
        <v>151.85</v>
      </c>
      <c r="N574" s="121"/>
      <c r="O574" s="120">
        <f ca="1">IFERROR(__xludf.DUMMYFUNCTION("""COMPUTED_VALUE"""),144.5)</f>
        <v>144.5</v>
      </c>
      <c r="P574" s="122"/>
      <c r="Q574" s="123" t="str">
        <f ca="1">IFERROR(__xludf.DUMMYFUNCTION("""COMPUTED_VALUE"""),"Lelia Dodd")</f>
        <v>Lelia Dodd</v>
      </c>
      <c r="R574" s="123" t="str">
        <f ca="1">IFERROR(__xludf.DUMMYFUNCTION("""COMPUTED_VALUE"""),"Samuel Gonzales")</f>
        <v>Samuel Gonzales</v>
      </c>
      <c r="S574" s="123" t="str">
        <f ca="1">IFERROR(__xludf.DUMMYFUNCTION("""COMPUTED_VALUE"""),"Harper Vida")</f>
        <v>Harper Vida</v>
      </c>
      <c r="T574" s="123" t="str">
        <f ca="1">IFERROR(__xludf.DUMMYFUNCTION("""COMPUTED_VALUE"""),"Luke Brannan")</f>
        <v>Luke Brannan</v>
      </c>
    </row>
    <row r="575" spans="1:20" ht="13.8">
      <c r="A575" s="118" t="str">
        <f ca="1">IFERROR(__xludf.DUMMYFUNCTION("""COMPUTED_VALUE"""),"F")</f>
        <v>F</v>
      </c>
      <c r="B575" s="119" t="str">
        <f ca="1">IFERROR(__xludf.DUMMYFUNCTION("""COMPUTED_VALUE"""),"Madeleine Devlin")</f>
        <v>Madeleine Devlin</v>
      </c>
      <c r="C575" s="118">
        <f ca="1">IFERROR(__xludf.DUMMYFUNCTION("""COMPUTED_VALUE"""),17)</f>
        <v>17</v>
      </c>
      <c r="D575" s="118" t="str">
        <f ca="1">IFERROR(__xludf.DUMMYFUNCTION("""COMPUTED_VALUE"""),"G")</f>
        <v>G</v>
      </c>
      <c r="E575" s="118" t="str">
        <f ca="1">IFERROR(__xludf.DUMMYFUNCTION("""COMPUTED_VALUE"""),"S")</f>
        <v>S</v>
      </c>
      <c r="F575" s="118" t="str">
        <f ca="1">IFERROR(__xludf.DUMMYFUNCTION("""COMPUTED_VALUE"""),"S")</f>
        <v>S</v>
      </c>
      <c r="G575" s="118">
        <f ca="1">IFERROR(__xludf.DUMMYFUNCTION("""COMPUTED_VALUE"""),1)</f>
        <v>1</v>
      </c>
      <c r="H575" s="118" t="str">
        <f ca="1">IFERROR(__xludf.DUMMYFUNCTION("""COMPUTED_VALUE"""),"F")</f>
        <v>F</v>
      </c>
      <c r="I575" s="118">
        <f ca="1">IFERROR(__xludf.DUMMYFUNCTION("""COMPUTED_VALUE"""),10)</f>
        <v>10</v>
      </c>
      <c r="J575" s="118">
        <f ca="1">IFERROR(__xludf.DUMMYFUNCTION("""COMPUTED_VALUE"""),4)</f>
        <v>4</v>
      </c>
      <c r="K575" s="120">
        <f ca="1">IFERROR(__xludf.DUMMYFUNCTION("""COMPUTED_VALUE"""),135.65)</f>
        <v>135.65</v>
      </c>
      <c r="L575" s="121"/>
      <c r="M575" s="120">
        <f ca="1">IFERROR(__xludf.DUMMYFUNCTION("""COMPUTED_VALUE"""),135.65)</f>
        <v>135.65</v>
      </c>
      <c r="N575" s="121"/>
      <c r="O575" s="120">
        <f ca="1">IFERROR(__xludf.DUMMYFUNCTION("""COMPUTED_VALUE"""),130.3)</f>
        <v>130.30000000000001</v>
      </c>
      <c r="P575" s="122"/>
      <c r="Q575" s="123" t="str">
        <f ca="1">IFERROR(__xludf.DUMMYFUNCTION("""COMPUTED_VALUE"""),"Lexi Cook")</f>
        <v>Lexi Cook</v>
      </c>
      <c r="R575" s="123" t="str">
        <f ca="1">IFERROR(__xludf.DUMMYFUNCTION("""COMPUTED_VALUE"""),"Samuel Kim")</f>
        <v>Samuel Kim</v>
      </c>
      <c r="S575" s="123" t="str">
        <f ca="1">IFERROR(__xludf.DUMMYFUNCTION("""COMPUTED_VALUE"""),"Harper Wilder")</f>
        <v>Harper Wilder</v>
      </c>
      <c r="T575" s="123" t="str">
        <f ca="1">IFERROR(__xludf.DUMMYFUNCTION("""COMPUTED_VALUE"""),"Luke Goodson")</f>
        <v>Luke Goodson</v>
      </c>
    </row>
    <row r="576" spans="1:20" ht="13.8">
      <c r="A576" s="118" t="str">
        <f ca="1">IFERROR(__xludf.DUMMYFUNCTION("""COMPUTED_VALUE"""),"F")</f>
        <v>F</v>
      </c>
      <c r="B576" s="119" t="str">
        <f ca="1">IFERROR(__xludf.DUMMYFUNCTION("""COMPUTED_VALUE"""),"Olivia Roca")</f>
        <v>Olivia Roca</v>
      </c>
      <c r="C576" s="118">
        <f ca="1">IFERROR(__xludf.DUMMYFUNCTION("""COMPUTED_VALUE"""),15)</f>
        <v>15</v>
      </c>
      <c r="D576" s="118" t="str">
        <f ca="1">IFERROR(__xludf.DUMMYFUNCTION("""COMPUTED_VALUE"""),"G")</f>
        <v>G</v>
      </c>
      <c r="E576" s="118" t="str">
        <f ca="1">IFERROR(__xludf.DUMMYFUNCTION("""COMPUTED_VALUE"""),"S")</f>
        <v>S</v>
      </c>
      <c r="F576" s="118" t="str">
        <f ca="1">IFERROR(__xludf.DUMMYFUNCTION("""COMPUTED_VALUE"""),"S")</f>
        <v>S</v>
      </c>
      <c r="G576" s="118">
        <f ca="1">IFERROR(__xludf.DUMMYFUNCTION("""COMPUTED_VALUE"""),1)</f>
        <v>1</v>
      </c>
      <c r="H576" s="118" t="str">
        <f ca="1">IFERROR(__xludf.DUMMYFUNCTION("""COMPUTED_VALUE"""),"F")</f>
        <v>F</v>
      </c>
      <c r="I576" s="118">
        <f ca="1">IFERROR(__xludf.DUMMYFUNCTION("""COMPUTED_VALUE"""),10)</f>
        <v>10</v>
      </c>
      <c r="J576" s="118">
        <f ca="1">IFERROR(__xludf.DUMMYFUNCTION("""COMPUTED_VALUE"""),5)</f>
        <v>5</v>
      </c>
      <c r="K576" s="120">
        <f ca="1">IFERROR(__xludf.DUMMYFUNCTION("""COMPUTED_VALUE"""),206.35)</f>
        <v>206.35</v>
      </c>
      <c r="L576" s="121"/>
      <c r="M576" s="120">
        <f ca="1">IFERROR(__xludf.DUMMYFUNCTION("""COMPUTED_VALUE"""),206.35)</f>
        <v>206.35</v>
      </c>
      <c r="N576" s="121"/>
      <c r="O576" s="120">
        <f ca="1">IFERROR(__xludf.DUMMYFUNCTION("""COMPUTED_VALUE"""),172.65)</f>
        <v>172.65</v>
      </c>
      <c r="P576" s="122"/>
      <c r="Q576" s="123" t="str">
        <f ca="1">IFERROR(__xludf.DUMMYFUNCTION("""COMPUTED_VALUE"""),"Lexi Fowler")</f>
        <v>Lexi Fowler</v>
      </c>
      <c r="R576" s="123" t="str">
        <f ca="1">IFERROR(__xludf.DUMMYFUNCTION("""COMPUTED_VALUE"""),"Samuel Rempe")</f>
        <v>Samuel Rempe</v>
      </c>
      <c r="S576" s="123" t="str">
        <f ca="1">IFERROR(__xludf.DUMMYFUNCTION("""COMPUTED_VALUE"""),"Hattie Flores")</f>
        <v>Hattie Flores</v>
      </c>
      <c r="T576" s="123" t="str">
        <f ca="1">IFERROR(__xludf.DUMMYFUNCTION("""COMPUTED_VALUE"""),"Luke Havasy")</f>
        <v>Luke Havasy</v>
      </c>
    </row>
    <row r="577" spans="1:20" ht="13.8">
      <c r="A577" s="118" t="str">
        <f ca="1">IFERROR(__xludf.DUMMYFUNCTION("""COMPUTED_VALUE"""),"F")</f>
        <v>F</v>
      </c>
      <c r="B577" s="119" t="str">
        <f ca="1">IFERROR(__xludf.DUMMYFUNCTION("""COMPUTED_VALUE"""),"Charlie Colwill")</f>
        <v>Charlie Colwill</v>
      </c>
      <c r="C577" s="118">
        <f ca="1">IFERROR(__xludf.DUMMYFUNCTION("""COMPUTED_VALUE"""),16)</f>
        <v>16</v>
      </c>
      <c r="D577" s="118" t="str">
        <f ca="1">IFERROR(__xludf.DUMMYFUNCTION("""COMPUTED_VALUE"""),"B")</f>
        <v>B</v>
      </c>
      <c r="E577" s="118" t="str">
        <f ca="1">IFERROR(__xludf.DUMMYFUNCTION("""COMPUTED_VALUE"""),"S")</f>
        <v>S</v>
      </c>
      <c r="F577" s="118" t="str">
        <f ca="1">IFERROR(__xludf.DUMMYFUNCTION("""COMPUTED_VALUE"""),"S")</f>
        <v>S</v>
      </c>
      <c r="G577" s="118">
        <f ca="1">IFERROR(__xludf.DUMMYFUNCTION("""COMPUTED_VALUE"""),1)</f>
        <v>1</v>
      </c>
      <c r="H577" s="118" t="str">
        <f ca="1">IFERROR(__xludf.DUMMYFUNCTION("""COMPUTED_VALUE"""),"F")</f>
        <v>F</v>
      </c>
      <c r="I577" s="118">
        <f ca="1">IFERROR(__xludf.DUMMYFUNCTION("""COMPUTED_VALUE"""),11)</f>
        <v>11</v>
      </c>
      <c r="J577" s="118">
        <f ca="1">IFERROR(__xludf.DUMMYFUNCTION("""COMPUTED_VALUE"""),2)</f>
        <v>2</v>
      </c>
      <c r="K577" s="120">
        <f ca="1">IFERROR(__xludf.DUMMYFUNCTION("""COMPUTED_VALUE"""),113.75)</f>
        <v>113.75</v>
      </c>
      <c r="L577" s="121"/>
      <c r="M577" s="120">
        <f ca="1">IFERROR(__xludf.DUMMYFUNCTION("""COMPUTED_VALUE"""),113.75)</f>
        <v>113.75</v>
      </c>
      <c r="N577" s="121"/>
      <c r="O577" s="120"/>
      <c r="P577" s="122"/>
      <c r="Q577" s="123" t="str">
        <f ca="1">IFERROR(__xludf.DUMMYFUNCTION("""COMPUTED_VALUE"""),"Lexi Smith")</f>
        <v>Lexi Smith</v>
      </c>
      <c r="R577" s="123" t="str">
        <f ca="1">IFERROR(__xludf.DUMMYFUNCTION("""COMPUTED_VALUE"""),"Samyar Khodabandeh")</f>
        <v>Samyar Khodabandeh</v>
      </c>
      <c r="S577" s="123" t="str">
        <f ca="1">IFERROR(__xludf.DUMMYFUNCTION("""COMPUTED_VALUE"""),"Hayden Carry")</f>
        <v>Hayden Carry</v>
      </c>
      <c r="T577" s="123" t="str">
        <f ca="1">IFERROR(__xludf.DUMMYFUNCTION("""COMPUTED_VALUE"""),"Luke Houghton")</f>
        <v>Luke Houghton</v>
      </c>
    </row>
    <row r="578" spans="1:20" ht="13.8">
      <c r="A578" s="118" t="str">
        <f ca="1">IFERROR(__xludf.DUMMYFUNCTION("""COMPUTED_VALUE"""),"F")</f>
        <v>F</v>
      </c>
      <c r="B578" s="119" t="str">
        <f ca="1">IFERROR(__xludf.DUMMYFUNCTION("""COMPUTED_VALUE"""),"Cody Schneider")</f>
        <v>Cody Schneider</v>
      </c>
      <c r="C578" s="118">
        <f ca="1">IFERROR(__xludf.DUMMYFUNCTION("""COMPUTED_VALUE"""),16)</f>
        <v>16</v>
      </c>
      <c r="D578" s="118" t="str">
        <f ca="1">IFERROR(__xludf.DUMMYFUNCTION("""COMPUTED_VALUE"""),"B")</f>
        <v>B</v>
      </c>
      <c r="E578" s="118" t="str">
        <f ca="1">IFERROR(__xludf.DUMMYFUNCTION("""COMPUTED_VALUE"""),"S")</f>
        <v>S</v>
      </c>
      <c r="F578" s="118" t="str">
        <f ca="1">IFERROR(__xludf.DUMMYFUNCTION("""COMPUTED_VALUE"""),"S")</f>
        <v>S</v>
      </c>
      <c r="G578" s="118">
        <f ca="1">IFERROR(__xludf.DUMMYFUNCTION("""COMPUTED_VALUE"""),1)</f>
        <v>1</v>
      </c>
      <c r="H578" s="118" t="str">
        <f ca="1">IFERROR(__xludf.DUMMYFUNCTION("""COMPUTED_VALUE"""),"F")</f>
        <v>F</v>
      </c>
      <c r="I578" s="118">
        <f ca="1">IFERROR(__xludf.DUMMYFUNCTION("""COMPUTED_VALUE"""),11)</f>
        <v>11</v>
      </c>
      <c r="J578" s="118">
        <f ca="1">IFERROR(__xludf.DUMMYFUNCTION("""COMPUTED_VALUE"""),5)</f>
        <v>5</v>
      </c>
      <c r="K578" s="120">
        <f ca="1">IFERROR(__xludf.DUMMYFUNCTION("""COMPUTED_VALUE"""),219.6)</f>
        <v>219.6</v>
      </c>
      <c r="L578" s="121"/>
      <c r="M578" s="120">
        <f ca="1">IFERROR(__xludf.DUMMYFUNCTION("""COMPUTED_VALUE"""),212.1)</f>
        <v>212.1</v>
      </c>
      <c r="N578" s="121"/>
      <c r="O578" s="120">
        <f ca="1">IFERROR(__xludf.DUMMYFUNCTION("""COMPUTED_VALUE"""),206.9)</f>
        <v>206.9</v>
      </c>
      <c r="P578" s="122"/>
      <c r="Q578" s="123" t="str">
        <f ca="1">IFERROR(__xludf.DUMMYFUNCTION("""COMPUTED_VALUE"""),"Lia McFayden")</f>
        <v>Lia McFayden</v>
      </c>
      <c r="R578" s="123" t="str">
        <f ca="1">IFERROR(__xludf.DUMMYFUNCTION("""COMPUTED_VALUE"""),"Santiago Fredes")</f>
        <v>Santiago Fredes</v>
      </c>
      <c r="S578" s="123" t="str">
        <f ca="1">IFERROR(__xludf.DUMMYFUNCTION("""COMPUTED_VALUE"""),"Hayden Shelton")</f>
        <v>Hayden Shelton</v>
      </c>
      <c r="T578" s="123" t="str">
        <f ca="1">IFERROR(__xludf.DUMMYFUNCTION("""COMPUTED_VALUE"""),"Luke Joyner")</f>
        <v>Luke Joyner</v>
      </c>
    </row>
    <row r="579" spans="1:20" ht="13.8">
      <c r="A579" s="118" t="str">
        <f ca="1">IFERROR(__xludf.DUMMYFUNCTION("""COMPUTED_VALUE"""),"F")</f>
        <v>F</v>
      </c>
      <c r="B579" s="119" t="str">
        <f ca="1">IFERROR(__xludf.DUMMYFUNCTION("""COMPUTED_VALUE"""),"Sawyer Andrews")</f>
        <v>Sawyer Andrews</v>
      </c>
      <c r="C579" s="118">
        <f ca="1">IFERROR(__xludf.DUMMYFUNCTION("""COMPUTED_VALUE"""),16)</f>
        <v>16</v>
      </c>
      <c r="D579" s="118" t="str">
        <f ca="1">IFERROR(__xludf.DUMMYFUNCTION("""COMPUTED_VALUE"""),"B")</f>
        <v>B</v>
      </c>
      <c r="E579" s="118" t="str">
        <f ca="1">IFERROR(__xludf.DUMMYFUNCTION("""COMPUTED_VALUE"""),"S")</f>
        <v>S</v>
      </c>
      <c r="F579" s="118" t="str">
        <f ca="1">IFERROR(__xludf.DUMMYFUNCTION("""COMPUTED_VALUE"""),"S")</f>
        <v>S</v>
      </c>
      <c r="G579" s="118">
        <f ca="1">IFERROR(__xludf.DUMMYFUNCTION("""COMPUTED_VALUE"""),1)</f>
        <v>1</v>
      </c>
      <c r="H579" s="118" t="str">
        <f ca="1">IFERROR(__xludf.DUMMYFUNCTION("""COMPUTED_VALUE"""),"F")</f>
        <v>F</v>
      </c>
      <c r="I579" s="118">
        <f ca="1">IFERROR(__xludf.DUMMYFUNCTION("""COMPUTED_VALUE"""),11)</f>
        <v>11</v>
      </c>
      <c r="J579" s="118">
        <f ca="1">IFERROR(__xludf.DUMMYFUNCTION("""COMPUTED_VALUE"""),5)</f>
        <v>5</v>
      </c>
      <c r="K579" s="120">
        <f ca="1">IFERROR(__xludf.DUMMYFUNCTION("""COMPUTED_VALUE"""),204.7)</f>
        <v>204.7</v>
      </c>
      <c r="L579" s="121"/>
      <c r="M579" s="120">
        <f ca="1">IFERROR(__xludf.DUMMYFUNCTION("""COMPUTED_VALUE"""),204.7)</f>
        <v>204.7</v>
      </c>
      <c r="N579" s="121"/>
      <c r="O579" s="120">
        <f ca="1">IFERROR(__xludf.DUMMYFUNCTION("""COMPUTED_VALUE"""),176.1)</f>
        <v>176.1</v>
      </c>
      <c r="P579" s="122"/>
      <c r="Q579" s="123" t="str">
        <f ca="1">IFERROR(__xludf.DUMMYFUNCTION("""COMPUTED_VALUE"""),"Liani Kopek")</f>
        <v>Liani Kopek</v>
      </c>
      <c r="R579" s="123" t="str">
        <f ca="1">IFERROR(__xludf.DUMMYFUNCTION("""COMPUTED_VALUE"""),"Santiago Perez")</f>
        <v>Santiago Perez</v>
      </c>
      <c r="S579" s="123" t="str">
        <f ca="1">IFERROR(__xludf.DUMMYFUNCTION("""COMPUTED_VALUE"""),"Hayes Hohmann")</f>
        <v>Hayes Hohmann</v>
      </c>
      <c r="T579" s="123" t="str">
        <f ca="1">IFERROR(__xludf.DUMMYFUNCTION("""COMPUTED_VALUE"""),"Luke Kieffer")</f>
        <v>Luke Kieffer</v>
      </c>
    </row>
    <row r="580" spans="1:20" ht="13.8">
      <c r="A580" s="118" t="str">
        <f ca="1">IFERROR(__xludf.DUMMYFUNCTION("""COMPUTED_VALUE"""),"FS")</f>
        <v>FS</v>
      </c>
      <c r="B580" s="119" t="str">
        <f ca="1">IFERROR(__xludf.DUMMYFUNCTION("""COMPUTED_VALUE"""),"Aliyah Benmbarek")</f>
        <v>Aliyah Benmbarek</v>
      </c>
      <c r="C580" s="118">
        <f ca="1">IFERROR(__xludf.DUMMYFUNCTION("""COMPUTED_VALUE"""),7)</f>
        <v>7</v>
      </c>
      <c r="D580" s="118" t="str">
        <f ca="1">IFERROR(__xludf.DUMMYFUNCTION("""COMPUTED_VALUE"""),"G")</f>
        <v>G</v>
      </c>
      <c r="E580" s="118" t="str">
        <f ca="1">IFERROR(__xludf.DUMMYFUNCTION("""COMPUTED_VALUE"""),"F")</f>
        <v>F</v>
      </c>
      <c r="F580" s="118" t="str">
        <f ca="1">IFERROR(__xludf.DUMMYFUNCTION("""COMPUTED_VALUE"""),"J")</f>
        <v>J</v>
      </c>
      <c r="G580" s="118">
        <f ca="1">IFERROR(__xludf.DUMMYFUNCTION("""COMPUTED_VALUE"""),3)</f>
        <v>3</v>
      </c>
      <c r="H580" s="118" t="str">
        <f ca="1">IFERROR(__xludf.DUMMYFUNCTION("""COMPUTED_VALUE"""),"FS")</f>
        <v>FS</v>
      </c>
      <c r="I580" s="118">
        <f ca="1">IFERROR(__xludf.DUMMYFUNCTION("""COMPUTED_VALUE"""),4)</f>
        <v>4</v>
      </c>
      <c r="J580" s="118">
        <f ca="1">IFERROR(__xludf.DUMMYFUNCTION("""COMPUTED_VALUE"""),3)</f>
        <v>3</v>
      </c>
      <c r="K580" s="120">
        <f ca="1">IFERROR(__xludf.DUMMYFUNCTION("""COMPUTED_VALUE"""),41.8)</f>
        <v>41.8</v>
      </c>
      <c r="L580" s="121"/>
      <c r="M580" s="120"/>
      <c r="N580" s="121"/>
      <c r="O580" s="120">
        <f ca="1">IFERROR(__xludf.DUMMYFUNCTION("""COMPUTED_VALUE"""),41.8)</f>
        <v>41.8</v>
      </c>
      <c r="P580" s="122"/>
      <c r="Q580" s="123" t="str">
        <f ca="1">IFERROR(__xludf.DUMMYFUNCTION("""COMPUTED_VALUE"""),"Libby Collins")</f>
        <v>Libby Collins</v>
      </c>
      <c r="R580" s="123" t="str">
        <f ca="1">IFERROR(__xludf.DUMMYFUNCTION("""COMPUTED_VALUE"""),"Sasha Gilstrap")</f>
        <v>Sasha Gilstrap</v>
      </c>
      <c r="S580" s="123" t="str">
        <f ca="1">IFERROR(__xludf.DUMMYFUNCTION("""COMPUTED_VALUE"""),"Hazel Flynn")</f>
        <v>Hazel Flynn</v>
      </c>
      <c r="T580" s="123" t="str">
        <f ca="1">IFERROR(__xludf.DUMMYFUNCTION("""COMPUTED_VALUE"""),"Luke Lauretti")</f>
        <v>Luke Lauretti</v>
      </c>
    </row>
    <row r="581" spans="1:20" ht="13.8">
      <c r="A581" s="118" t="str">
        <f ca="1">IFERROR(__xludf.DUMMYFUNCTION("""COMPUTED_VALUE"""),"FS")</f>
        <v>FS</v>
      </c>
      <c r="B581" s="119" t="str">
        <f ca="1">IFERROR(__xludf.DUMMYFUNCTION("""COMPUTED_VALUE"""),"Avery Hilliard")</f>
        <v>Avery Hilliard</v>
      </c>
      <c r="C581" s="118">
        <f ca="1">IFERROR(__xludf.DUMMYFUNCTION("""COMPUTED_VALUE"""),8)</f>
        <v>8</v>
      </c>
      <c r="D581" s="118" t="str">
        <f ca="1">IFERROR(__xludf.DUMMYFUNCTION("""COMPUTED_VALUE"""),"G")</f>
        <v>G</v>
      </c>
      <c r="E581" s="118" t="str">
        <f ca="1">IFERROR(__xludf.DUMMYFUNCTION("""COMPUTED_VALUE"""),"F")</f>
        <v>F</v>
      </c>
      <c r="F581" s="118" t="str">
        <f ca="1">IFERROR(__xludf.DUMMYFUNCTION("""COMPUTED_VALUE"""),"J")</f>
        <v>J</v>
      </c>
      <c r="G581" s="118">
        <f ca="1">IFERROR(__xludf.DUMMYFUNCTION("""COMPUTED_VALUE"""),3)</f>
        <v>3</v>
      </c>
      <c r="H581" s="118" t="str">
        <f ca="1">IFERROR(__xludf.DUMMYFUNCTION("""COMPUTED_VALUE"""),"FS")</f>
        <v>FS</v>
      </c>
      <c r="I581" s="118">
        <f ca="1">IFERROR(__xludf.DUMMYFUNCTION("""COMPUTED_VALUE"""),4)</f>
        <v>4</v>
      </c>
      <c r="J581" s="118">
        <f ca="1">IFERROR(__xludf.DUMMYFUNCTION("""COMPUTED_VALUE"""),3)</f>
        <v>3</v>
      </c>
      <c r="K581" s="120">
        <f ca="1">IFERROR(__xludf.DUMMYFUNCTION("""COMPUTED_VALUE"""),39.75)</f>
        <v>39.75</v>
      </c>
      <c r="L581" s="121"/>
      <c r="M581" s="120">
        <f ca="1">IFERROR(__xludf.DUMMYFUNCTION("""COMPUTED_VALUE"""),39.75)</f>
        <v>39.75</v>
      </c>
      <c r="N581" s="121"/>
      <c r="O581" s="120">
        <f ca="1">IFERROR(__xludf.DUMMYFUNCTION("""COMPUTED_VALUE"""),30.45)</f>
        <v>30.45</v>
      </c>
      <c r="P581" s="122"/>
      <c r="Q581" s="123" t="str">
        <f ca="1">IFERROR(__xludf.DUMMYFUNCTION("""COMPUTED_VALUE"""),"Libby Gulotta")</f>
        <v>Libby Gulotta</v>
      </c>
      <c r="R581" s="123" t="str">
        <f ca="1">IFERROR(__xludf.DUMMYFUNCTION("""COMPUTED_VALUE"""),"Sawyer Cohen")</f>
        <v>Sawyer Cohen</v>
      </c>
      <c r="S581" s="123" t="str">
        <f ca="1">IFERROR(__xludf.DUMMYFUNCTION("""COMPUTED_VALUE"""),"Hazel Johnson")</f>
        <v>Hazel Johnson</v>
      </c>
      <c r="T581" s="123" t="str">
        <f ca="1">IFERROR(__xludf.DUMMYFUNCTION("""COMPUTED_VALUE"""),"Luke Nobles")</f>
        <v>Luke Nobles</v>
      </c>
    </row>
    <row r="582" spans="1:20" ht="13.8">
      <c r="A582" s="118" t="str">
        <f ca="1">IFERROR(__xludf.DUMMYFUNCTION("""COMPUTED_VALUE"""),"FS")</f>
        <v>FS</v>
      </c>
      <c r="B582" s="119" t="str">
        <f ca="1">IFERROR(__xludf.DUMMYFUNCTION("""COMPUTED_VALUE"""),"Brianna Solis")</f>
        <v>Brianna Solis</v>
      </c>
      <c r="C582" s="118">
        <f ca="1">IFERROR(__xludf.DUMMYFUNCTION("""COMPUTED_VALUE"""),9)</f>
        <v>9</v>
      </c>
      <c r="D582" s="118" t="str">
        <f ca="1">IFERROR(__xludf.DUMMYFUNCTION("""COMPUTED_VALUE"""),"G")</f>
        <v>G</v>
      </c>
      <c r="E582" s="118" t="str">
        <f ca="1">IFERROR(__xludf.DUMMYFUNCTION("""COMPUTED_VALUE"""),"F")</f>
        <v>F</v>
      </c>
      <c r="F582" s="118" t="str">
        <f ca="1">IFERROR(__xludf.DUMMYFUNCTION("""COMPUTED_VALUE"""),"J")</f>
        <v>J</v>
      </c>
      <c r="G582" s="118">
        <f ca="1">IFERROR(__xludf.DUMMYFUNCTION("""COMPUTED_VALUE"""),3)</f>
        <v>3</v>
      </c>
      <c r="H582" s="118" t="str">
        <f ca="1">IFERROR(__xludf.DUMMYFUNCTION("""COMPUTED_VALUE"""),"FS")</f>
        <v>FS</v>
      </c>
      <c r="I582" s="118">
        <f ca="1">IFERROR(__xludf.DUMMYFUNCTION("""COMPUTED_VALUE"""),4)</f>
        <v>4</v>
      </c>
      <c r="J582" s="118">
        <f ca="1">IFERROR(__xludf.DUMMYFUNCTION("""COMPUTED_VALUE"""),0)</f>
        <v>0</v>
      </c>
      <c r="K582" s="120"/>
      <c r="L582" s="121"/>
      <c r="M582" s="120"/>
      <c r="N582" s="121"/>
      <c r="O582" s="120"/>
      <c r="P582" s="122"/>
      <c r="Q582" s="123" t="str">
        <f ca="1">IFERROR(__xludf.DUMMYFUNCTION("""COMPUTED_VALUE"""),"Libby Snow")</f>
        <v>Libby Snow</v>
      </c>
      <c r="R582" s="123" t="str">
        <f ca="1">IFERROR(__xludf.DUMMYFUNCTION("""COMPUTED_VALUE"""),"Sawyer Lawrence")</f>
        <v>Sawyer Lawrence</v>
      </c>
      <c r="S582" s="123" t="str">
        <f ca="1">IFERROR(__xludf.DUMMYFUNCTION("""COMPUTED_VALUE"""),"Hazel Lauver")</f>
        <v>Hazel Lauver</v>
      </c>
      <c r="T582" s="123" t="str">
        <f ca="1">IFERROR(__xludf.DUMMYFUNCTION("""COMPUTED_VALUE"""),"Luke Payne")</f>
        <v>Luke Payne</v>
      </c>
    </row>
    <row r="583" spans="1:20" ht="13.8">
      <c r="A583" s="118" t="str">
        <f ca="1">IFERROR(__xludf.DUMMYFUNCTION("""COMPUTED_VALUE"""),"FS")</f>
        <v>FS</v>
      </c>
      <c r="B583" s="119" t="str">
        <f ca="1">IFERROR(__xludf.DUMMYFUNCTION("""COMPUTED_VALUE"""),"Bridget O'Leary")</f>
        <v>Bridget O'Leary</v>
      </c>
      <c r="C583" s="118">
        <f ca="1">IFERROR(__xludf.DUMMYFUNCTION("""COMPUTED_VALUE"""),8)</f>
        <v>8</v>
      </c>
      <c r="D583" s="118" t="str">
        <f ca="1">IFERROR(__xludf.DUMMYFUNCTION("""COMPUTED_VALUE"""),"G")</f>
        <v>G</v>
      </c>
      <c r="E583" s="118" t="str">
        <f ca="1">IFERROR(__xludf.DUMMYFUNCTION("""COMPUTED_VALUE"""),"F")</f>
        <v>F</v>
      </c>
      <c r="F583" s="118" t="str">
        <f ca="1">IFERROR(__xludf.DUMMYFUNCTION("""COMPUTED_VALUE"""),"J")</f>
        <v>J</v>
      </c>
      <c r="G583" s="118">
        <f ca="1">IFERROR(__xludf.DUMMYFUNCTION("""COMPUTED_VALUE"""),3)</f>
        <v>3</v>
      </c>
      <c r="H583" s="118" t="str">
        <f ca="1">IFERROR(__xludf.DUMMYFUNCTION("""COMPUTED_VALUE"""),"FS")</f>
        <v>FS</v>
      </c>
      <c r="I583" s="118">
        <f ca="1">IFERROR(__xludf.DUMMYFUNCTION("""COMPUTED_VALUE"""),4)</f>
        <v>4</v>
      </c>
      <c r="J583" s="118">
        <f ca="1">IFERROR(__xludf.DUMMYFUNCTION("""COMPUTED_VALUE"""),4)</f>
        <v>4</v>
      </c>
      <c r="K583" s="120">
        <f ca="1">IFERROR(__xludf.DUMMYFUNCTION("""COMPUTED_VALUE"""),28.7)</f>
        <v>28.7</v>
      </c>
      <c r="L583" s="121"/>
      <c r="M583" s="120">
        <f ca="1">IFERROR(__xludf.DUMMYFUNCTION("""COMPUTED_VALUE"""),27.35)</f>
        <v>27.35</v>
      </c>
      <c r="N583" s="121"/>
      <c r="O583" s="120">
        <f ca="1">IFERROR(__xludf.DUMMYFUNCTION("""COMPUTED_VALUE"""),22.45)</f>
        <v>22.45</v>
      </c>
      <c r="P583" s="122"/>
      <c r="Q583" s="123" t="str">
        <f ca="1">IFERROR(__xludf.DUMMYFUNCTION("""COMPUTED_VALUE"""),"Liesl Birkelbach")</f>
        <v>Liesl Birkelbach</v>
      </c>
      <c r="R583" s="123" t="str">
        <f ca="1">IFERROR(__xludf.DUMMYFUNCTION("""COMPUTED_VALUE"""),"Sawyer Wichert")</f>
        <v>Sawyer Wichert</v>
      </c>
      <c r="S583" s="123" t="str">
        <f ca="1">IFERROR(__xludf.DUMMYFUNCTION("""COMPUTED_VALUE"""),"Heather Calderon")</f>
        <v>Heather Calderon</v>
      </c>
      <c r="T583" s="123" t="str">
        <f ca="1">IFERROR(__xludf.DUMMYFUNCTION("""COMPUTED_VALUE"""),"Luke Peters")</f>
        <v>Luke Peters</v>
      </c>
    </row>
    <row r="584" spans="1:20" ht="13.8">
      <c r="A584" s="118" t="str">
        <f ca="1">IFERROR(__xludf.DUMMYFUNCTION("""COMPUTED_VALUE"""),"FS")</f>
        <v>FS</v>
      </c>
      <c r="B584" s="119" t="str">
        <f ca="1">IFERROR(__xludf.DUMMYFUNCTION("""COMPUTED_VALUE"""),"Ellie Kisiel")</f>
        <v>Ellie Kisiel</v>
      </c>
      <c r="C584" s="118">
        <f ca="1">IFERROR(__xludf.DUMMYFUNCTION("""COMPUTED_VALUE"""),7)</f>
        <v>7</v>
      </c>
      <c r="D584" s="118" t="str">
        <f ca="1">IFERROR(__xludf.DUMMYFUNCTION("""COMPUTED_VALUE"""),"G")</f>
        <v>G</v>
      </c>
      <c r="E584" s="118" t="str">
        <f ca="1">IFERROR(__xludf.DUMMYFUNCTION("""COMPUTED_VALUE"""),"F")</f>
        <v>F</v>
      </c>
      <c r="F584" s="118" t="str">
        <f ca="1">IFERROR(__xludf.DUMMYFUNCTION("""COMPUTED_VALUE"""),"J")</f>
        <v>J</v>
      </c>
      <c r="G584" s="118">
        <f ca="1">IFERROR(__xludf.DUMMYFUNCTION("""COMPUTED_VALUE"""),3)</f>
        <v>3</v>
      </c>
      <c r="H584" s="118" t="str">
        <f ca="1">IFERROR(__xludf.DUMMYFUNCTION("""COMPUTED_VALUE"""),"FS")</f>
        <v>FS</v>
      </c>
      <c r="I584" s="118">
        <f ca="1">IFERROR(__xludf.DUMMYFUNCTION("""COMPUTED_VALUE"""),4)</f>
        <v>4</v>
      </c>
      <c r="J584" s="118">
        <f ca="1">IFERROR(__xludf.DUMMYFUNCTION("""COMPUTED_VALUE"""),1)</f>
        <v>1</v>
      </c>
      <c r="K584" s="120"/>
      <c r="L584" s="121"/>
      <c r="M584" s="120"/>
      <c r="N584" s="121"/>
      <c r="O584" s="120"/>
      <c r="P584" s="122"/>
      <c r="Q584" s="123" t="str">
        <f ca="1">IFERROR(__xludf.DUMMYFUNCTION("""COMPUTED_VALUE"""),"Lilia Buonforte")</f>
        <v>Lilia Buonforte</v>
      </c>
      <c r="R584" s="123" t="str">
        <f ca="1">IFERROR(__xludf.DUMMYFUNCTION("""COMPUTED_VALUE"""),"Sean Tighe")</f>
        <v>Sean Tighe</v>
      </c>
      <c r="S584" s="123" t="str">
        <f ca="1">IFERROR(__xludf.DUMMYFUNCTION("""COMPUTED_VALUE"""),"Helen Butler")</f>
        <v>Helen Butler</v>
      </c>
      <c r="T584" s="123" t="str">
        <f ca="1">IFERROR(__xludf.DUMMYFUNCTION("""COMPUTED_VALUE"""),"Luke Ritter")</f>
        <v>Luke Ritter</v>
      </c>
    </row>
    <row r="585" spans="1:20" ht="13.8">
      <c r="A585" s="118" t="str">
        <f ca="1">IFERROR(__xludf.DUMMYFUNCTION("""COMPUTED_VALUE"""),"FS")</f>
        <v>FS</v>
      </c>
      <c r="B585" s="119" t="str">
        <f ca="1">IFERROR(__xludf.DUMMYFUNCTION("""COMPUTED_VALUE"""),"Everly McCormick")</f>
        <v>Everly McCormick</v>
      </c>
      <c r="C585" s="118">
        <f ca="1">IFERROR(__xludf.DUMMYFUNCTION("""COMPUTED_VALUE"""),9)</f>
        <v>9</v>
      </c>
      <c r="D585" s="118" t="str">
        <f ca="1">IFERROR(__xludf.DUMMYFUNCTION("""COMPUTED_VALUE"""),"G")</f>
        <v>G</v>
      </c>
      <c r="E585" s="118" t="str">
        <f ca="1">IFERROR(__xludf.DUMMYFUNCTION("""COMPUTED_VALUE"""),"F")</f>
        <v>F</v>
      </c>
      <c r="F585" s="118" t="str">
        <f ca="1">IFERROR(__xludf.DUMMYFUNCTION("""COMPUTED_VALUE"""),"J")</f>
        <v>J</v>
      </c>
      <c r="G585" s="118">
        <f ca="1">IFERROR(__xludf.DUMMYFUNCTION("""COMPUTED_VALUE"""),3)</f>
        <v>3</v>
      </c>
      <c r="H585" s="118" t="str">
        <f ca="1">IFERROR(__xludf.DUMMYFUNCTION("""COMPUTED_VALUE"""),"FS")</f>
        <v>FS</v>
      </c>
      <c r="I585" s="118">
        <f ca="1">IFERROR(__xludf.DUMMYFUNCTION("""COMPUTED_VALUE"""),4)</f>
        <v>4</v>
      </c>
      <c r="J585" s="118">
        <f ca="1">IFERROR(__xludf.DUMMYFUNCTION("""COMPUTED_VALUE"""),0)</f>
        <v>0</v>
      </c>
      <c r="K585" s="120"/>
      <c r="L585" s="121"/>
      <c r="M585" s="120"/>
      <c r="N585" s="121"/>
      <c r="O585" s="120"/>
      <c r="P585" s="122"/>
      <c r="Q585" s="123" t="str">
        <f ca="1">IFERROR(__xludf.DUMMYFUNCTION("""COMPUTED_VALUE"""),"Lilian Raymond")</f>
        <v>Lilian Raymond</v>
      </c>
      <c r="R585" s="123" t="str">
        <f ca="1">IFERROR(__xludf.DUMMYFUNCTION("""COMPUTED_VALUE"""),"Seth Ventura")</f>
        <v>Seth Ventura</v>
      </c>
      <c r="S585" s="123" t="str">
        <f ca="1">IFERROR(__xludf.DUMMYFUNCTION("""COMPUTED_VALUE"""),"Helen Huggler")</f>
        <v>Helen Huggler</v>
      </c>
      <c r="T585" s="123" t="str">
        <f ca="1">IFERROR(__xludf.DUMMYFUNCTION("""COMPUTED_VALUE"""),"Luke Sabo")</f>
        <v>Luke Sabo</v>
      </c>
    </row>
    <row r="586" spans="1:20" ht="13.8">
      <c r="A586" s="118" t="str">
        <f ca="1">IFERROR(__xludf.DUMMYFUNCTION("""COMPUTED_VALUE"""),"FS")</f>
        <v>FS</v>
      </c>
      <c r="B586" s="119" t="str">
        <f ca="1">IFERROR(__xludf.DUMMYFUNCTION("""COMPUTED_VALUE"""),"Evie Reilly")</f>
        <v>Evie Reilly</v>
      </c>
      <c r="C586" s="118">
        <f ca="1">IFERROR(__xludf.DUMMYFUNCTION("""COMPUTED_VALUE"""),10)</f>
        <v>10</v>
      </c>
      <c r="D586" s="118" t="str">
        <f ca="1">IFERROR(__xludf.DUMMYFUNCTION("""COMPUTED_VALUE"""),"G")</f>
        <v>G</v>
      </c>
      <c r="E586" s="118" t="str">
        <f ca="1">IFERROR(__xludf.DUMMYFUNCTION("""COMPUTED_VALUE"""),"F")</f>
        <v>F</v>
      </c>
      <c r="F586" s="118" t="str">
        <f ca="1">IFERROR(__xludf.DUMMYFUNCTION("""COMPUTED_VALUE"""),"J")</f>
        <v>J</v>
      </c>
      <c r="G586" s="118">
        <f ca="1">IFERROR(__xludf.DUMMYFUNCTION("""COMPUTED_VALUE"""),3)</f>
        <v>3</v>
      </c>
      <c r="H586" s="118" t="str">
        <f ca="1">IFERROR(__xludf.DUMMYFUNCTION("""COMPUTED_VALUE"""),"FS")</f>
        <v>FS</v>
      </c>
      <c r="I586" s="118">
        <f ca="1">IFERROR(__xludf.DUMMYFUNCTION("""COMPUTED_VALUE"""),4)</f>
        <v>4</v>
      </c>
      <c r="J586" s="118">
        <f ca="1">IFERROR(__xludf.DUMMYFUNCTION("""COMPUTED_VALUE"""),5)</f>
        <v>5</v>
      </c>
      <c r="K586" s="120">
        <f ca="1">IFERROR(__xludf.DUMMYFUNCTION("""COMPUTED_VALUE"""),45.25)</f>
        <v>45.25</v>
      </c>
      <c r="L586" s="121"/>
      <c r="M586" s="120">
        <f ca="1">IFERROR(__xludf.DUMMYFUNCTION("""COMPUTED_VALUE"""),42.8)</f>
        <v>42.8</v>
      </c>
      <c r="N586" s="121"/>
      <c r="O586" s="120">
        <f ca="1">IFERROR(__xludf.DUMMYFUNCTION("""COMPUTED_VALUE"""),40.5)</f>
        <v>40.5</v>
      </c>
      <c r="P586" s="122"/>
      <c r="Q586" s="123" t="str">
        <f ca="1">IFERROR(__xludf.DUMMYFUNCTION("""COMPUTED_VALUE"""),"Liliana Cappoli")</f>
        <v>Liliana Cappoli</v>
      </c>
      <c r="R586" s="123" t="str">
        <f ca="1">IFERROR(__xludf.DUMMYFUNCTION("""COMPUTED_VALUE"""),"Shayan Dalilaltojari")</f>
        <v>Shayan Dalilaltojari</v>
      </c>
      <c r="S586" s="123" t="str">
        <f ca="1">IFERROR(__xludf.DUMMYFUNCTION("""COMPUTED_VALUE"""),"Helena Perosa")</f>
        <v>Helena Perosa</v>
      </c>
      <c r="T586" s="123" t="str">
        <f ca="1">IFERROR(__xludf.DUMMYFUNCTION("""COMPUTED_VALUE"""),"Luke Smith")</f>
        <v>Luke Smith</v>
      </c>
    </row>
    <row r="587" spans="1:20" ht="13.8">
      <c r="A587" s="118" t="str">
        <f ca="1">IFERROR(__xludf.DUMMYFUNCTION("""COMPUTED_VALUE"""),"FS")</f>
        <v>FS</v>
      </c>
      <c r="B587" s="119" t="str">
        <f ca="1">IFERROR(__xludf.DUMMYFUNCTION("""COMPUTED_VALUE"""),"Gaia Salcedo")</f>
        <v>Gaia Salcedo</v>
      </c>
      <c r="C587" s="118">
        <f ca="1">IFERROR(__xludf.DUMMYFUNCTION("""COMPUTED_VALUE"""),10)</f>
        <v>10</v>
      </c>
      <c r="D587" s="118" t="str">
        <f ca="1">IFERROR(__xludf.DUMMYFUNCTION("""COMPUTED_VALUE"""),"G")</f>
        <v>G</v>
      </c>
      <c r="E587" s="118" t="str">
        <f ca="1">IFERROR(__xludf.DUMMYFUNCTION("""COMPUTED_VALUE"""),"F")</f>
        <v>F</v>
      </c>
      <c r="F587" s="118" t="str">
        <f ca="1">IFERROR(__xludf.DUMMYFUNCTION("""COMPUTED_VALUE"""),"J")</f>
        <v>J</v>
      </c>
      <c r="G587" s="118">
        <f ca="1">IFERROR(__xludf.DUMMYFUNCTION("""COMPUTED_VALUE"""),3)</f>
        <v>3</v>
      </c>
      <c r="H587" s="118" t="str">
        <f ca="1">IFERROR(__xludf.DUMMYFUNCTION("""COMPUTED_VALUE"""),"FS")</f>
        <v>FS</v>
      </c>
      <c r="I587" s="118">
        <f ca="1">IFERROR(__xludf.DUMMYFUNCTION("""COMPUTED_VALUE"""),4)</f>
        <v>4</v>
      </c>
      <c r="J587" s="118">
        <f ca="1">IFERROR(__xludf.DUMMYFUNCTION("""COMPUTED_VALUE"""),5)</f>
        <v>5</v>
      </c>
      <c r="K587" s="120">
        <f ca="1">IFERROR(__xludf.DUMMYFUNCTION("""COMPUTED_VALUE"""),43.4)</f>
        <v>43.4</v>
      </c>
      <c r="L587" s="121"/>
      <c r="M587" s="120">
        <f ca="1">IFERROR(__xludf.DUMMYFUNCTION("""COMPUTED_VALUE"""),34.25)</f>
        <v>34.25</v>
      </c>
      <c r="N587" s="121"/>
      <c r="O587" s="120">
        <f ca="1">IFERROR(__xludf.DUMMYFUNCTION("""COMPUTED_VALUE"""),41.8)</f>
        <v>41.8</v>
      </c>
      <c r="P587" s="122"/>
      <c r="Q587" s="123" t="str">
        <f ca="1">IFERROR(__xludf.DUMMYFUNCTION("""COMPUTED_VALUE"""),"Lillian Engle")</f>
        <v>Lillian Engle</v>
      </c>
      <c r="R587" s="123" t="str">
        <f ca="1">IFERROR(__xludf.DUMMYFUNCTION("""COMPUTED_VALUE"""),"Shepard Whatley")</f>
        <v>Shepard Whatley</v>
      </c>
      <c r="S587" s="123" t="str">
        <f ca="1">IFERROR(__xludf.DUMMYFUNCTION("""COMPUTED_VALUE"""),"Hodges Newton")</f>
        <v>Hodges Newton</v>
      </c>
      <c r="T587" s="123" t="str">
        <f ca="1">IFERROR(__xludf.DUMMYFUNCTION("""COMPUTED_VALUE"""),"Luke Swanson")</f>
        <v>Luke Swanson</v>
      </c>
    </row>
    <row r="588" spans="1:20" ht="13.8">
      <c r="A588" s="118" t="str">
        <f ca="1">IFERROR(__xludf.DUMMYFUNCTION("""COMPUTED_VALUE"""),"FS")</f>
        <v>FS</v>
      </c>
      <c r="B588" s="119" t="str">
        <f ca="1">IFERROR(__xludf.DUMMYFUNCTION("""COMPUTED_VALUE"""),"London Duckett")</f>
        <v>London Duckett</v>
      </c>
      <c r="C588" s="118">
        <f ca="1">IFERROR(__xludf.DUMMYFUNCTION("""COMPUTED_VALUE"""),10)</f>
        <v>10</v>
      </c>
      <c r="D588" s="118" t="str">
        <f ca="1">IFERROR(__xludf.DUMMYFUNCTION("""COMPUTED_VALUE"""),"G")</f>
        <v>G</v>
      </c>
      <c r="E588" s="118" t="str">
        <f ca="1">IFERROR(__xludf.DUMMYFUNCTION("""COMPUTED_VALUE"""),"F")</f>
        <v>F</v>
      </c>
      <c r="F588" s="118" t="str">
        <f ca="1">IFERROR(__xludf.DUMMYFUNCTION("""COMPUTED_VALUE"""),"J")</f>
        <v>J</v>
      </c>
      <c r="G588" s="118">
        <f ca="1">IFERROR(__xludf.DUMMYFUNCTION("""COMPUTED_VALUE"""),3)</f>
        <v>3</v>
      </c>
      <c r="H588" s="118" t="str">
        <f ca="1">IFERROR(__xludf.DUMMYFUNCTION("""COMPUTED_VALUE"""),"FS")</f>
        <v>FS</v>
      </c>
      <c r="I588" s="118">
        <f ca="1">IFERROR(__xludf.DUMMYFUNCTION("""COMPUTED_VALUE"""),4)</f>
        <v>4</v>
      </c>
      <c r="J588" s="118">
        <f ca="1">IFERROR(__xludf.DUMMYFUNCTION("""COMPUTED_VALUE"""),2)</f>
        <v>2</v>
      </c>
      <c r="K588" s="120">
        <f ca="1">IFERROR(__xludf.DUMMYFUNCTION("""COMPUTED_VALUE"""),29.05)</f>
        <v>29.05</v>
      </c>
      <c r="L588" s="121"/>
      <c r="M588" s="120"/>
      <c r="N588" s="121"/>
      <c r="O588" s="120">
        <f ca="1">IFERROR(__xludf.DUMMYFUNCTION("""COMPUTED_VALUE"""),17.25)</f>
        <v>17.25</v>
      </c>
      <c r="P588" s="122"/>
      <c r="Q588" s="123" t="str">
        <f ca="1">IFERROR(__xludf.DUMMYFUNCTION("""COMPUTED_VALUE"""),"Lillian Ferguson")</f>
        <v>Lillian Ferguson</v>
      </c>
      <c r="R588" s="123" t="str">
        <f ca="1">IFERROR(__xludf.DUMMYFUNCTION("""COMPUTED_VALUE"""),"Siddharth Chandran")</f>
        <v>Siddharth Chandran</v>
      </c>
      <c r="S588" s="123" t="str">
        <f ca="1">IFERROR(__xludf.DUMMYFUNCTION("""COMPUTED_VALUE"""),"Holly Denniston")</f>
        <v>Holly Denniston</v>
      </c>
      <c r="T588" s="123" t="str">
        <f ca="1">IFERROR(__xludf.DUMMYFUNCTION("""COMPUTED_VALUE"""),"Luke Taggert")</f>
        <v>Luke Taggert</v>
      </c>
    </row>
    <row r="589" spans="1:20" ht="13.8">
      <c r="A589" s="118" t="str">
        <f ca="1">IFERROR(__xludf.DUMMYFUNCTION("""COMPUTED_VALUE"""),"FS")</f>
        <v>FS</v>
      </c>
      <c r="B589" s="119" t="str">
        <f ca="1">IFERROR(__xludf.DUMMYFUNCTION("""COMPUTED_VALUE"""),"Olivia Anderson")</f>
        <v>Olivia Anderson</v>
      </c>
      <c r="C589" s="118">
        <f ca="1">IFERROR(__xludf.DUMMYFUNCTION("""COMPUTED_VALUE"""),8)</f>
        <v>8</v>
      </c>
      <c r="D589" s="118" t="str">
        <f ca="1">IFERROR(__xludf.DUMMYFUNCTION("""COMPUTED_VALUE"""),"G")</f>
        <v>G</v>
      </c>
      <c r="E589" s="118" t="str">
        <f ca="1">IFERROR(__xludf.DUMMYFUNCTION("""COMPUTED_VALUE"""),"F")</f>
        <v>F</v>
      </c>
      <c r="F589" s="118" t="str">
        <f ca="1">IFERROR(__xludf.DUMMYFUNCTION("""COMPUTED_VALUE"""),"J")</f>
        <v>J</v>
      </c>
      <c r="G589" s="118">
        <f ca="1">IFERROR(__xludf.DUMMYFUNCTION("""COMPUTED_VALUE"""),3)</f>
        <v>3</v>
      </c>
      <c r="H589" s="118" t="str">
        <f ca="1">IFERROR(__xludf.DUMMYFUNCTION("""COMPUTED_VALUE"""),"FS")</f>
        <v>FS</v>
      </c>
      <c r="I589" s="118">
        <f ca="1">IFERROR(__xludf.DUMMYFUNCTION("""COMPUTED_VALUE"""),4)</f>
        <v>4</v>
      </c>
      <c r="J589" s="118">
        <f ca="1">IFERROR(__xludf.DUMMYFUNCTION("""COMPUTED_VALUE"""),5)</f>
        <v>5</v>
      </c>
      <c r="K589" s="120">
        <f ca="1">IFERROR(__xludf.DUMMYFUNCTION("""COMPUTED_VALUE"""),68.1)</f>
        <v>68.099999999999994</v>
      </c>
      <c r="L589" s="121"/>
      <c r="M589" s="120">
        <f ca="1">IFERROR(__xludf.DUMMYFUNCTION("""COMPUTED_VALUE"""),64.55)</f>
        <v>64.55</v>
      </c>
      <c r="N589" s="121"/>
      <c r="O589" s="120">
        <f ca="1">IFERROR(__xludf.DUMMYFUNCTION("""COMPUTED_VALUE"""),65.25)</f>
        <v>65.25</v>
      </c>
      <c r="P589" s="122"/>
      <c r="Q589" s="123" t="str">
        <f ca="1">IFERROR(__xludf.DUMMYFUNCTION("""COMPUTED_VALUE"""),"Lillian Gunderson")</f>
        <v>Lillian Gunderson</v>
      </c>
      <c r="R589" s="123" t="str">
        <f ca="1">IFERROR(__xludf.DUMMYFUNCTION("""COMPUTED_VALUE"""),"Silas Benson")</f>
        <v>Silas Benson</v>
      </c>
      <c r="S589" s="123" t="str">
        <f ca="1">IFERROR(__xludf.DUMMYFUNCTION("""COMPUTED_VALUE"""),"Ingrid Lander")</f>
        <v>Ingrid Lander</v>
      </c>
      <c r="T589" s="123" t="str">
        <f ca="1">IFERROR(__xludf.DUMMYFUNCTION("""COMPUTED_VALUE"""),"Luke Tang")</f>
        <v>Luke Tang</v>
      </c>
    </row>
    <row r="590" spans="1:20" ht="13.8">
      <c r="A590" s="118" t="str">
        <f ca="1">IFERROR(__xludf.DUMMYFUNCTION("""COMPUTED_VALUE"""),"FS")</f>
        <v>FS</v>
      </c>
      <c r="B590" s="119" t="str">
        <f ca="1">IFERROR(__xludf.DUMMYFUNCTION("""COMPUTED_VALUE"""),"Shea McCarthy")</f>
        <v>Shea McCarthy</v>
      </c>
      <c r="C590" s="118">
        <f ca="1">IFERROR(__xludf.DUMMYFUNCTION("""COMPUTED_VALUE"""),10)</f>
        <v>10</v>
      </c>
      <c r="D590" s="118" t="str">
        <f ca="1">IFERROR(__xludf.DUMMYFUNCTION("""COMPUTED_VALUE"""),"G")</f>
        <v>G</v>
      </c>
      <c r="E590" s="118" t="str">
        <f ca="1">IFERROR(__xludf.DUMMYFUNCTION("""COMPUTED_VALUE"""),"F")</f>
        <v>F</v>
      </c>
      <c r="F590" s="118" t="str">
        <f ca="1">IFERROR(__xludf.DUMMYFUNCTION("""COMPUTED_VALUE"""),"J")</f>
        <v>J</v>
      </c>
      <c r="G590" s="118">
        <f ca="1">IFERROR(__xludf.DUMMYFUNCTION("""COMPUTED_VALUE"""),3)</f>
        <v>3</v>
      </c>
      <c r="H590" s="118" t="str">
        <f ca="1">IFERROR(__xludf.DUMMYFUNCTION("""COMPUTED_VALUE"""),"FS")</f>
        <v>FS</v>
      </c>
      <c r="I590" s="118">
        <f ca="1">IFERROR(__xludf.DUMMYFUNCTION("""COMPUTED_VALUE"""),4)</f>
        <v>4</v>
      </c>
      <c r="J590" s="118">
        <f ca="1">IFERROR(__xludf.DUMMYFUNCTION("""COMPUTED_VALUE"""),1)</f>
        <v>1</v>
      </c>
      <c r="K590" s="120">
        <f ca="1">IFERROR(__xludf.DUMMYFUNCTION("""COMPUTED_VALUE"""),35.35)</f>
        <v>35.35</v>
      </c>
      <c r="L590" s="121"/>
      <c r="M590" s="120"/>
      <c r="N590" s="121"/>
      <c r="O590" s="120">
        <f ca="1">IFERROR(__xludf.DUMMYFUNCTION("""COMPUTED_VALUE"""),35.35)</f>
        <v>35.35</v>
      </c>
      <c r="P590" s="122"/>
      <c r="Q590" s="123" t="str">
        <f ca="1">IFERROR(__xludf.DUMMYFUNCTION("""COMPUTED_VALUE"""),"Lillian Haigh")</f>
        <v>Lillian Haigh</v>
      </c>
      <c r="R590" s="123" t="str">
        <f ca="1">IFERROR(__xludf.DUMMYFUNCTION("""COMPUTED_VALUE"""),"Soren Gongola")</f>
        <v>Soren Gongola</v>
      </c>
      <c r="S590" s="123" t="str">
        <f ca="1">IFERROR(__xludf.DUMMYFUNCTION("""COMPUTED_VALUE"""),"Iris Aiken")</f>
        <v>Iris Aiken</v>
      </c>
      <c r="T590" s="123" t="str">
        <f ca="1">IFERROR(__xludf.DUMMYFUNCTION("""COMPUTED_VALUE"""),"Mac Coulby")</f>
        <v>Mac Coulby</v>
      </c>
    </row>
    <row r="591" spans="1:20" ht="13.8">
      <c r="A591" s="118" t="str">
        <f ca="1">IFERROR(__xludf.DUMMYFUNCTION("""COMPUTED_VALUE"""),"FS")</f>
        <v>FS</v>
      </c>
      <c r="B591" s="119" t="str">
        <f ca="1">IFERROR(__xludf.DUMMYFUNCTION("""COMPUTED_VALUE"""),"Victoria Williams")</f>
        <v>Victoria Williams</v>
      </c>
      <c r="C591" s="118">
        <f ca="1">IFERROR(__xludf.DUMMYFUNCTION("""COMPUTED_VALUE"""),10)</f>
        <v>10</v>
      </c>
      <c r="D591" s="118" t="str">
        <f ca="1">IFERROR(__xludf.DUMMYFUNCTION("""COMPUTED_VALUE"""),"G")</f>
        <v>G</v>
      </c>
      <c r="E591" s="118" t="str">
        <f ca="1">IFERROR(__xludf.DUMMYFUNCTION("""COMPUTED_VALUE"""),"F")</f>
        <v>F</v>
      </c>
      <c r="F591" s="118" t="str">
        <f ca="1">IFERROR(__xludf.DUMMYFUNCTION("""COMPUTED_VALUE"""),"J")</f>
        <v>J</v>
      </c>
      <c r="G591" s="118">
        <f ca="1">IFERROR(__xludf.DUMMYFUNCTION("""COMPUTED_VALUE"""),3)</f>
        <v>3</v>
      </c>
      <c r="H591" s="118" t="str">
        <f ca="1">IFERROR(__xludf.DUMMYFUNCTION("""COMPUTED_VALUE"""),"FS")</f>
        <v>FS</v>
      </c>
      <c r="I591" s="118">
        <f ca="1">IFERROR(__xludf.DUMMYFUNCTION("""COMPUTED_VALUE"""),4)</f>
        <v>4</v>
      </c>
      <c r="J591" s="118">
        <f ca="1">IFERROR(__xludf.DUMMYFUNCTION("""COMPUTED_VALUE"""),4)</f>
        <v>4</v>
      </c>
      <c r="K591" s="120">
        <f ca="1">IFERROR(__xludf.DUMMYFUNCTION("""COMPUTED_VALUE"""),78.65)</f>
        <v>78.650000000000006</v>
      </c>
      <c r="L591" s="121"/>
      <c r="M591" s="120">
        <f ca="1">IFERROR(__xludf.DUMMYFUNCTION("""COMPUTED_VALUE"""),78.65)</f>
        <v>78.650000000000006</v>
      </c>
      <c r="N591" s="121"/>
      <c r="O591" s="120">
        <f ca="1">IFERROR(__xludf.DUMMYFUNCTION("""COMPUTED_VALUE"""),76.95)</f>
        <v>76.95</v>
      </c>
      <c r="P591" s="122"/>
      <c r="Q591" s="123" t="str">
        <f ca="1">IFERROR(__xludf.DUMMYFUNCTION("""COMPUTED_VALUE"""),"Lillian Kent")</f>
        <v>Lillian Kent</v>
      </c>
      <c r="R591" s="123" t="str">
        <f ca="1">IFERROR(__xludf.DUMMYFUNCTION("""COMPUTED_VALUE"""),"Soren Khodabandeh")</f>
        <v>Soren Khodabandeh</v>
      </c>
      <c r="S591" s="123" t="str">
        <f ca="1">IFERROR(__xludf.DUMMYFUNCTION("""COMPUTED_VALUE"""),"Iris Williams")</f>
        <v>Iris Williams</v>
      </c>
      <c r="T591" s="123" t="str">
        <f ca="1">IFERROR(__xludf.DUMMYFUNCTION("""COMPUTED_VALUE"""),"Mac McGeorge")</f>
        <v>Mac McGeorge</v>
      </c>
    </row>
    <row r="592" spans="1:20" ht="13.8">
      <c r="A592" s="118" t="str">
        <f ca="1">IFERROR(__xludf.DUMMYFUNCTION("""COMPUTED_VALUE"""),"FS")</f>
        <v>FS</v>
      </c>
      <c r="B592" s="119" t="str">
        <f ca="1">IFERROR(__xludf.DUMMYFUNCTION("""COMPUTED_VALUE"""),"Zahra Benmbarek")</f>
        <v>Zahra Benmbarek</v>
      </c>
      <c r="C592" s="118">
        <f ca="1">IFERROR(__xludf.DUMMYFUNCTION("""COMPUTED_VALUE"""),9)</f>
        <v>9</v>
      </c>
      <c r="D592" s="118" t="str">
        <f ca="1">IFERROR(__xludf.DUMMYFUNCTION("""COMPUTED_VALUE"""),"G")</f>
        <v>G</v>
      </c>
      <c r="E592" s="118" t="str">
        <f ca="1">IFERROR(__xludf.DUMMYFUNCTION("""COMPUTED_VALUE"""),"F")</f>
        <v>F</v>
      </c>
      <c r="F592" s="118" t="str">
        <f ca="1">IFERROR(__xludf.DUMMYFUNCTION("""COMPUTED_VALUE"""),"J")</f>
        <v>J</v>
      </c>
      <c r="G592" s="118">
        <f ca="1">IFERROR(__xludf.DUMMYFUNCTION("""COMPUTED_VALUE"""),3)</f>
        <v>3</v>
      </c>
      <c r="H592" s="118" t="str">
        <f ca="1">IFERROR(__xludf.DUMMYFUNCTION("""COMPUTED_VALUE"""),"FS")</f>
        <v>FS</v>
      </c>
      <c r="I592" s="118">
        <f ca="1">IFERROR(__xludf.DUMMYFUNCTION("""COMPUTED_VALUE"""),4)</f>
        <v>4</v>
      </c>
      <c r="J592" s="118">
        <f ca="1">IFERROR(__xludf.DUMMYFUNCTION("""COMPUTED_VALUE"""),4)</f>
        <v>4</v>
      </c>
      <c r="K592" s="120">
        <f ca="1">IFERROR(__xludf.DUMMYFUNCTION("""COMPUTED_VALUE"""),38.1)</f>
        <v>38.1</v>
      </c>
      <c r="L592" s="121"/>
      <c r="M592" s="120">
        <f ca="1">IFERROR(__xludf.DUMMYFUNCTION("""COMPUTED_VALUE"""),36.75)</f>
        <v>36.75</v>
      </c>
      <c r="N592" s="121"/>
      <c r="O592" s="120">
        <f ca="1">IFERROR(__xludf.DUMMYFUNCTION("""COMPUTED_VALUE"""),38.1)</f>
        <v>38.1</v>
      </c>
      <c r="P592" s="122"/>
      <c r="Q592" s="123" t="str">
        <f ca="1">IFERROR(__xludf.DUMMYFUNCTION("""COMPUTED_VALUE"""),"Lillian Miller")</f>
        <v>Lillian Miller</v>
      </c>
      <c r="R592" s="123" t="str">
        <f ca="1">IFERROR(__xludf.DUMMYFUNCTION("""COMPUTED_VALUE"""),"Spencer Pocock")</f>
        <v>Spencer Pocock</v>
      </c>
      <c r="S592" s="123" t="str">
        <f ca="1">IFERROR(__xludf.DUMMYFUNCTION("""COMPUTED_VALUE"""),"Isabel Benavides")</f>
        <v>Isabel Benavides</v>
      </c>
      <c r="T592" s="123" t="str">
        <f ca="1">IFERROR(__xludf.DUMMYFUNCTION("""COMPUTED_VALUE"""),"Mack Klink")</f>
        <v>Mack Klink</v>
      </c>
    </row>
    <row r="593" spans="1:20" ht="13.8">
      <c r="A593" s="118" t="str">
        <f ca="1">IFERROR(__xludf.DUMMYFUNCTION("""COMPUTED_VALUE"""),"FS")</f>
        <v>FS</v>
      </c>
      <c r="B593" s="119" t="str">
        <f ca="1">IFERROR(__xludf.DUMMYFUNCTION("""COMPUTED_VALUE"""),"Cavan Telleen")</f>
        <v>Cavan Telleen</v>
      </c>
      <c r="C593" s="118">
        <f ca="1">IFERROR(__xludf.DUMMYFUNCTION("""COMPUTED_VALUE"""),9)</f>
        <v>9</v>
      </c>
      <c r="D593" s="118" t="str">
        <f ca="1">IFERROR(__xludf.DUMMYFUNCTION("""COMPUTED_VALUE"""),"B")</f>
        <v>B</v>
      </c>
      <c r="E593" s="118" t="str">
        <f ca="1">IFERROR(__xludf.DUMMYFUNCTION("""COMPUTED_VALUE"""),"F")</f>
        <v>F</v>
      </c>
      <c r="F593" s="118" t="str">
        <f ca="1">IFERROR(__xludf.DUMMYFUNCTION("""COMPUTED_VALUE"""),"J")</f>
        <v>J</v>
      </c>
      <c r="G593" s="118">
        <f ca="1">IFERROR(__xludf.DUMMYFUNCTION("""COMPUTED_VALUE"""),3)</f>
        <v>3</v>
      </c>
      <c r="H593" s="118" t="str">
        <f ca="1">IFERROR(__xludf.DUMMYFUNCTION("""COMPUTED_VALUE"""),"FS")</f>
        <v>FS</v>
      </c>
      <c r="I593" s="118">
        <f ca="1">IFERROR(__xludf.DUMMYFUNCTION("""COMPUTED_VALUE"""),5)</f>
        <v>5</v>
      </c>
      <c r="J593" s="118">
        <f ca="1">IFERROR(__xludf.DUMMYFUNCTION("""COMPUTED_VALUE"""),5)</f>
        <v>5</v>
      </c>
      <c r="K593" s="120">
        <f ca="1">IFERROR(__xludf.DUMMYFUNCTION("""COMPUTED_VALUE"""),63.4)</f>
        <v>63.4</v>
      </c>
      <c r="L593" s="121"/>
      <c r="M593" s="120">
        <f ca="1">IFERROR(__xludf.DUMMYFUNCTION("""COMPUTED_VALUE"""),56)</f>
        <v>56</v>
      </c>
      <c r="N593" s="121"/>
      <c r="O593" s="120">
        <f ca="1">IFERROR(__xludf.DUMMYFUNCTION("""COMPUTED_VALUE"""),63.4)</f>
        <v>63.4</v>
      </c>
      <c r="P593" s="122"/>
      <c r="Q593" s="123" t="str">
        <f ca="1">IFERROR(__xludf.DUMMYFUNCTION("""COMPUTED_VALUE"""),"Lillian Morschauser")</f>
        <v>Lillian Morschauser</v>
      </c>
      <c r="R593" s="123" t="str">
        <f ca="1">IFERROR(__xludf.DUMMYFUNCTION("""COMPUTED_VALUE"""),"Srihan Bubuk")</f>
        <v>Srihan Bubuk</v>
      </c>
      <c r="S593" s="123" t="str">
        <f ca="1">IFERROR(__xludf.DUMMYFUNCTION("""COMPUTED_VALUE"""),"Isabel Jacobs")</f>
        <v>Isabel Jacobs</v>
      </c>
      <c r="T593" s="123" t="str">
        <f ca="1">IFERROR(__xludf.DUMMYFUNCTION("""COMPUTED_VALUE"""),"Madison Worthington")</f>
        <v>Madison Worthington</v>
      </c>
    </row>
    <row r="594" spans="1:20" ht="13.8">
      <c r="A594" s="118" t="str">
        <f ca="1">IFERROR(__xludf.DUMMYFUNCTION("""COMPUTED_VALUE"""),"FS")</f>
        <v>FS</v>
      </c>
      <c r="B594" s="119" t="str">
        <f ca="1">IFERROR(__xludf.DUMMYFUNCTION("""COMPUTED_VALUE"""),"Chanler Majiros")</f>
        <v>Chanler Majiros</v>
      </c>
      <c r="C594" s="118">
        <f ca="1">IFERROR(__xludf.DUMMYFUNCTION("""COMPUTED_VALUE"""),10)</f>
        <v>10</v>
      </c>
      <c r="D594" s="118" t="str">
        <f ca="1">IFERROR(__xludf.DUMMYFUNCTION("""COMPUTED_VALUE"""),"B")</f>
        <v>B</v>
      </c>
      <c r="E594" s="118" t="str">
        <f ca="1">IFERROR(__xludf.DUMMYFUNCTION("""COMPUTED_VALUE"""),"F")</f>
        <v>F</v>
      </c>
      <c r="F594" s="118" t="str">
        <f ca="1">IFERROR(__xludf.DUMMYFUNCTION("""COMPUTED_VALUE"""),"J")</f>
        <v>J</v>
      </c>
      <c r="G594" s="118">
        <f ca="1">IFERROR(__xludf.DUMMYFUNCTION("""COMPUTED_VALUE"""),3)</f>
        <v>3</v>
      </c>
      <c r="H594" s="118" t="str">
        <f ca="1">IFERROR(__xludf.DUMMYFUNCTION("""COMPUTED_VALUE"""),"FS")</f>
        <v>FS</v>
      </c>
      <c r="I594" s="118">
        <f ca="1">IFERROR(__xludf.DUMMYFUNCTION("""COMPUTED_VALUE"""),5)</f>
        <v>5</v>
      </c>
      <c r="J594" s="118">
        <f ca="1">IFERROR(__xludf.DUMMYFUNCTION("""COMPUTED_VALUE"""),5)</f>
        <v>5</v>
      </c>
      <c r="K594" s="120">
        <f ca="1">IFERROR(__xludf.DUMMYFUNCTION("""COMPUTED_VALUE"""),74.95)</f>
        <v>74.95</v>
      </c>
      <c r="L594" s="121"/>
      <c r="M594" s="120">
        <f ca="1">IFERROR(__xludf.DUMMYFUNCTION("""COMPUTED_VALUE"""),74.8)</f>
        <v>74.8</v>
      </c>
      <c r="N594" s="121"/>
      <c r="O594" s="120">
        <f ca="1">IFERROR(__xludf.DUMMYFUNCTION("""COMPUTED_VALUE"""),70.3)</f>
        <v>70.3</v>
      </c>
      <c r="P594" s="122"/>
      <c r="Q594" s="123" t="str">
        <f ca="1">IFERROR(__xludf.DUMMYFUNCTION("""COMPUTED_VALUE"""),"Lillian Rakip")</f>
        <v>Lillian Rakip</v>
      </c>
      <c r="R594" s="123" t="str">
        <f ca="1">IFERROR(__xludf.DUMMYFUNCTION("""COMPUTED_VALUE"""),"Stanley Hopwood")</f>
        <v>Stanley Hopwood</v>
      </c>
      <c r="S594" s="123" t="str">
        <f ca="1">IFERROR(__xludf.DUMMYFUNCTION("""COMPUTED_VALUE"""),"Isabel Pereira")</f>
        <v>Isabel Pereira</v>
      </c>
      <c r="T594" s="123" t="str">
        <f ca="1">IFERROR(__xludf.DUMMYFUNCTION("""COMPUTED_VALUE"""),"Marco Fazio")</f>
        <v>Marco Fazio</v>
      </c>
    </row>
    <row r="595" spans="1:20" ht="13.8">
      <c r="A595" s="118" t="str">
        <f ca="1">IFERROR(__xludf.DUMMYFUNCTION("""COMPUTED_VALUE"""),"FS")</f>
        <v>FS</v>
      </c>
      <c r="B595" s="119" t="str">
        <f ca="1">IFERROR(__xludf.DUMMYFUNCTION("""COMPUTED_VALUE"""),"Chase McCormick")</f>
        <v>Chase McCormick</v>
      </c>
      <c r="C595" s="118">
        <f ca="1">IFERROR(__xludf.DUMMYFUNCTION("""COMPUTED_VALUE"""),10)</f>
        <v>10</v>
      </c>
      <c r="D595" s="118" t="str">
        <f ca="1">IFERROR(__xludf.DUMMYFUNCTION("""COMPUTED_VALUE"""),"B")</f>
        <v>B</v>
      </c>
      <c r="E595" s="118" t="str">
        <f ca="1">IFERROR(__xludf.DUMMYFUNCTION("""COMPUTED_VALUE"""),"F")</f>
        <v>F</v>
      </c>
      <c r="F595" s="118" t="str">
        <f ca="1">IFERROR(__xludf.DUMMYFUNCTION("""COMPUTED_VALUE"""),"J")</f>
        <v>J</v>
      </c>
      <c r="G595" s="118">
        <f ca="1">IFERROR(__xludf.DUMMYFUNCTION("""COMPUTED_VALUE"""),3)</f>
        <v>3</v>
      </c>
      <c r="H595" s="118" t="str">
        <f ca="1">IFERROR(__xludf.DUMMYFUNCTION("""COMPUTED_VALUE"""),"FS")</f>
        <v>FS</v>
      </c>
      <c r="I595" s="118">
        <f ca="1">IFERROR(__xludf.DUMMYFUNCTION("""COMPUTED_VALUE"""),5)</f>
        <v>5</v>
      </c>
      <c r="J595" s="118">
        <f ca="1">IFERROR(__xludf.DUMMYFUNCTION("""COMPUTED_VALUE"""),0)</f>
        <v>0</v>
      </c>
      <c r="K595" s="120"/>
      <c r="L595" s="121"/>
      <c r="M595" s="120"/>
      <c r="N595" s="121"/>
      <c r="O595" s="120"/>
      <c r="P595" s="122"/>
      <c r="Q595" s="123" t="str">
        <f ca="1">IFERROR(__xludf.DUMMYFUNCTION("""COMPUTED_VALUE"""),"Lillian Sinclair")</f>
        <v>Lillian Sinclair</v>
      </c>
      <c r="R595" s="123" t="str">
        <f ca="1">IFERROR(__xludf.DUMMYFUNCTION("""COMPUTED_VALUE"""),"Stellan Stoltz")</f>
        <v>Stellan Stoltz</v>
      </c>
      <c r="S595" s="123" t="str">
        <f ca="1">IFERROR(__xludf.DUMMYFUNCTION("""COMPUTED_VALUE"""),"Isabella D'Ambrogi")</f>
        <v>Isabella D'Ambrogi</v>
      </c>
      <c r="T595" s="123" t="str">
        <f ca="1">IFERROR(__xludf.DUMMYFUNCTION("""COMPUTED_VALUE"""),"Marcus Bryan")</f>
        <v>Marcus Bryan</v>
      </c>
    </row>
    <row r="596" spans="1:20" ht="13.8">
      <c r="A596" s="118" t="str">
        <f ca="1">IFERROR(__xludf.DUMMYFUNCTION("""COMPUTED_VALUE"""),"FS")</f>
        <v>FS</v>
      </c>
      <c r="B596" s="119" t="str">
        <f ca="1">IFERROR(__xludf.DUMMYFUNCTION("""COMPUTED_VALUE"""),"Ebenezer Louie")</f>
        <v>Ebenezer Louie</v>
      </c>
      <c r="C596" s="118">
        <f ca="1">IFERROR(__xludf.DUMMYFUNCTION("""COMPUTED_VALUE"""),9)</f>
        <v>9</v>
      </c>
      <c r="D596" s="118" t="str">
        <f ca="1">IFERROR(__xludf.DUMMYFUNCTION("""COMPUTED_VALUE"""),"B")</f>
        <v>B</v>
      </c>
      <c r="E596" s="118" t="str">
        <f ca="1">IFERROR(__xludf.DUMMYFUNCTION("""COMPUTED_VALUE"""),"F")</f>
        <v>F</v>
      </c>
      <c r="F596" s="118" t="str">
        <f ca="1">IFERROR(__xludf.DUMMYFUNCTION("""COMPUTED_VALUE"""),"J")</f>
        <v>J</v>
      </c>
      <c r="G596" s="118">
        <f ca="1">IFERROR(__xludf.DUMMYFUNCTION("""COMPUTED_VALUE"""),3)</f>
        <v>3</v>
      </c>
      <c r="H596" s="118" t="str">
        <f ca="1">IFERROR(__xludf.DUMMYFUNCTION("""COMPUTED_VALUE"""),"FS")</f>
        <v>FS</v>
      </c>
      <c r="I596" s="118">
        <f ca="1">IFERROR(__xludf.DUMMYFUNCTION("""COMPUTED_VALUE"""),5)</f>
        <v>5</v>
      </c>
      <c r="J596" s="118">
        <f ca="1">IFERROR(__xludf.DUMMYFUNCTION("""COMPUTED_VALUE"""),5)</f>
        <v>5</v>
      </c>
      <c r="K596" s="120">
        <f ca="1">IFERROR(__xludf.DUMMYFUNCTION("""COMPUTED_VALUE"""),51.3)</f>
        <v>51.3</v>
      </c>
      <c r="L596" s="121"/>
      <c r="M596" s="120">
        <f ca="1">IFERROR(__xludf.DUMMYFUNCTION("""COMPUTED_VALUE"""),35.85)</f>
        <v>35.85</v>
      </c>
      <c r="N596" s="121"/>
      <c r="O596" s="120">
        <f ca="1">IFERROR(__xludf.DUMMYFUNCTION("""COMPUTED_VALUE"""),34.95)</f>
        <v>34.950000000000003</v>
      </c>
      <c r="P596" s="122"/>
      <c r="Q596" s="123" t="str">
        <f ca="1">IFERROR(__xludf.DUMMYFUNCTION("""COMPUTED_VALUE"""),"Lillian Wade")</f>
        <v>Lillian Wade</v>
      </c>
      <c r="R596" s="123" t="str">
        <f ca="1">IFERROR(__xludf.DUMMYFUNCTION("""COMPUTED_VALUE"""),"Stevie Simmons")</f>
        <v>Stevie Simmons</v>
      </c>
      <c r="S596" s="123" t="str">
        <f ca="1">IFERROR(__xludf.DUMMYFUNCTION("""COMPUTED_VALUE"""),"Isabella Falsone")</f>
        <v>Isabella Falsone</v>
      </c>
      <c r="T596" s="123" t="str">
        <f ca="1">IFERROR(__xludf.DUMMYFUNCTION("""COMPUTED_VALUE"""),"Marcus Dempsey")</f>
        <v>Marcus Dempsey</v>
      </c>
    </row>
    <row r="597" spans="1:20" ht="13.8">
      <c r="A597" s="118" t="str">
        <f ca="1">IFERROR(__xludf.DUMMYFUNCTION("""COMPUTED_VALUE"""),"FS")</f>
        <v>FS</v>
      </c>
      <c r="B597" s="119" t="str">
        <f ca="1">IFERROR(__xludf.DUMMYFUNCTION("""COMPUTED_VALUE"""),"Ethan Louie")</f>
        <v>Ethan Louie</v>
      </c>
      <c r="C597" s="118">
        <f ca="1">IFERROR(__xludf.DUMMYFUNCTION("""COMPUTED_VALUE"""),6)</f>
        <v>6</v>
      </c>
      <c r="D597" s="118" t="str">
        <f ca="1">IFERROR(__xludf.DUMMYFUNCTION("""COMPUTED_VALUE"""),"B")</f>
        <v>B</v>
      </c>
      <c r="E597" s="118" t="str">
        <f ca="1">IFERROR(__xludf.DUMMYFUNCTION("""COMPUTED_VALUE"""),"F")</f>
        <v>F</v>
      </c>
      <c r="F597" s="118" t="str">
        <f ca="1">IFERROR(__xludf.DUMMYFUNCTION("""COMPUTED_VALUE"""),"J")</f>
        <v>J</v>
      </c>
      <c r="G597" s="118">
        <f ca="1">IFERROR(__xludf.DUMMYFUNCTION("""COMPUTED_VALUE"""),3)</f>
        <v>3</v>
      </c>
      <c r="H597" s="118" t="str">
        <f ca="1">IFERROR(__xludf.DUMMYFUNCTION("""COMPUTED_VALUE"""),"FS")</f>
        <v>FS</v>
      </c>
      <c r="I597" s="118">
        <f ca="1">IFERROR(__xludf.DUMMYFUNCTION("""COMPUTED_VALUE"""),5)</f>
        <v>5</v>
      </c>
      <c r="J597" s="118">
        <f ca="1">IFERROR(__xludf.DUMMYFUNCTION("""COMPUTED_VALUE"""),0)</f>
        <v>0</v>
      </c>
      <c r="K597" s="120"/>
      <c r="L597" s="121"/>
      <c r="M597" s="120"/>
      <c r="N597" s="121"/>
      <c r="O597" s="120"/>
      <c r="P597" s="122"/>
      <c r="Q597" s="123" t="str">
        <f ca="1">IFERROR(__xludf.DUMMYFUNCTION("""COMPUTED_VALUE"""),"Lilliana Chu")</f>
        <v>Lilliana Chu</v>
      </c>
      <c r="R597" s="123" t="str">
        <f ca="1">IFERROR(__xludf.DUMMYFUNCTION("""COMPUTED_VALUE"""),"Sullivan Moore")</f>
        <v>Sullivan Moore</v>
      </c>
      <c r="S597" s="123" t="str">
        <f ca="1">IFERROR(__xludf.DUMMYFUNCTION("""COMPUTED_VALUE"""),"Isabelle Dixey")</f>
        <v>Isabelle Dixey</v>
      </c>
      <c r="T597" s="123" t="str">
        <f ca="1">IFERROR(__xludf.DUMMYFUNCTION("""COMPUTED_VALUE"""),"Mario Guillen")</f>
        <v>Mario Guillen</v>
      </c>
    </row>
    <row r="598" spans="1:20" ht="13.8">
      <c r="A598" s="118" t="str">
        <f ca="1">IFERROR(__xludf.DUMMYFUNCTION("""COMPUTED_VALUE"""),"FS")</f>
        <v>FS</v>
      </c>
      <c r="B598" s="119" t="str">
        <f ca="1">IFERROR(__xludf.DUMMYFUNCTION("""COMPUTED_VALUE"""),"Fletcher Telleen")</f>
        <v>Fletcher Telleen</v>
      </c>
      <c r="C598" s="118">
        <f ca="1">IFERROR(__xludf.DUMMYFUNCTION("""COMPUTED_VALUE"""),6)</f>
        <v>6</v>
      </c>
      <c r="D598" s="118" t="str">
        <f ca="1">IFERROR(__xludf.DUMMYFUNCTION("""COMPUTED_VALUE"""),"B")</f>
        <v>B</v>
      </c>
      <c r="E598" s="118" t="str">
        <f ca="1">IFERROR(__xludf.DUMMYFUNCTION("""COMPUTED_VALUE"""),"F")</f>
        <v>F</v>
      </c>
      <c r="F598" s="118" t="str">
        <f ca="1">IFERROR(__xludf.DUMMYFUNCTION("""COMPUTED_VALUE"""),"J")</f>
        <v>J</v>
      </c>
      <c r="G598" s="118">
        <f ca="1">IFERROR(__xludf.DUMMYFUNCTION("""COMPUTED_VALUE"""),3)</f>
        <v>3</v>
      </c>
      <c r="H598" s="118" t="str">
        <f ca="1">IFERROR(__xludf.DUMMYFUNCTION("""COMPUTED_VALUE"""),"FS")</f>
        <v>FS</v>
      </c>
      <c r="I598" s="118">
        <f ca="1">IFERROR(__xludf.DUMMYFUNCTION("""COMPUTED_VALUE"""),5)</f>
        <v>5</v>
      </c>
      <c r="J598" s="118">
        <f ca="1">IFERROR(__xludf.DUMMYFUNCTION("""COMPUTED_VALUE"""),5)</f>
        <v>5</v>
      </c>
      <c r="K598" s="120">
        <f ca="1">IFERROR(__xludf.DUMMYFUNCTION("""COMPUTED_VALUE"""),50.75)</f>
        <v>50.75</v>
      </c>
      <c r="L598" s="121"/>
      <c r="M598" s="120">
        <f ca="1">IFERROR(__xludf.DUMMYFUNCTION("""COMPUTED_VALUE"""),36.5)</f>
        <v>36.5</v>
      </c>
      <c r="N598" s="121"/>
      <c r="O598" s="120">
        <f ca="1">IFERROR(__xludf.DUMMYFUNCTION("""COMPUTED_VALUE"""),50.75)</f>
        <v>50.75</v>
      </c>
      <c r="P598" s="122"/>
      <c r="Q598" s="123" t="str">
        <f ca="1">IFERROR(__xludf.DUMMYFUNCTION("""COMPUTED_VALUE"""),"Lilly Apgar")</f>
        <v>Lilly Apgar</v>
      </c>
      <c r="R598" s="123" t="str">
        <f ca="1">IFERROR(__xludf.DUMMYFUNCTION("""COMPUTED_VALUE"""),"Tanner Bennett")</f>
        <v>Tanner Bennett</v>
      </c>
      <c r="S598" s="123" t="str">
        <f ca="1">IFERROR(__xludf.DUMMYFUNCTION("""COMPUTED_VALUE"""),"Isabelle Hoover")</f>
        <v>Isabelle Hoover</v>
      </c>
      <c r="T598" s="123" t="str">
        <f ca="1">IFERROR(__xludf.DUMMYFUNCTION("""COMPUTED_VALUE"""),"Mario Ma")</f>
        <v>Mario Ma</v>
      </c>
    </row>
    <row r="599" spans="1:20" ht="13.8">
      <c r="A599" s="118" t="str">
        <f ca="1">IFERROR(__xludf.DUMMYFUNCTION("""COMPUTED_VALUE"""),"FS")</f>
        <v>FS</v>
      </c>
      <c r="B599" s="119" t="str">
        <f ca="1">IFERROR(__xludf.DUMMYFUNCTION("""COMPUTED_VALUE"""),"Hudson Lybarger")</f>
        <v>Hudson Lybarger</v>
      </c>
      <c r="C599" s="118">
        <f ca="1">IFERROR(__xludf.DUMMYFUNCTION("""COMPUTED_VALUE"""),10)</f>
        <v>10</v>
      </c>
      <c r="D599" s="118" t="str">
        <f ca="1">IFERROR(__xludf.DUMMYFUNCTION("""COMPUTED_VALUE"""),"B")</f>
        <v>B</v>
      </c>
      <c r="E599" s="118" t="str">
        <f ca="1">IFERROR(__xludf.DUMMYFUNCTION("""COMPUTED_VALUE"""),"F")</f>
        <v>F</v>
      </c>
      <c r="F599" s="118" t="str">
        <f ca="1">IFERROR(__xludf.DUMMYFUNCTION("""COMPUTED_VALUE"""),"J")</f>
        <v>J</v>
      </c>
      <c r="G599" s="118">
        <f ca="1">IFERROR(__xludf.DUMMYFUNCTION("""COMPUTED_VALUE"""),3)</f>
        <v>3</v>
      </c>
      <c r="H599" s="118" t="str">
        <f ca="1">IFERROR(__xludf.DUMMYFUNCTION("""COMPUTED_VALUE"""),"FS")</f>
        <v>FS</v>
      </c>
      <c r="I599" s="118">
        <f ca="1">IFERROR(__xludf.DUMMYFUNCTION("""COMPUTED_VALUE"""),5)</f>
        <v>5</v>
      </c>
      <c r="J599" s="118">
        <f ca="1">IFERROR(__xludf.DUMMYFUNCTION("""COMPUTED_VALUE"""),5)</f>
        <v>5</v>
      </c>
      <c r="K599" s="120">
        <f ca="1">IFERROR(__xludf.DUMMYFUNCTION("""COMPUTED_VALUE"""),48.3)</f>
        <v>48.3</v>
      </c>
      <c r="L599" s="121"/>
      <c r="M599" s="120">
        <f ca="1">IFERROR(__xludf.DUMMYFUNCTION("""COMPUTED_VALUE"""),32.5)</f>
        <v>32.5</v>
      </c>
      <c r="N599" s="121"/>
      <c r="O599" s="120">
        <f ca="1">IFERROR(__xludf.DUMMYFUNCTION("""COMPUTED_VALUE"""),48.3)</f>
        <v>48.3</v>
      </c>
      <c r="P599" s="122"/>
      <c r="Q599" s="123" t="str">
        <f ca="1">IFERROR(__xludf.DUMMYFUNCTION("""COMPUTED_VALUE"""),"Lilly Cameron")</f>
        <v>Lilly Cameron</v>
      </c>
      <c r="R599" s="123" t="str">
        <f ca="1">IFERROR(__xludf.DUMMYFUNCTION("""COMPUTED_VALUE"""),"Tanner Green")</f>
        <v>Tanner Green</v>
      </c>
      <c r="S599" s="123" t="str">
        <f ca="1">IFERROR(__xludf.DUMMYFUNCTION("""COMPUTED_VALUE"""),"Isabelle Koenig")</f>
        <v>Isabelle Koenig</v>
      </c>
      <c r="T599" s="123" t="str">
        <f ca="1">IFERROR(__xludf.DUMMYFUNCTION("""COMPUTED_VALUE"""),"Markus Krumins")</f>
        <v>Markus Krumins</v>
      </c>
    </row>
    <row r="600" spans="1:20" ht="13.8">
      <c r="A600" s="118" t="str">
        <f ca="1">IFERROR(__xludf.DUMMYFUNCTION("""COMPUTED_VALUE"""),"FS")</f>
        <v>FS</v>
      </c>
      <c r="B600" s="119" t="str">
        <f ca="1">IFERROR(__xludf.DUMMYFUNCTION("""COMPUTED_VALUE"""),"Rowan O'Leary")</f>
        <v>Rowan O'Leary</v>
      </c>
      <c r="C600" s="118">
        <f ca="1">IFERROR(__xludf.DUMMYFUNCTION("""COMPUTED_VALUE"""),6)</f>
        <v>6</v>
      </c>
      <c r="D600" s="118" t="str">
        <f ca="1">IFERROR(__xludf.DUMMYFUNCTION("""COMPUTED_VALUE"""),"B")</f>
        <v>B</v>
      </c>
      <c r="E600" s="118" t="str">
        <f ca="1">IFERROR(__xludf.DUMMYFUNCTION("""COMPUTED_VALUE"""),"F")</f>
        <v>F</v>
      </c>
      <c r="F600" s="118" t="str">
        <f ca="1">IFERROR(__xludf.DUMMYFUNCTION("""COMPUTED_VALUE"""),"J")</f>
        <v>J</v>
      </c>
      <c r="G600" s="118">
        <f ca="1">IFERROR(__xludf.DUMMYFUNCTION("""COMPUTED_VALUE"""),3)</f>
        <v>3</v>
      </c>
      <c r="H600" s="118" t="str">
        <f ca="1">IFERROR(__xludf.DUMMYFUNCTION("""COMPUTED_VALUE"""),"FS")</f>
        <v>FS</v>
      </c>
      <c r="I600" s="118">
        <f ca="1">IFERROR(__xludf.DUMMYFUNCTION("""COMPUTED_VALUE"""),5)</f>
        <v>5</v>
      </c>
      <c r="J600" s="118">
        <f ca="1">IFERROR(__xludf.DUMMYFUNCTION("""COMPUTED_VALUE"""),0)</f>
        <v>0</v>
      </c>
      <c r="K600" s="120"/>
      <c r="L600" s="121"/>
      <c r="M600" s="120"/>
      <c r="N600" s="121"/>
      <c r="O600" s="120"/>
      <c r="P600" s="122"/>
      <c r="Q600" s="123" t="str">
        <f ca="1">IFERROR(__xludf.DUMMYFUNCTION("""COMPUTED_VALUE"""),"Lilly Jessup")</f>
        <v>Lilly Jessup</v>
      </c>
      <c r="R600" s="123" t="str">
        <f ca="1">IFERROR(__xludf.DUMMYFUNCTION("""COMPUTED_VALUE"""),"Tanner Williams")</f>
        <v>Tanner Williams</v>
      </c>
      <c r="S600" s="123" t="str">
        <f ca="1">IFERROR(__xludf.DUMMYFUNCTION("""COMPUTED_VALUE"""),"Isabelle Whang")</f>
        <v>Isabelle Whang</v>
      </c>
      <c r="T600" s="123" t="str">
        <f ca="1">IFERROR(__xludf.DUMMYFUNCTION("""COMPUTED_VALUE"""),"Martin Streckfus-Green")</f>
        <v>Martin Streckfus-Green</v>
      </c>
    </row>
    <row r="601" spans="1:20" ht="13.8">
      <c r="A601" s="118" t="str">
        <f ca="1">IFERROR(__xludf.DUMMYFUNCTION("""COMPUTED_VALUE"""),"FS")</f>
        <v>FS</v>
      </c>
      <c r="B601" s="119" t="str">
        <f ca="1">IFERROR(__xludf.DUMMYFUNCTION("""COMPUTED_VALUE"""),"Abby Reilly")</f>
        <v>Abby Reilly</v>
      </c>
      <c r="C601" s="118">
        <f ca="1">IFERROR(__xludf.DUMMYFUNCTION("""COMPUTED_VALUE"""),12)</f>
        <v>12</v>
      </c>
      <c r="D601" s="118" t="str">
        <f ca="1">IFERROR(__xludf.DUMMYFUNCTION("""COMPUTED_VALUE"""),"G")</f>
        <v>G</v>
      </c>
      <c r="E601" s="118" t="str">
        <f ca="1">IFERROR(__xludf.DUMMYFUNCTION("""COMPUTED_VALUE"""),"J")</f>
        <v>J</v>
      </c>
      <c r="F601" s="118" t="str">
        <f ca="1">IFERROR(__xludf.DUMMYFUNCTION("""COMPUTED_VALUE"""),"I")</f>
        <v>I</v>
      </c>
      <c r="G601" s="118">
        <f ca="1">IFERROR(__xludf.DUMMYFUNCTION("""COMPUTED_VALUE"""),3)</f>
        <v>3</v>
      </c>
      <c r="H601" s="118" t="str">
        <f ca="1">IFERROR(__xludf.DUMMYFUNCTION("""COMPUTED_VALUE"""),"FS")</f>
        <v>FS</v>
      </c>
      <c r="I601" s="118">
        <f ca="1">IFERROR(__xludf.DUMMYFUNCTION("""COMPUTED_VALUE"""),6)</f>
        <v>6</v>
      </c>
      <c r="J601" s="118">
        <f ca="1">IFERROR(__xludf.DUMMYFUNCTION("""COMPUTED_VALUE"""),5)</f>
        <v>5</v>
      </c>
      <c r="K601" s="120">
        <f ca="1">IFERROR(__xludf.DUMMYFUNCTION("""COMPUTED_VALUE"""),84.6)</f>
        <v>84.6</v>
      </c>
      <c r="L601" s="121"/>
      <c r="M601" s="120">
        <f ca="1">IFERROR(__xludf.DUMMYFUNCTION("""COMPUTED_VALUE"""),63.8)</f>
        <v>63.8</v>
      </c>
      <c r="N601" s="121"/>
      <c r="O601" s="120">
        <f ca="1">IFERROR(__xludf.DUMMYFUNCTION("""COMPUTED_VALUE"""),84.6)</f>
        <v>84.6</v>
      </c>
      <c r="P601" s="122"/>
      <c r="Q601" s="123" t="str">
        <f ca="1">IFERROR(__xludf.DUMMYFUNCTION("""COMPUTED_VALUE"""),"Lily Boger")</f>
        <v>Lily Boger</v>
      </c>
      <c r="R601" s="123" t="str">
        <f ca="1">IFERROR(__xludf.DUMMYFUNCTION("""COMPUTED_VALUE"""),"Tayo Llosa")</f>
        <v>Tayo Llosa</v>
      </c>
      <c r="S601" s="123" t="str">
        <f ca="1">IFERROR(__xludf.DUMMYFUNCTION("""COMPUTED_VALUE"""),"Isabelle Willett")</f>
        <v>Isabelle Willett</v>
      </c>
      <c r="T601" s="123" t="str">
        <f ca="1">IFERROR(__xludf.DUMMYFUNCTION("""COMPUTED_VALUE"""),"Mason Chang")</f>
        <v>Mason Chang</v>
      </c>
    </row>
    <row r="602" spans="1:20" ht="13.8">
      <c r="A602" s="118" t="str">
        <f ca="1">IFERROR(__xludf.DUMMYFUNCTION("""COMPUTED_VALUE"""),"FS")</f>
        <v>FS</v>
      </c>
      <c r="B602" s="119" t="str">
        <f ca="1">IFERROR(__xludf.DUMMYFUNCTION("""COMPUTED_VALUE"""),"Antonella Salcedo")</f>
        <v>Antonella Salcedo</v>
      </c>
      <c r="C602" s="118">
        <f ca="1">IFERROR(__xludf.DUMMYFUNCTION("""COMPUTED_VALUE"""),11)</f>
        <v>11</v>
      </c>
      <c r="D602" s="118" t="str">
        <f ca="1">IFERROR(__xludf.DUMMYFUNCTION("""COMPUTED_VALUE"""),"G")</f>
        <v>G</v>
      </c>
      <c r="E602" s="118" t="str">
        <f ca="1">IFERROR(__xludf.DUMMYFUNCTION("""COMPUTED_VALUE"""),"J")</f>
        <v>J</v>
      </c>
      <c r="F602" s="118" t="str">
        <f ca="1">IFERROR(__xludf.DUMMYFUNCTION("""COMPUTED_VALUE"""),"I")</f>
        <v>I</v>
      </c>
      <c r="G602" s="118">
        <f ca="1">IFERROR(__xludf.DUMMYFUNCTION("""COMPUTED_VALUE"""),3)</f>
        <v>3</v>
      </c>
      <c r="H602" s="118" t="str">
        <f ca="1">IFERROR(__xludf.DUMMYFUNCTION("""COMPUTED_VALUE"""),"FS")</f>
        <v>FS</v>
      </c>
      <c r="I602" s="118">
        <f ca="1">IFERROR(__xludf.DUMMYFUNCTION("""COMPUTED_VALUE"""),6)</f>
        <v>6</v>
      </c>
      <c r="J602" s="118">
        <f ca="1">IFERROR(__xludf.DUMMYFUNCTION("""COMPUTED_VALUE"""),0)</f>
        <v>0</v>
      </c>
      <c r="K602" s="120"/>
      <c r="L602" s="121"/>
      <c r="M602" s="120"/>
      <c r="N602" s="121"/>
      <c r="O602" s="120"/>
      <c r="P602" s="122"/>
      <c r="Q602" s="123" t="str">
        <f ca="1">IFERROR(__xludf.DUMMYFUNCTION("""COMPUTED_VALUE"""),"Lily Booher")</f>
        <v>Lily Booher</v>
      </c>
      <c r="R602" s="123" t="str">
        <f ca="1">IFERROR(__xludf.DUMMYFUNCTION("""COMPUTED_VALUE"""),"Teddy Alarie")</f>
        <v>Teddy Alarie</v>
      </c>
      <c r="S602" s="123" t="str">
        <f ca="1">IFERROR(__xludf.DUMMYFUNCTION("""COMPUTED_VALUE"""),"Isla Cannon")</f>
        <v>Isla Cannon</v>
      </c>
      <c r="T602" s="123" t="str">
        <f ca="1">IFERROR(__xludf.DUMMYFUNCTION("""COMPUTED_VALUE"""),"Mason Georgas")</f>
        <v>Mason Georgas</v>
      </c>
    </row>
    <row r="603" spans="1:20" ht="13.8">
      <c r="A603" s="118" t="str">
        <f ca="1">IFERROR(__xludf.DUMMYFUNCTION("""COMPUTED_VALUE"""),"FS")</f>
        <v>FS</v>
      </c>
      <c r="B603" s="119" t="str">
        <f ca="1">IFERROR(__xludf.DUMMYFUNCTION("""COMPUTED_VALUE"""),"Aria Giarraputo")</f>
        <v>Aria Giarraputo</v>
      </c>
      <c r="C603" s="118">
        <f ca="1">IFERROR(__xludf.DUMMYFUNCTION("""COMPUTED_VALUE"""),12)</f>
        <v>12</v>
      </c>
      <c r="D603" s="118" t="str">
        <f ca="1">IFERROR(__xludf.DUMMYFUNCTION("""COMPUTED_VALUE"""),"G")</f>
        <v>G</v>
      </c>
      <c r="E603" s="118" t="str">
        <f ca="1">IFERROR(__xludf.DUMMYFUNCTION("""COMPUTED_VALUE"""),"J")</f>
        <v>J</v>
      </c>
      <c r="F603" s="118" t="str">
        <f ca="1">IFERROR(__xludf.DUMMYFUNCTION("""COMPUTED_VALUE"""),"I")</f>
        <v>I</v>
      </c>
      <c r="G603" s="118">
        <f ca="1">IFERROR(__xludf.DUMMYFUNCTION("""COMPUTED_VALUE"""),3)</f>
        <v>3</v>
      </c>
      <c r="H603" s="118" t="str">
        <f ca="1">IFERROR(__xludf.DUMMYFUNCTION("""COMPUTED_VALUE"""),"FS")</f>
        <v>FS</v>
      </c>
      <c r="I603" s="118">
        <f ca="1">IFERROR(__xludf.DUMMYFUNCTION("""COMPUTED_VALUE"""),6)</f>
        <v>6</v>
      </c>
      <c r="J603" s="118">
        <f ca="1">IFERROR(__xludf.DUMMYFUNCTION("""COMPUTED_VALUE"""),4)</f>
        <v>4</v>
      </c>
      <c r="K603" s="120">
        <f ca="1">IFERROR(__xludf.DUMMYFUNCTION("""COMPUTED_VALUE"""),103.55)</f>
        <v>103.55</v>
      </c>
      <c r="L603" s="121"/>
      <c r="M603" s="120">
        <f ca="1">IFERROR(__xludf.DUMMYFUNCTION("""COMPUTED_VALUE"""),81.6)</f>
        <v>81.599999999999994</v>
      </c>
      <c r="N603" s="121"/>
      <c r="O603" s="120">
        <f ca="1">IFERROR(__xludf.DUMMYFUNCTION("""COMPUTED_VALUE"""),103.55)</f>
        <v>103.55</v>
      </c>
      <c r="P603" s="122"/>
      <c r="Q603" s="123" t="str">
        <f ca="1">IFERROR(__xludf.DUMMYFUNCTION("""COMPUTED_VALUE"""),"Lily Brubeck")</f>
        <v>Lily Brubeck</v>
      </c>
      <c r="R603" s="123" t="str">
        <f ca="1">IFERROR(__xludf.DUMMYFUNCTION("""COMPUTED_VALUE"""),"Teddy Anderson")</f>
        <v>Teddy Anderson</v>
      </c>
      <c r="S603" s="123" t="str">
        <f ca="1">IFERROR(__xludf.DUMMYFUNCTION("""COMPUTED_VALUE"""),"Isla Curry")</f>
        <v>Isla Curry</v>
      </c>
      <c r="T603" s="123" t="str">
        <f ca="1">IFERROR(__xludf.DUMMYFUNCTION("""COMPUTED_VALUE"""),"Mason Iams")</f>
        <v>Mason Iams</v>
      </c>
    </row>
    <row r="604" spans="1:20" ht="13.8">
      <c r="A604" s="118" t="str">
        <f ca="1">IFERROR(__xludf.DUMMYFUNCTION("""COMPUTED_VALUE"""),"FS")</f>
        <v>FS</v>
      </c>
      <c r="B604" s="119" t="str">
        <f ca="1">IFERROR(__xludf.DUMMYFUNCTION("""COMPUTED_VALUE"""),"Elizabeth Pidgeon")</f>
        <v>Elizabeth Pidgeon</v>
      </c>
      <c r="C604" s="118">
        <f ca="1">IFERROR(__xludf.DUMMYFUNCTION("""COMPUTED_VALUE"""),11)</f>
        <v>11</v>
      </c>
      <c r="D604" s="118" t="str">
        <f ca="1">IFERROR(__xludf.DUMMYFUNCTION("""COMPUTED_VALUE"""),"G")</f>
        <v>G</v>
      </c>
      <c r="E604" s="118" t="str">
        <f ca="1">IFERROR(__xludf.DUMMYFUNCTION("""COMPUTED_VALUE"""),"J")</f>
        <v>J</v>
      </c>
      <c r="F604" s="118" t="str">
        <f ca="1">IFERROR(__xludf.DUMMYFUNCTION("""COMPUTED_VALUE"""),"I")</f>
        <v>I</v>
      </c>
      <c r="G604" s="118">
        <f ca="1">IFERROR(__xludf.DUMMYFUNCTION("""COMPUTED_VALUE"""),3)</f>
        <v>3</v>
      </c>
      <c r="H604" s="118" t="str">
        <f ca="1">IFERROR(__xludf.DUMMYFUNCTION("""COMPUTED_VALUE"""),"FS")</f>
        <v>FS</v>
      </c>
      <c r="I604" s="118">
        <f ca="1">IFERROR(__xludf.DUMMYFUNCTION("""COMPUTED_VALUE"""),6)</f>
        <v>6</v>
      </c>
      <c r="J604" s="118">
        <f ca="1">IFERROR(__xludf.DUMMYFUNCTION("""COMPUTED_VALUE"""),5)</f>
        <v>5</v>
      </c>
      <c r="K604" s="120">
        <f ca="1">IFERROR(__xludf.DUMMYFUNCTION("""COMPUTED_VALUE"""),111.05)</f>
        <v>111.05</v>
      </c>
      <c r="L604" s="121"/>
      <c r="M604" s="120">
        <f ca="1">IFERROR(__xludf.DUMMYFUNCTION("""COMPUTED_VALUE"""),97.95)</f>
        <v>97.95</v>
      </c>
      <c r="N604" s="121"/>
      <c r="O604" s="120">
        <f ca="1">IFERROR(__xludf.DUMMYFUNCTION("""COMPUTED_VALUE"""),108)</f>
        <v>108</v>
      </c>
      <c r="P604" s="122"/>
      <c r="Q604" s="123" t="str">
        <f ca="1">IFERROR(__xludf.DUMMYFUNCTION("""COMPUTED_VALUE"""),"Lily Carpenter")</f>
        <v>Lily Carpenter</v>
      </c>
      <c r="R604" s="123" t="str">
        <f ca="1">IFERROR(__xludf.DUMMYFUNCTION("""COMPUTED_VALUE"""),"Teddy Lilly")</f>
        <v>Teddy Lilly</v>
      </c>
      <c r="S604" s="123" t="str">
        <f ca="1">IFERROR(__xludf.DUMMYFUNCTION("""COMPUTED_VALUE"""),"Isla Newsad")</f>
        <v>Isla Newsad</v>
      </c>
      <c r="T604" s="123" t="str">
        <f ca="1">IFERROR(__xludf.DUMMYFUNCTION("""COMPUTED_VALUE"""),"Mason Waterfield")</f>
        <v>Mason Waterfield</v>
      </c>
    </row>
    <row r="605" spans="1:20" ht="13.8">
      <c r="A605" s="118" t="str">
        <f ca="1">IFERROR(__xludf.DUMMYFUNCTION("""COMPUTED_VALUE"""),"FS")</f>
        <v>FS</v>
      </c>
      <c r="B605" s="119" t="str">
        <f ca="1">IFERROR(__xludf.DUMMYFUNCTION("""COMPUTED_VALUE"""),"Emersyn Wilbur")</f>
        <v>Emersyn Wilbur</v>
      </c>
      <c r="C605" s="118">
        <f ca="1">IFERROR(__xludf.DUMMYFUNCTION("""COMPUTED_VALUE"""),12)</f>
        <v>12</v>
      </c>
      <c r="D605" s="118" t="str">
        <f ca="1">IFERROR(__xludf.DUMMYFUNCTION("""COMPUTED_VALUE"""),"G")</f>
        <v>G</v>
      </c>
      <c r="E605" s="118" t="str">
        <f ca="1">IFERROR(__xludf.DUMMYFUNCTION("""COMPUTED_VALUE"""),"J")</f>
        <v>J</v>
      </c>
      <c r="F605" s="118" t="str">
        <f ca="1">IFERROR(__xludf.DUMMYFUNCTION("""COMPUTED_VALUE"""),"I")</f>
        <v>I</v>
      </c>
      <c r="G605" s="118">
        <f ca="1">IFERROR(__xludf.DUMMYFUNCTION("""COMPUTED_VALUE"""),3)</f>
        <v>3</v>
      </c>
      <c r="H605" s="118" t="str">
        <f ca="1">IFERROR(__xludf.DUMMYFUNCTION("""COMPUTED_VALUE"""),"FS")</f>
        <v>FS</v>
      </c>
      <c r="I605" s="118">
        <f ca="1">IFERROR(__xludf.DUMMYFUNCTION("""COMPUTED_VALUE"""),6)</f>
        <v>6</v>
      </c>
      <c r="J605" s="118">
        <f ca="1">IFERROR(__xludf.DUMMYFUNCTION("""COMPUTED_VALUE"""),0)</f>
        <v>0</v>
      </c>
      <c r="K605" s="120"/>
      <c r="L605" s="121"/>
      <c r="M605" s="120"/>
      <c r="N605" s="121"/>
      <c r="O605" s="120"/>
      <c r="P605" s="122"/>
      <c r="Q605" s="123" t="str">
        <f ca="1">IFERROR(__xludf.DUMMYFUNCTION("""COMPUTED_VALUE"""),"Lily Dhalla")</f>
        <v>Lily Dhalla</v>
      </c>
      <c r="R605" s="123" t="str">
        <f ca="1">IFERROR(__xludf.DUMMYFUNCTION("""COMPUTED_VALUE"""),"Theo Hopkins")</f>
        <v>Theo Hopkins</v>
      </c>
      <c r="S605" s="123" t="str">
        <f ca="1">IFERROR(__xludf.DUMMYFUNCTION("""COMPUTED_VALUE"""),"Isla Powers")</f>
        <v>Isla Powers</v>
      </c>
      <c r="T605" s="123" t="str">
        <f ca="1">IFERROR(__xludf.DUMMYFUNCTION("""COMPUTED_VALUE"""),"Matheo Korin")</f>
        <v>Matheo Korin</v>
      </c>
    </row>
    <row r="606" spans="1:20" ht="13.8">
      <c r="A606" s="118" t="str">
        <f ca="1">IFERROR(__xludf.DUMMYFUNCTION("""COMPUTED_VALUE"""),"FS")</f>
        <v>FS</v>
      </c>
      <c r="B606" s="119" t="str">
        <f ca="1">IFERROR(__xludf.DUMMYFUNCTION("""COMPUTED_VALUE"""),"Lillian Haigh")</f>
        <v>Lillian Haigh</v>
      </c>
      <c r="C606" s="118">
        <f ca="1">IFERROR(__xludf.DUMMYFUNCTION("""COMPUTED_VALUE"""),11)</f>
        <v>11</v>
      </c>
      <c r="D606" s="118" t="str">
        <f ca="1">IFERROR(__xludf.DUMMYFUNCTION("""COMPUTED_VALUE"""),"G")</f>
        <v>G</v>
      </c>
      <c r="E606" s="118" t="str">
        <f ca="1">IFERROR(__xludf.DUMMYFUNCTION("""COMPUTED_VALUE"""),"J")</f>
        <v>J</v>
      </c>
      <c r="F606" s="118" t="str">
        <f ca="1">IFERROR(__xludf.DUMMYFUNCTION("""COMPUTED_VALUE"""),"I")</f>
        <v>I</v>
      </c>
      <c r="G606" s="118">
        <f ca="1">IFERROR(__xludf.DUMMYFUNCTION("""COMPUTED_VALUE"""),3)</f>
        <v>3</v>
      </c>
      <c r="H606" s="118" t="str">
        <f ca="1">IFERROR(__xludf.DUMMYFUNCTION("""COMPUTED_VALUE"""),"FS")</f>
        <v>FS</v>
      </c>
      <c r="I606" s="118">
        <f ca="1">IFERROR(__xludf.DUMMYFUNCTION("""COMPUTED_VALUE"""),6)</f>
        <v>6</v>
      </c>
      <c r="J606" s="118">
        <f ca="1">IFERROR(__xludf.DUMMYFUNCTION("""COMPUTED_VALUE"""),3)</f>
        <v>3</v>
      </c>
      <c r="K606" s="120">
        <f ca="1">IFERROR(__xludf.DUMMYFUNCTION("""COMPUTED_VALUE"""),70.8)</f>
        <v>70.8</v>
      </c>
      <c r="L606" s="121"/>
      <c r="M606" s="120"/>
      <c r="N606" s="121"/>
      <c r="O606" s="120">
        <f ca="1">IFERROR(__xludf.DUMMYFUNCTION("""COMPUTED_VALUE"""),61.15)</f>
        <v>61.15</v>
      </c>
      <c r="P606" s="122"/>
      <c r="Q606" s="123" t="str">
        <f ca="1">IFERROR(__xludf.DUMMYFUNCTION("""COMPUTED_VALUE"""),"Lily Kissinger")</f>
        <v>Lily Kissinger</v>
      </c>
      <c r="R606" s="123" t="str">
        <f ca="1">IFERROR(__xludf.DUMMYFUNCTION("""COMPUTED_VALUE"""),"Theo Shum-Sanders")</f>
        <v>Theo Shum-Sanders</v>
      </c>
      <c r="S606" s="123" t="str">
        <f ca="1">IFERROR(__xludf.DUMMYFUNCTION("""COMPUTED_VALUE"""),"Isla-Kate Reese")</f>
        <v>Isla-Kate Reese</v>
      </c>
      <c r="T606" s="123" t="str">
        <f ca="1">IFERROR(__xludf.DUMMYFUNCTION("""COMPUTED_VALUE"""),"Mathias Olesky-Fizyta")</f>
        <v>Mathias Olesky-Fizyta</v>
      </c>
    </row>
    <row r="607" spans="1:20" ht="13.8">
      <c r="A607" s="118" t="str">
        <f ca="1">IFERROR(__xludf.DUMMYFUNCTION("""COMPUTED_VALUE"""),"FS")</f>
        <v>FS</v>
      </c>
      <c r="B607" s="119" t="str">
        <f ca="1">IFERROR(__xludf.DUMMYFUNCTION("""COMPUTED_VALUE"""),"Mady McCormack")</f>
        <v>Mady McCormack</v>
      </c>
      <c r="C607" s="118">
        <f ca="1">IFERROR(__xludf.DUMMYFUNCTION("""COMPUTED_VALUE"""),12)</f>
        <v>12</v>
      </c>
      <c r="D607" s="118" t="str">
        <f ca="1">IFERROR(__xludf.DUMMYFUNCTION("""COMPUTED_VALUE"""),"G")</f>
        <v>G</v>
      </c>
      <c r="E607" s="118" t="str">
        <f ca="1">IFERROR(__xludf.DUMMYFUNCTION("""COMPUTED_VALUE"""),"J")</f>
        <v>J</v>
      </c>
      <c r="F607" s="118" t="str">
        <f ca="1">IFERROR(__xludf.DUMMYFUNCTION("""COMPUTED_VALUE"""),"I")</f>
        <v>I</v>
      </c>
      <c r="G607" s="118">
        <f ca="1">IFERROR(__xludf.DUMMYFUNCTION("""COMPUTED_VALUE"""),3)</f>
        <v>3</v>
      </c>
      <c r="H607" s="118" t="str">
        <f ca="1">IFERROR(__xludf.DUMMYFUNCTION("""COMPUTED_VALUE"""),"FS")</f>
        <v>FS</v>
      </c>
      <c r="I607" s="118">
        <f ca="1">IFERROR(__xludf.DUMMYFUNCTION("""COMPUTED_VALUE"""),6)</f>
        <v>6</v>
      </c>
      <c r="J607" s="118">
        <f ca="1">IFERROR(__xludf.DUMMYFUNCTION("""COMPUTED_VALUE"""),2)</f>
        <v>2</v>
      </c>
      <c r="K607" s="120">
        <f ca="1">IFERROR(__xludf.DUMMYFUNCTION("""COMPUTED_VALUE"""),65.9)</f>
        <v>65.900000000000006</v>
      </c>
      <c r="L607" s="121"/>
      <c r="M607" s="120"/>
      <c r="N607" s="121"/>
      <c r="O607" s="120">
        <f ca="1">IFERROR(__xludf.DUMMYFUNCTION("""COMPUTED_VALUE"""),65.9)</f>
        <v>65.900000000000006</v>
      </c>
      <c r="P607" s="122"/>
      <c r="Q607" s="123" t="str">
        <f ca="1">IFERROR(__xludf.DUMMYFUNCTION("""COMPUTED_VALUE"""),"Lily Klein")</f>
        <v>Lily Klein</v>
      </c>
      <c r="R607" s="123" t="str">
        <f ca="1">IFERROR(__xludf.DUMMYFUNCTION("""COMPUTED_VALUE"""),"Theo Stratford")</f>
        <v>Theo Stratford</v>
      </c>
      <c r="S607" s="123" t="str">
        <f ca="1">IFERROR(__xludf.DUMMYFUNCTION("""COMPUTED_VALUE"""),"Ivy Rasmussen")</f>
        <v>Ivy Rasmussen</v>
      </c>
      <c r="T607" s="123" t="str">
        <f ca="1">IFERROR(__xludf.DUMMYFUNCTION("""COMPUTED_VALUE"""),"Matteo Fazio")</f>
        <v>Matteo Fazio</v>
      </c>
    </row>
    <row r="608" spans="1:20" ht="13.8">
      <c r="A608" s="118" t="str">
        <f ca="1">IFERROR(__xludf.DUMMYFUNCTION("""COMPUTED_VALUE"""),"FS")</f>
        <v>FS</v>
      </c>
      <c r="B608" s="119" t="str">
        <f ca="1">IFERROR(__xludf.DUMMYFUNCTION("""COMPUTED_VALUE"""),"Marie Dorchak")</f>
        <v>Marie Dorchak</v>
      </c>
      <c r="C608" s="118">
        <f ca="1">IFERROR(__xludf.DUMMYFUNCTION("""COMPUTED_VALUE"""),11)</f>
        <v>11</v>
      </c>
      <c r="D608" s="118" t="str">
        <f ca="1">IFERROR(__xludf.DUMMYFUNCTION("""COMPUTED_VALUE"""),"G")</f>
        <v>G</v>
      </c>
      <c r="E608" s="118" t="str">
        <f ca="1">IFERROR(__xludf.DUMMYFUNCTION("""COMPUTED_VALUE"""),"J")</f>
        <v>J</v>
      </c>
      <c r="F608" s="118" t="str">
        <f ca="1">IFERROR(__xludf.DUMMYFUNCTION("""COMPUTED_VALUE"""),"I")</f>
        <v>I</v>
      </c>
      <c r="G608" s="118">
        <f ca="1">IFERROR(__xludf.DUMMYFUNCTION("""COMPUTED_VALUE"""),3)</f>
        <v>3</v>
      </c>
      <c r="H608" s="118" t="str">
        <f ca="1">IFERROR(__xludf.DUMMYFUNCTION("""COMPUTED_VALUE"""),"FS")</f>
        <v>FS</v>
      </c>
      <c r="I608" s="118">
        <f ca="1">IFERROR(__xludf.DUMMYFUNCTION("""COMPUTED_VALUE"""),6)</f>
        <v>6</v>
      </c>
      <c r="J608" s="118">
        <f ca="1">IFERROR(__xludf.DUMMYFUNCTION("""COMPUTED_VALUE"""),0)</f>
        <v>0</v>
      </c>
      <c r="K608" s="120"/>
      <c r="L608" s="121"/>
      <c r="M608" s="120"/>
      <c r="N608" s="121"/>
      <c r="O608" s="120"/>
      <c r="P608" s="122"/>
      <c r="Q608" s="123" t="str">
        <f ca="1">IFERROR(__xludf.DUMMYFUNCTION("""COMPUTED_VALUE"""),"Lily Larson")</f>
        <v>Lily Larson</v>
      </c>
      <c r="R608" s="123" t="str">
        <f ca="1">IFERROR(__xludf.DUMMYFUNCTION("""COMPUTED_VALUE"""),"Theodore Brewer")</f>
        <v>Theodore Brewer</v>
      </c>
      <c r="S608" s="123" t="str">
        <f ca="1">IFERROR(__xludf.DUMMYFUNCTION("""COMPUTED_VALUE"""),"Ivy Thompson")</f>
        <v>Ivy Thompson</v>
      </c>
      <c r="T608" s="123" t="str">
        <f ca="1">IFERROR(__xludf.DUMMYFUNCTION("""COMPUTED_VALUE"""),"Matthew Heim")</f>
        <v>Matthew Heim</v>
      </c>
    </row>
    <row r="609" spans="1:20" ht="13.8">
      <c r="A609" s="118" t="str">
        <f ca="1">IFERROR(__xludf.DUMMYFUNCTION("""COMPUTED_VALUE"""),"FS")</f>
        <v>FS</v>
      </c>
      <c r="B609" s="119" t="str">
        <f ca="1">IFERROR(__xludf.DUMMYFUNCTION("""COMPUTED_VALUE"""),"Noelle Telleen")</f>
        <v>Noelle Telleen</v>
      </c>
      <c r="C609" s="118">
        <f ca="1">IFERROR(__xludf.DUMMYFUNCTION("""COMPUTED_VALUE"""),12)</f>
        <v>12</v>
      </c>
      <c r="D609" s="118" t="str">
        <f ca="1">IFERROR(__xludf.DUMMYFUNCTION("""COMPUTED_VALUE"""),"G")</f>
        <v>G</v>
      </c>
      <c r="E609" s="118" t="str">
        <f ca="1">IFERROR(__xludf.DUMMYFUNCTION("""COMPUTED_VALUE"""),"J")</f>
        <v>J</v>
      </c>
      <c r="F609" s="118" t="str">
        <f ca="1">IFERROR(__xludf.DUMMYFUNCTION("""COMPUTED_VALUE"""),"I")</f>
        <v>I</v>
      </c>
      <c r="G609" s="118">
        <f ca="1">IFERROR(__xludf.DUMMYFUNCTION("""COMPUTED_VALUE"""),3)</f>
        <v>3</v>
      </c>
      <c r="H609" s="118" t="str">
        <f ca="1">IFERROR(__xludf.DUMMYFUNCTION("""COMPUTED_VALUE"""),"FS")</f>
        <v>FS</v>
      </c>
      <c r="I609" s="118">
        <f ca="1">IFERROR(__xludf.DUMMYFUNCTION("""COMPUTED_VALUE"""),6)</f>
        <v>6</v>
      </c>
      <c r="J609" s="118">
        <f ca="1">IFERROR(__xludf.DUMMYFUNCTION("""COMPUTED_VALUE"""),5)</f>
        <v>5</v>
      </c>
      <c r="K609" s="120">
        <f ca="1">IFERROR(__xludf.DUMMYFUNCTION("""COMPUTED_VALUE"""),95.8)</f>
        <v>95.8</v>
      </c>
      <c r="L609" s="121"/>
      <c r="M609" s="120">
        <f ca="1">IFERROR(__xludf.DUMMYFUNCTION("""COMPUTED_VALUE"""),82.6)</f>
        <v>82.6</v>
      </c>
      <c r="N609" s="121"/>
      <c r="O609" s="120">
        <f ca="1">IFERROR(__xludf.DUMMYFUNCTION("""COMPUTED_VALUE"""),95.8)</f>
        <v>95.8</v>
      </c>
      <c r="P609" s="122"/>
      <c r="Q609" s="123" t="str">
        <f ca="1">IFERROR(__xludf.DUMMYFUNCTION("""COMPUTED_VALUE"""),"Lily McConnell")</f>
        <v>Lily McConnell</v>
      </c>
      <c r="R609" s="123" t="str">
        <f ca="1">IFERROR(__xludf.DUMMYFUNCTION("""COMPUTED_VALUE"""),"Thomas Hiner")</f>
        <v>Thomas Hiner</v>
      </c>
      <c r="S609" s="123" t="str">
        <f ca="1">IFERROR(__xludf.DUMMYFUNCTION("""COMPUTED_VALUE"""),"Izzy Benone")</f>
        <v>Izzy Benone</v>
      </c>
      <c r="T609" s="123" t="str">
        <f ca="1">IFERROR(__xludf.DUMMYFUNCTION("""COMPUTED_VALUE"""),"Matthew Hughes")</f>
        <v>Matthew Hughes</v>
      </c>
    </row>
    <row r="610" spans="1:20" ht="13.8">
      <c r="A610" s="118" t="str">
        <f ca="1">IFERROR(__xludf.DUMMYFUNCTION("""COMPUTED_VALUE"""),"FS")</f>
        <v>FS</v>
      </c>
      <c r="B610" s="119" t="str">
        <f ca="1">IFERROR(__xludf.DUMMYFUNCTION("""COMPUTED_VALUE"""),"Reese Marino")</f>
        <v>Reese Marino</v>
      </c>
      <c r="C610" s="118">
        <f ca="1">IFERROR(__xludf.DUMMYFUNCTION("""COMPUTED_VALUE"""),11)</f>
        <v>11</v>
      </c>
      <c r="D610" s="118" t="str">
        <f ca="1">IFERROR(__xludf.DUMMYFUNCTION("""COMPUTED_VALUE"""),"G")</f>
        <v>G</v>
      </c>
      <c r="E610" s="118" t="str">
        <f ca="1">IFERROR(__xludf.DUMMYFUNCTION("""COMPUTED_VALUE"""),"J")</f>
        <v>J</v>
      </c>
      <c r="F610" s="118" t="str">
        <f ca="1">IFERROR(__xludf.DUMMYFUNCTION("""COMPUTED_VALUE"""),"I")</f>
        <v>I</v>
      </c>
      <c r="G610" s="118">
        <f ca="1">IFERROR(__xludf.DUMMYFUNCTION("""COMPUTED_VALUE"""),3)</f>
        <v>3</v>
      </c>
      <c r="H610" s="118" t="str">
        <f ca="1">IFERROR(__xludf.DUMMYFUNCTION("""COMPUTED_VALUE"""),"FS")</f>
        <v>FS</v>
      </c>
      <c r="I610" s="118">
        <f ca="1">IFERROR(__xludf.DUMMYFUNCTION("""COMPUTED_VALUE"""),6)</f>
        <v>6</v>
      </c>
      <c r="J610" s="118">
        <f ca="1">IFERROR(__xludf.DUMMYFUNCTION("""COMPUTED_VALUE"""),0)</f>
        <v>0</v>
      </c>
      <c r="K610" s="120"/>
      <c r="L610" s="121"/>
      <c r="M610" s="120"/>
      <c r="N610" s="121"/>
      <c r="O610" s="120"/>
      <c r="P610" s="122"/>
      <c r="Q610" s="123" t="str">
        <f ca="1">IFERROR(__xludf.DUMMYFUNCTION("""COMPUTED_VALUE"""),"Lily Sabo")</f>
        <v>Lily Sabo</v>
      </c>
      <c r="R610" s="123" t="str">
        <f ca="1">IFERROR(__xludf.DUMMYFUNCTION("""COMPUTED_VALUE"""),"Thomas Scialpi")</f>
        <v>Thomas Scialpi</v>
      </c>
      <c r="S610" s="123" t="str">
        <f ca="1">IFERROR(__xludf.DUMMYFUNCTION("""COMPUTED_VALUE"""),"Izzy Demas")</f>
        <v>Izzy Demas</v>
      </c>
      <c r="T610" s="123" t="str">
        <f ca="1">IFERROR(__xludf.DUMMYFUNCTION("""COMPUTED_VALUE"""),"Matthew Petruccelli")</f>
        <v>Matthew Petruccelli</v>
      </c>
    </row>
    <row r="611" spans="1:20" ht="13.8">
      <c r="A611" s="118" t="str">
        <f ca="1">IFERROR(__xludf.DUMMYFUNCTION("""COMPUTED_VALUE"""),"FS")</f>
        <v>FS</v>
      </c>
      <c r="B611" s="119" t="str">
        <f ca="1">IFERROR(__xludf.DUMMYFUNCTION("""COMPUTED_VALUE"""),"Henry Perkowski")</f>
        <v>Henry Perkowski</v>
      </c>
      <c r="C611" s="118">
        <f ca="1">IFERROR(__xludf.DUMMYFUNCTION("""COMPUTED_VALUE"""),12)</f>
        <v>12</v>
      </c>
      <c r="D611" s="118" t="str">
        <f ca="1">IFERROR(__xludf.DUMMYFUNCTION("""COMPUTED_VALUE"""),"B")</f>
        <v>B</v>
      </c>
      <c r="E611" s="118" t="str">
        <f ca="1">IFERROR(__xludf.DUMMYFUNCTION("""COMPUTED_VALUE"""),"J")</f>
        <v>J</v>
      </c>
      <c r="F611" s="118" t="str">
        <f ca="1">IFERROR(__xludf.DUMMYFUNCTION("""COMPUTED_VALUE"""),"I")</f>
        <v>I</v>
      </c>
      <c r="G611" s="118">
        <f ca="1">IFERROR(__xludf.DUMMYFUNCTION("""COMPUTED_VALUE"""),3)</f>
        <v>3</v>
      </c>
      <c r="H611" s="118" t="str">
        <f ca="1">IFERROR(__xludf.DUMMYFUNCTION("""COMPUTED_VALUE"""),"FS")</f>
        <v>FS</v>
      </c>
      <c r="I611" s="118">
        <f ca="1">IFERROR(__xludf.DUMMYFUNCTION("""COMPUTED_VALUE"""),7)</f>
        <v>7</v>
      </c>
      <c r="J611" s="118">
        <f ca="1">IFERROR(__xludf.DUMMYFUNCTION("""COMPUTED_VALUE"""),0)</f>
        <v>0</v>
      </c>
      <c r="K611" s="120"/>
      <c r="L611" s="121"/>
      <c r="M611" s="120"/>
      <c r="N611" s="121"/>
      <c r="O611" s="120"/>
      <c r="P611" s="122"/>
      <c r="Q611" s="123" t="str">
        <f ca="1">IFERROR(__xludf.DUMMYFUNCTION("""COMPUTED_VALUE"""),"Lina Arenstein")</f>
        <v>Lina Arenstein</v>
      </c>
      <c r="R611" s="123" t="str">
        <f ca="1">IFERROR(__xludf.DUMMYFUNCTION("""COMPUTED_VALUE"""),"Thomson d'Amboise")</f>
        <v>Thomson d'Amboise</v>
      </c>
      <c r="S611" s="123" t="str">
        <f ca="1">IFERROR(__xludf.DUMMYFUNCTION("""COMPUTED_VALUE"""),"Jackie Colwill")</f>
        <v>Jackie Colwill</v>
      </c>
      <c r="T611" s="123" t="str">
        <f ca="1">IFERROR(__xludf.DUMMYFUNCTION("""COMPUTED_VALUE"""),"Matthew Rempe")</f>
        <v>Matthew Rempe</v>
      </c>
    </row>
    <row r="612" spans="1:20" ht="13.8">
      <c r="A612" s="118" t="str">
        <f ca="1">IFERROR(__xludf.DUMMYFUNCTION("""COMPUTED_VALUE"""),"FS")</f>
        <v>FS</v>
      </c>
      <c r="B612" s="119" t="str">
        <f ca="1">IFERROR(__xludf.DUMMYFUNCTION("""COMPUTED_VALUE"""),"Linus Raring")</f>
        <v>Linus Raring</v>
      </c>
      <c r="C612" s="118">
        <f ca="1">IFERROR(__xludf.DUMMYFUNCTION("""COMPUTED_VALUE"""),11)</f>
        <v>11</v>
      </c>
      <c r="D612" s="118" t="str">
        <f ca="1">IFERROR(__xludf.DUMMYFUNCTION("""COMPUTED_VALUE"""),"B")</f>
        <v>B</v>
      </c>
      <c r="E612" s="118" t="str">
        <f ca="1">IFERROR(__xludf.DUMMYFUNCTION("""COMPUTED_VALUE"""),"J")</f>
        <v>J</v>
      </c>
      <c r="F612" s="118" t="str">
        <f ca="1">IFERROR(__xludf.DUMMYFUNCTION("""COMPUTED_VALUE"""),"I")</f>
        <v>I</v>
      </c>
      <c r="G612" s="118">
        <f ca="1">IFERROR(__xludf.DUMMYFUNCTION("""COMPUTED_VALUE"""),3)</f>
        <v>3</v>
      </c>
      <c r="H612" s="118" t="str">
        <f ca="1">IFERROR(__xludf.DUMMYFUNCTION("""COMPUTED_VALUE"""),"FS")</f>
        <v>FS</v>
      </c>
      <c r="I612" s="118">
        <f ca="1">IFERROR(__xludf.DUMMYFUNCTION("""COMPUTED_VALUE"""),7)</f>
        <v>7</v>
      </c>
      <c r="J612" s="118">
        <f ca="1">IFERROR(__xludf.DUMMYFUNCTION("""COMPUTED_VALUE"""),3)</f>
        <v>3</v>
      </c>
      <c r="K612" s="120">
        <f ca="1">IFERROR(__xludf.DUMMYFUNCTION("""COMPUTED_VALUE"""),39.65)</f>
        <v>39.65</v>
      </c>
      <c r="L612" s="121"/>
      <c r="M612" s="120">
        <f ca="1">IFERROR(__xludf.DUMMYFUNCTION("""COMPUTED_VALUE"""),39.65)</f>
        <v>39.65</v>
      </c>
      <c r="N612" s="121"/>
      <c r="O612" s="120"/>
      <c r="P612" s="122"/>
      <c r="Q612" s="123" t="str">
        <f ca="1">IFERROR(__xludf.DUMMYFUNCTION("""COMPUTED_VALUE"""),"Lina Kamenov")</f>
        <v>Lina Kamenov</v>
      </c>
      <c r="R612" s="123" t="str">
        <f ca="1">IFERROR(__xludf.DUMMYFUNCTION("""COMPUTED_VALUE"""),"Thor Downie")</f>
        <v>Thor Downie</v>
      </c>
      <c r="S612" s="123" t="str">
        <f ca="1">IFERROR(__xludf.DUMMYFUNCTION("""COMPUTED_VALUE"""),"Jackie Hull")</f>
        <v>Jackie Hull</v>
      </c>
      <c r="T612" s="123" t="str">
        <f ca="1">IFERROR(__xludf.DUMMYFUNCTION("""COMPUTED_VALUE"""),"Matthew Robertson")</f>
        <v>Matthew Robertson</v>
      </c>
    </row>
    <row r="613" spans="1:20" ht="13.8">
      <c r="A613" s="118" t="str">
        <f ca="1">IFERROR(__xludf.DUMMYFUNCTION("""COMPUTED_VALUE"""),"FS")</f>
        <v>FS</v>
      </c>
      <c r="B613" s="119" t="str">
        <f ca="1">IFERROR(__xludf.DUMMYFUNCTION("""COMPUTED_VALUE"""),"Renner Davis")</f>
        <v>Renner Davis</v>
      </c>
      <c r="C613" s="118">
        <f ca="1">IFERROR(__xludf.DUMMYFUNCTION("""COMPUTED_VALUE"""),12)</f>
        <v>12</v>
      </c>
      <c r="D613" s="118" t="str">
        <f ca="1">IFERROR(__xludf.DUMMYFUNCTION("""COMPUTED_VALUE"""),"B")</f>
        <v>B</v>
      </c>
      <c r="E613" s="118" t="str">
        <f ca="1">IFERROR(__xludf.DUMMYFUNCTION("""COMPUTED_VALUE"""),"J")</f>
        <v>J</v>
      </c>
      <c r="F613" s="118" t="str">
        <f ca="1">IFERROR(__xludf.DUMMYFUNCTION("""COMPUTED_VALUE"""),"I")</f>
        <v>I</v>
      </c>
      <c r="G613" s="118">
        <f ca="1">IFERROR(__xludf.DUMMYFUNCTION("""COMPUTED_VALUE"""),3)</f>
        <v>3</v>
      </c>
      <c r="H613" s="118" t="str">
        <f ca="1">IFERROR(__xludf.DUMMYFUNCTION("""COMPUTED_VALUE"""),"FS")</f>
        <v>FS</v>
      </c>
      <c r="I613" s="118">
        <f ca="1">IFERROR(__xludf.DUMMYFUNCTION("""COMPUTED_VALUE"""),7)</f>
        <v>7</v>
      </c>
      <c r="J613" s="118">
        <f ca="1">IFERROR(__xludf.DUMMYFUNCTION("""COMPUTED_VALUE"""),4)</f>
        <v>4</v>
      </c>
      <c r="K613" s="120">
        <f ca="1">IFERROR(__xludf.DUMMYFUNCTION("""COMPUTED_VALUE"""),78)</f>
        <v>78</v>
      </c>
      <c r="L613" s="121"/>
      <c r="M613" s="120">
        <f ca="1">IFERROR(__xludf.DUMMYFUNCTION("""COMPUTED_VALUE"""),67.45)</f>
        <v>67.45</v>
      </c>
      <c r="N613" s="121"/>
      <c r="O613" s="120"/>
      <c r="P613" s="122"/>
      <c r="Q613" s="123" t="str">
        <f ca="1">IFERROR(__xludf.DUMMYFUNCTION("""COMPUTED_VALUE"""),"Lindsay Li")</f>
        <v>Lindsay Li</v>
      </c>
      <c r="R613" s="123" t="str">
        <f ca="1">IFERROR(__xludf.DUMMYFUNCTION("""COMPUTED_VALUE"""),"Timmy Van Haute")</f>
        <v>Timmy Van Haute</v>
      </c>
      <c r="S613" s="123" t="str">
        <f ca="1">IFERROR(__xludf.DUMMYFUNCTION("""COMPUTED_VALUE"""),"Jackie Shaw")</f>
        <v>Jackie Shaw</v>
      </c>
      <c r="T613" s="123" t="str">
        <f ca="1">IFERROR(__xludf.DUMMYFUNCTION("""COMPUTED_VALUE"""),"Maty Brown")</f>
        <v>Maty Brown</v>
      </c>
    </row>
    <row r="614" spans="1:20" ht="13.8">
      <c r="A614" s="118" t="str">
        <f ca="1">IFERROR(__xludf.DUMMYFUNCTION("""COMPUTED_VALUE"""),"FS")</f>
        <v>FS</v>
      </c>
      <c r="B614" s="119" t="str">
        <f ca="1">IFERROR(__xludf.DUMMYFUNCTION("""COMPUTED_VALUE"""),"Teddy Anderson")</f>
        <v>Teddy Anderson</v>
      </c>
      <c r="C614" s="118">
        <f ca="1">IFERROR(__xludf.DUMMYFUNCTION("""COMPUTED_VALUE"""),12)</f>
        <v>12</v>
      </c>
      <c r="D614" s="118" t="str">
        <f ca="1">IFERROR(__xludf.DUMMYFUNCTION("""COMPUTED_VALUE"""),"B")</f>
        <v>B</v>
      </c>
      <c r="E614" s="118" t="str">
        <f ca="1">IFERROR(__xludf.DUMMYFUNCTION("""COMPUTED_VALUE"""),"J")</f>
        <v>J</v>
      </c>
      <c r="F614" s="118" t="str">
        <f ca="1">IFERROR(__xludf.DUMMYFUNCTION("""COMPUTED_VALUE"""),"I")</f>
        <v>I</v>
      </c>
      <c r="G614" s="118">
        <f ca="1">IFERROR(__xludf.DUMMYFUNCTION("""COMPUTED_VALUE"""),3)</f>
        <v>3</v>
      </c>
      <c r="H614" s="118" t="str">
        <f ca="1">IFERROR(__xludf.DUMMYFUNCTION("""COMPUTED_VALUE"""),"FS")</f>
        <v>FS</v>
      </c>
      <c r="I614" s="118">
        <f ca="1">IFERROR(__xludf.DUMMYFUNCTION("""COMPUTED_VALUE"""),7)</f>
        <v>7</v>
      </c>
      <c r="J614" s="118">
        <f ca="1">IFERROR(__xludf.DUMMYFUNCTION("""COMPUTED_VALUE"""),5)</f>
        <v>5</v>
      </c>
      <c r="K614" s="120">
        <f ca="1">IFERROR(__xludf.DUMMYFUNCTION("""COMPUTED_VALUE"""),94.55)</f>
        <v>94.55</v>
      </c>
      <c r="L614" s="121"/>
      <c r="M614" s="120">
        <f ca="1">IFERROR(__xludf.DUMMYFUNCTION("""COMPUTED_VALUE"""),79.95)</f>
        <v>79.95</v>
      </c>
      <c r="N614" s="121"/>
      <c r="O614" s="120">
        <f ca="1">IFERROR(__xludf.DUMMYFUNCTION("""COMPUTED_VALUE"""),91.85)</f>
        <v>91.85</v>
      </c>
      <c r="P614" s="122"/>
      <c r="Q614" s="123" t="str">
        <f ca="1">IFERROR(__xludf.DUMMYFUNCTION("""COMPUTED_VALUE"""),"Linnea Brolin")</f>
        <v>Linnea Brolin</v>
      </c>
      <c r="R614" s="123" t="str">
        <f ca="1">IFERROR(__xludf.DUMMYFUNCTION("""COMPUTED_VALUE"""),"Timmy Verasin")</f>
        <v>Timmy Verasin</v>
      </c>
      <c r="S614" s="123" t="str">
        <f ca="1">IFERROR(__xludf.DUMMYFUNCTION("""COMPUTED_VALUE"""),"Jacqueline Landry")</f>
        <v>Jacqueline Landry</v>
      </c>
      <c r="T614" s="123" t="str">
        <f ca="1">IFERROR(__xludf.DUMMYFUNCTION("""COMPUTED_VALUE"""),"Max Cassatt")</f>
        <v>Max Cassatt</v>
      </c>
    </row>
    <row r="615" spans="1:20" ht="13.8">
      <c r="A615" s="118" t="str">
        <f ca="1">IFERROR(__xludf.DUMMYFUNCTION("""COMPUTED_VALUE"""),"FS")</f>
        <v>FS</v>
      </c>
      <c r="B615" s="119" t="str">
        <f ca="1">IFERROR(__xludf.DUMMYFUNCTION("""COMPUTED_VALUE"""),"Adriana McCormick")</f>
        <v>Adriana McCormick</v>
      </c>
      <c r="C615" s="118">
        <f ca="1">IFERROR(__xludf.DUMMYFUNCTION("""COMPUTED_VALUE"""),14)</f>
        <v>14</v>
      </c>
      <c r="D615" s="118" t="str">
        <f ca="1">IFERROR(__xludf.DUMMYFUNCTION("""COMPUTED_VALUE"""),"G")</f>
        <v>G</v>
      </c>
      <c r="E615" s="118" t="str">
        <f ca="1">IFERROR(__xludf.DUMMYFUNCTION("""COMPUTED_VALUE"""),"I")</f>
        <v>I</v>
      </c>
      <c r="F615" s="118" t="str">
        <f ca="1">IFERROR(__xludf.DUMMYFUNCTION("""COMPUTED_VALUE"""),"S")</f>
        <v>S</v>
      </c>
      <c r="G615" s="118">
        <f ca="1">IFERROR(__xludf.DUMMYFUNCTION("""COMPUTED_VALUE"""),3)</f>
        <v>3</v>
      </c>
      <c r="H615" s="118" t="str">
        <f ca="1">IFERROR(__xludf.DUMMYFUNCTION("""COMPUTED_VALUE"""),"FS")</f>
        <v>FS</v>
      </c>
      <c r="I615" s="118">
        <f ca="1">IFERROR(__xludf.DUMMYFUNCTION("""COMPUTED_VALUE"""),8)</f>
        <v>8</v>
      </c>
      <c r="J615" s="118">
        <f ca="1">IFERROR(__xludf.DUMMYFUNCTION("""COMPUTED_VALUE"""),3)</f>
        <v>3</v>
      </c>
      <c r="K615" s="120">
        <f ca="1">IFERROR(__xludf.DUMMYFUNCTION("""COMPUTED_VALUE"""),82.25)</f>
        <v>82.25</v>
      </c>
      <c r="L615" s="121"/>
      <c r="M615" s="120">
        <f ca="1">IFERROR(__xludf.DUMMYFUNCTION("""COMPUTED_VALUE"""),65.8)</f>
        <v>65.8</v>
      </c>
      <c r="N615" s="121"/>
      <c r="O615" s="120">
        <f ca="1">IFERROR(__xludf.DUMMYFUNCTION("""COMPUTED_VALUE"""),82.25)</f>
        <v>82.25</v>
      </c>
      <c r="P615" s="122"/>
      <c r="Q615" s="123" t="str">
        <f ca="1">IFERROR(__xludf.DUMMYFUNCTION("""COMPUTED_VALUE"""),"Liv Freeman")</f>
        <v>Liv Freeman</v>
      </c>
      <c r="R615" s="123" t="str">
        <f ca="1">IFERROR(__xludf.DUMMYFUNCTION("""COMPUTED_VALUE"""),"Timothy Barger")</f>
        <v>Timothy Barger</v>
      </c>
      <c r="S615" s="123" t="str">
        <f ca="1">IFERROR(__xludf.DUMMYFUNCTION("""COMPUTED_VALUE"""),"Jacqueline Sandridge")</f>
        <v>Jacqueline Sandridge</v>
      </c>
      <c r="T615" s="123" t="str">
        <f ca="1">IFERROR(__xludf.DUMMYFUNCTION("""COMPUTED_VALUE"""),"Max Damjan")</f>
        <v>Max Damjan</v>
      </c>
    </row>
    <row r="616" spans="1:20" ht="13.8">
      <c r="A616" s="118" t="str">
        <f ca="1">IFERROR(__xludf.DUMMYFUNCTION("""COMPUTED_VALUE"""),"FS")</f>
        <v>FS</v>
      </c>
      <c r="B616" s="119" t="str">
        <f ca="1">IFERROR(__xludf.DUMMYFUNCTION("""COMPUTED_VALUE"""),"Anna Haigh")</f>
        <v>Anna Haigh</v>
      </c>
      <c r="C616" s="118">
        <f ca="1">IFERROR(__xludf.DUMMYFUNCTION("""COMPUTED_VALUE"""),13)</f>
        <v>13</v>
      </c>
      <c r="D616" s="118" t="str">
        <f ca="1">IFERROR(__xludf.DUMMYFUNCTION("""COMPUTED_VALUE"""),"G")</f>
        <v>G</v>
      </c>
      <c r="E616" s="118" t="str">
        <f ca="1">IFERROR(__xludf.DUMMYFUNCTION("""COMPUTED_VALUE"""),"I")</f>
        <v>I</v>
      </c>
      <c r="F616" s="118" t="str">
        <f ca="1">IFERROR(__xludf.DUMMYFUNCTION("""COMPUTED_VALUE"""),"S")</f>
        <v>S</v>
      </c>
      <c r="G616" s="118">
        <f ca="1">IFERROR(__xludf.DUMMYFUNCTION("""COMPUTED_VALUE"""),3)</f>
        <v>3</v>
      </c>
      <c r="H616" s="118" t="str">
        <f ca="1">IFERROR(__xludf.DUMMYFUNCTION("""COMPUTED_VALUE"""),"FS")</f>
        <v>FS</v>
      </c>
      <c r="I616" s="118">
        <f ca="1">IFERROR(__xludf.DUMMYFUNCTION("""COMPUTED_VALUE"""),8)</f>
        <v>8</v>
      </c>
      <c r="J616" s="118">
        <f ca="1">IFERROR(__xludf.DUMMYFUNCTION("""COMPUTED_VALUE"""),3)</f>
        <v>3</v>
      </c>
      <c r="K616" s="120">
        <f ca="1">IFERROR(__xludf.DUMMYFUNCTION("""COMPUTED_VALUE"""),82.45)</f>
        <v>82.45</v>
      </c>
      <c r="L616" s="121"/>
      <c r="M616" s="120"/>
      <c r="N616" s="121"/>
      <c r="O616" s="120">
        <f ca="1">IFERROR(__xludf.DUMMYFUNCTION("""COMPUTED_VALUE"""),82.45)</f>
        <v>82.45</v>
      </c>
      <c r="P616" s="122"/>
      <c r="Q616" s="123" t="str">
        <f ca="1">IFERROR(__xludf.DUMMYFUNCTION("""COMPUTED_VALUE"""),"Livy Jane Abbey")</f>
        <v>Livy Jane Abbey</v>
      </c>
      <c r="R616" s="123" t="str">
        <f ca="1">IFERROR(__xludf.DUMMYFUNCTION("""COMPUTED_VALUE"""),"Timothy Davis")</f>
        <v>Timothy Davis</v>
      </c>
      <c r="S616" s="123" t="str">
        <f ca="1">IFERROR(__xludf.DUMMYFUNCTION("""COMPUTED_VALUE"""),"Jada Jones")</f>
        <v>Jada Jones</v>
      </c>
      <c r="T616" s="123" t="str">
        <f ca="1">IFERROR(__xludf.DUMMYFUNCTION("""COMPUTED_VALUE"""),"Max McKnight")</f>
        <v>Max McKnight</v>
      </c>
    </row>
    <row r="617" spans="1:20" ht="13.8">
      <c r="A617" s="118" t="str">
        <f ca="1">IFERROR(__xludf.DUMMYFUNCTION("""COMPUTED_VALUE"""),"FS")</f>
        <v>FS</v>
      </c>
      <c r="B617" s="119" t="str">
        <f ca="1">IFERROR(__xludf.DUMMYFUNCTION("""COMPUTED_VALUE"""),"Avi Padgett")</f>
        <v>Avi Padgett</v>
      </c>
      <c r="C617" s="118">
        <f ca="1">IFERROR(__xludf.DUMMYFUNCTION("""COMPUTED_VALUE"""),13)</f>
        <v>13</v>
      </c>
      <c r="D617" s="118" t="str">
        <f ca="1">IFERROR(__xludf.DUMMYFUNCTION("""COMPUTED_VALUE"""),"G")</f>
        <v>G</v>
      </c>
      <c r="E617" s="118" t="str">
        <f ca="1">IFERROR(__xludf.DUMMYFUNCTION("""COMPUTED_VALUE"""),"I")</f>
        <v>I</v>
      </c>
      <c r="F617" s="118" t="str">
        <f ca="1">IFERROR(__xludf.DUMMYFUNCTION("""COMPUTED_VALUE"""),"S")</f>
        <v>S</v>
      </c>
      <c r="G617" s="118">
        <f ca="1">IFERROR(__xludf.DUMMYFUNCTION("""COMPUTED_VALUE"""),3)</f>
        <v>3</v>
      </c>
      <c r="H617" s="118" t="str">
        <f ca="1">IFERROR(__xludf.DUMMYFUNCTION("""COMPUTED_VALUE"""),"FS")</f>
        <v>FS</v>
      </c>
      <c r="I617" s="118">
        <f ca="1">IFERROR(__xludf.DUMMYFUNCTION("""COMPUTED_VALUE"""),8)</f>
        <v>8</v>
      </c>
      <c r="J617" s="118">
        <f ca="1">IFERROR(__xludf.DUMMYFUNCTION("""COMPUTED_VALUE"""),0)</f>
        <v>0</v>
      </c>
      <c r="K617" s="120"/>
      <c r="L617" s="121"/>
      <c r="M617" s="120"/>
      <c r="N617" s="121"/>
      <c r="O617" s="120"/>
      <c r="P617" s="122"/>
      <c r="Q617" s="123" t="str">
        <f ca="1">IFERROR(__xludf.DUMMYFUNCTION("""COMPUTED_VALUE"""),"Liza Ferguson")</f>
        <v>Liza Ferguson</v>
      </c>
      <c r="R617" s="123" t="str">
        <f ca="1">IFERROR(__xludf.DUMMYFUNCTION("""COMPUTED_VALUE"""),"TJ DeSando")</f>
        <v>TJ DeSando</v>
      </c>
      <c r="S617" s="123" t="str">
        <f ca="1">IFERROR(__xludf.DUMMYFUNCTION("""COMPUTED_VALUE"""),"Jasmine Lassman")</f>
        <v>Jasmine Lassman</v>
      </c>
      <c r="T617" s="123" t="str">
        <f ca="1">IFERROR(__xludf.DUMMYFUNCTION("""COMPUTED_VALUE"""),"Max Misiaszek")</f>
        <v>Max Misiaszek</v>
      </c>
    </row>
    <row r="618" spans="1:20" ht="13.8">
      <c r="A618" s="118" t="str">
        <f ca="1">IFERROR(__xludf.DUMMYFUNCTION("""COMPUTED_VALUE"""),"FS")</f>
        <v>FS</v>
      </c>
      <c r="B618" s="119" t="str">
        <f ca="1">IFERROR(__xludf.DUMMYFUNCTION("""COMPUTED_VALUE"""),"Elza Jones")</f>
        <v>Elza Jones</v>
      </c>
      <c r="C618" s="118">
        <f ca="1">IFERROR(__xludf.DUMMYFUNCTION("""COMPUTED_VALUE"""),13)</f>
        <v>13</v>
      </c>
      <c r="D618" s="118" t="str">
        <f ca="1">IFERROR(__xludf.DUMMYFUNCTION("""COMPUTED_VALUE"""),"G")</f>
        <v>G</v>
      </c>
      <c r="E618" s="118" t="str">
        <f ca="1">IFERROR(__xludf.DUMMYFUNCTION("""COMPUTED_VALUE"""),"I")</f>
        <v>I</v>
      </c>
      <c r="F618" s="118" t="str">
        <f ca="1">IFERROR(__xludf.DUMMYFUNCTION("""COMPUTED_VALUE"""),"S")</f>
        <v>S</v>
      </c>
      <c r="G618" s="118">
        <f ca="1">IFERROR(__xludf.DUMMYFUNCTION("""COMPUTED_VALUE"""),3)</f>
        <v>3</v>
      </c>
      <c r="H618" s="118" t="str">
        <f ca="1">IFERROR(__xludf.DUMMYFUNCTION("""COMPUTED_VALUE"""),"FS")</f>
        <v>FS</v>
      </c>
      <c r="I618" s="118">
        <f ca="1">IFERROR(__xludf.DUMMYFUNCTION("""COMPUTED_VALUE"""),8)</f>
        <v>8</v>
      </c>
      <c r="J618" s="118">
        <f ca="1">IFERROR(__xludf.DUMMYFUNCTION("""COMPUTED_VALUE"""),2)</f>
        <v>2</v>
      </c>
      <c r="K618" s="120">
        <f ca="1">IFERROR(__xludf.DUMMYFUNCTION("""COMPUTED_VALUE"""),92.55)</f>
        <v>92.55</v>
      </c>
      <c r="L618" s="121"/>
      <c r="M618" s="120">
        <f ca="1">IFERROR(__xludf.DUMMYFUNCTION("""COMPUTED_VALUE"""),53.5)</f>
        <v>53.5</v>
      </c>
      <c r="N618" s="121"/>
      <c r="O618" s="120">
        <f ca="1">IFERROR(__xludf.DUMMYFUNCTION("""COMPUTED_VALUE"""),92.55)</f>
        <v>92.55</v>
      </c>
      <c r="P618" s="122"/>
      <c r="Q618" s="123" t="str">
        <f ca="1">IFERROR(__xludf.DUMMYFUNCTION("""COMPUTED_VALUE"""),"Lizzy Brown")</f>
        <v>Lizzy Brown</v>
      </c>
      <c r="R618" s="123" t="str">
        <f ca="1">IFERROR(__xludf.DUMMYFUNCTION("""COMPUTED_VALUE"""),"Tobin Boulter")</f>
        <v>Tobin Boulter</v>
      </c>
      <c r="S618" s="123" t="str">
        <f ca="1">IFERROR(__xludf.DUMMYFUNCTION("""COMPUTED_VALUE"""),"Jayne Argentina")</f>
        <v>Jayne Argentina</v>
      </c>
      <c r="T618" s="123" t="str">
        <f ca="1">IFERROR(__xludf.DUMMYFUNCTION("""COMPUTED_VALUE"""),"Max Pera")</f>
        <v>Max Pera</v>
      </c>
    </row>
    <row r="619" spans="1:20" ht="13.8">
      <c r="A619" s="118" t="str">
        <f ca="1">IFERROR(__xludf.DUMMYFUNCTION("""COMPUTED_VALUE"""),"FS")</f>
        <v>FS</v>
      </c>
      <c r="B619" s="119" t="str">
        <f ca="1">IFERROR(__xludf.DUMMYFUNCTION("""COMPUTED_VALUE"""),"Keigan Hickey")</f>
        <v>Keigan Hickey</v>
      </c>
      <c r="C619" s="118">
        <f ca="1">IFERROR(__xludf.DUMMYFUNCTION("""COMPUTED_VALUE"""),14)</f>
        <v>14</v>
      </c>
      <c r="D619" s="118" t="str">
        <f ca="1">IFERROR(__xludf.DUMMYFUNCTION("""COMPUTED_VALUE"""),"G")</f>
        <v>G</v>
      </c>
      <c r="E619" s="118" t="str">
        <f ca="1">IFERROR(__xludf.DUMMYFUNCTION("""COMPUTED_VALUE"""),"I")</f>
        <v>I</v>
      </c>
      <c r="F619" s="118" t="str">
        <f ca="1">IFERROR(__xludf.DUMMYFUNCTION("""COMPUTED_VALUE"""),"S")</f>
        <v>S</v>
      </c>
      <c r="G619" s="118">
        <f ca="1">IFERROR(__xludf.DUMMYFUNCTION("""COMPUTED_VALUE"""),3)</f>
        <v>3</v>
      </c>
      <c r="H619" s="118" t="str">
        <f ca="1">IFERROR(__xludf.DUMMYFUNCTION("""COMPUTED_VALUE"""),"FS")</f>
        <v>FS</v>
      </c>
      <c r="I619" s="118">
        <f ca="1">IFERROR(__xludf.DUMMYFUNCTION("""COMPUTED_VALUE"""),8)</f>
        <v>8</v>
      </c>
      <c r="J619" s="118">
        <f ca="1">IFERROR(__xludf.DUMMYFUNCTION("""COMPUTED_VALUE"""),0)</f>
        <v>0</v>
      </c>
      <c r="K619" s="120"/>
      <c r="L619" s="121"/>
      <c r="M619" s="120"/>
      <c r="N619" s="121"/>
      <c r="O619" s="120"/>
      <c r="P619" s="122"/>
      <c r="Q619" s="123" t="str">
        <f ca="1">IFERROR(__xludf.DUMMYFUNCTION("""COMPUTED_VALUE"""),"London Duckett")</f>
        <v>London Duckett</v>
      </c>
      <c r="R619" s="123" t="str">
        <f ca="1">IFERROR(__xludf.DUMMYFUNCTION("""COMPUTED_VALUE"""),"Tobin Ham")</f>
        <v>Tobin Ham</v>
      </c>
      <c r="S619" s="123" t="str">
        <f ca="1">IFERROR(__xludf.DUMMYFUNCTION("""COMPUTED_VALUE"""),"Jazz Buitrago")</f>
        <v>Jazz Buitrago</v>
      </c>
      <c r="T619" s="123" t="str">
        <f ca="1">IFERROR(__xludf.DUMMYFUNCTION("""COMPUTED_VALUE"""),"Max Robinett")</f>
        <v>Max Robinett</v>
      </c>
    </row>
    <row r="620" spans="1:20" ht="13.8">
      <c r="A620" s="118" t="str">
        <f ca="1">IFERROR(__xludf.DUMMYFUNCTION("""COMPUTED_VALUE"""),"FS")</f>
        <v>FS</v>
      </c>
      <c r="B620" s="119" t="str">
        <f ca="1">IFERROR(__xludf.DUMMYFUNCTION("""COMPUTED_VALUE"""),"Mikayla Dykes")</f>
        <v>Mikayla Dykes</v>
      </c>
      <c r="C620" s="118">
        <f ca="1">IFERROR(__xludf.DUMMYFUNCTION("""COMPUTED_VALUE"""),14)</f>
        <v>14</v>
      </c>
      <c r="D620" s="118" t="str">
        <f ca="1">IFERROR(__xludf.DUMMYFUNCTION("""COMPUTED_VALUE"""),"G")</f>
        <v>G</v>
      </c>
      <c r="E620" s="118" t="str">
        <f ca="1">IFERROR(__xludf.DUMMYFUNCTION("""COMPUTED_VALUE"""),"I")</f>
        <v>I</v>
      </c>
      <c r="F620" s="118" t="str">
        <f ca="1">IFERROR(__xludf.DUMMYFUNCTION("""COMPUTED_VALUE"""),"S")</f>
        <v>S</v>
      </c>
      <c r="G620" s="118">
        <f ca="1">IFERROR(__xludf.DUMMYFUNCTION("""COMPUTED_VALUE"""),3)</f>
        <v>3</v>
      </c>
      <c r="H620" s="118" t="str">
        <f ca="1">IFERROR(__xludf.DUMMYFUNCTION("""COMPUTED_VALUE"""),"FS")</f>
        <v>FS</v>
      </c>
      <c r="I620" s="118">
        <f ca="1">IFERROR(__xludf.DUMMYFUNCTION("""COMPUTED_VALUE"""),8)</f>
        <v>8</v>
      </c>
      <c r="J620" s="118">
        <f ca="1">IFERROR(__xludf.DUMMYFUNCTION("""COMPUTED_VALUE"""),0)</f>
        <v>0</v>
      </c>
      <c r="K620" s="120"/>
      <c r="L620" s="121"/>
      <c r="M620" s="120"/>
      <c r="N620" s="121"/>
      <c r="O620" s="120"/>
      <c r="P620" s="122"/>
      <c r="Q620" s="123" t="str">
        <f ca="1">IFERROR(__xludf.DUMMYFUNCTION("""COMPUTED_VALUE"""),"Lorelei Powell")</f>
        <v>Lorelei Powell</v>
      </c>
      <c r="R620" s="123" t="str">
        <f ca="1">IFERROR(__xludf.DUMMYFUNCTION("""COMPUTED_VALUE"""),"Toby Chen")</f>
        <v>Toby Chen</v>
      </c>
      <c r="S620" s="123" t="str">
        <f ca="1">IFERROR(__xludf.DUMMYFUNCTION("""COMPUTED_VALUE"""),"Jem Wahler")</f>
        <v>Jem Wahler</v>
      </c>
      <c r="T620" s="123" t="str">
        <f ca="1">IFERROR(__xludf.DUMMYFUNCTION("""COMPUTED_VALUE"""),"Max Shaffer")</f>
        <v>Max Shaffer</v>
      </c>
    </row>
    <row r="621" spans="1:20" ht="13.8">
      <c r="A621" s="118" t="str">
        <f ca="1">IFERROR(__xludf.DUMMYFUNCTION("""COMPUTED_VALUE"""),"FS")</f>
        <v>FS</v>
      </c>
      <c r="B621" s="119" t="str">
        <f ca="1">IFERROR(__xludf.DUMMYFUNCTION("""COMPUTED_VALUE"""),"Olivia Hilliard")</f>
        <v>Olivia Hilliard</v>
      </c>
      <c r="C621" s="118">
        <f ca="1">IFERROR(__xludf.DUMMYFUNCTION("""COMPUTED_VALUE"""),13)</f>
        <v>13</v>
      </c>
      <c r="D621" s="118" t="str">
        <f ca="1">IFERROR(__xludf.DUMMYFUNCTION("""COMPUTED_VALUE"""),"G")</f>
        <v>G</v>
      </c>
      <c r="E621" s="118" t="str">
        <f ca="1">IFERROR(__xludf.DUMMYFUNCTION("""COMPUTED_VALUE"""),"I")</f>
        <v>I</v>
      </c>
      <c r="F621" s="118" t="str">
        <f ca="1">IFERROR(__xludf.DUMMYFUNCTION("""COMPUTED_VALUE"""),"S")</f>
        <v>S</v>
      </c>
      <c r="G621" s="118">
        <f ca="1">IFERROR(__xludf.DUMMYFUNCTION("""COMPUTED_VALUE"""),3)</f>
        <v>3</v>
      </c>
      <c r="H621" s="118" t="str">
        <f ca="1">IFERROR(__xludf.DUMMYFUNCTION("""COMPUTED_VALUE"""),"FS")</f>
        <v>FS</v>
      </c>
      <c r="I621" s="118">
        <f ca="1">IFERROR(__xludf.DUMMYFUNCTION("""COMPUTED_VALUE"""),8)</f>
        <v>8</v>
      </c>
      <c r="J621" s="118">
        <f ca="1">IFERROR(__xludf.DUMMYFUNCTION("""COMPUTED_VALUE"""),0)</f>
        <v>0</v>
      </c>
      <c r="K621" s="120"/>
      <c r="L621" s="121"/>
      <c r="M621" s="120"/>
      <c r="N621" s="121"/>
      <c r="O621" s="120"/>
      <c r="P621" s="122"/>
      <c r="Q621" s="123" t="str">
        <f ca="1">IFERROR(__xludf.DUMMYFUNCTION("""COMPUTED_VALUE"""),"Lottie Robert")</f>
        <v>Lottie Robert</v>
      </c>
      <c r="R621" s="123" t="str">
        <f ca="1">IFERROR(__xludf.DUMMYFUNCTION("""COMPUTED_VALUE"""),"Tom Ritter")</f>
        <v>Tom Ritter</v>
      </c>
      <c r="S621" s="123" t="str">
        <f ca="1">IFERROR(__xludf.DUMMYFUNCTION("""COMPUTED_VALUE"""),"Jemima Dewhirst")</f>
        <v>Jemima Dewhirst</v>
      </c>
      <c r="T621" s="123" t="str">
        <f ca="1">IFERROR(__xludf.DUMMYFUNCTION("""COMPUTED_VALUE"""),"Max Signer")</f>
        <v>Max Signer</v>
      </c>
    </row>
    <row r="622" spans="1:20" ht="13.8">
      <c r="A622" s="118" t="str">
        <f ca="1">IFERROR(__xludf.DUMMYFUNCTION("""COMPUTED_VALUE"""),"FS")</f>
        <v>FS</v>
      </c>
      <c r="B622" s="119" t="str">
        <f ca="1">IFERROR(__xludf.DUMMYFUNCTION("""COMPUTED_VALUE"""),"Rebecca Perkowski")</f>
        <v>Rebecca Perkowski</v>
      </c>
      <c r="C622" s="118">
        <f ca="1">IFERROR(__xludf.DUMMYFUNCTION("""COMPUTED_VALUE"""),14)</f>
        <v>14</v>
      </c>
      <c r="D622" s="118" t="str">
        <f ca="1">IFERROR(__xludf.DUMMYFUNCTION("""COMPUTED_VALUE"""),"G")</f>
        <v>G</v>
      </c>
      <c r="E622" s="118" t="str">
        <f ca="1">IFERROR(__xludf.DUMMYFUNCTION("""COMPUTED_VALUE"""),"I")</f>
        <v>I</v>
      </c>
      <c r="F622" s="118" t="str">
        <f ca="1">IFERROR(__xludf.DUMMYFUNCTION("""COMPUTED_VALUE"""),"S")</f>
        <v>S</v>
      </c>
      <c r="G622" s="118">
        <f ca="1">IFERROR(__xludf.DUMMYFUNCTION("""COMPUTED_VALUE"""),3)</f>
        <v>3</v>
      </c>
      <c r="H622" s="118" t="str">
        <f ca="1">IFERROR(__xludf.DUMMYFUNCTION("""COMPUTED_VALUE"""),"FS")</f>
        <v>FS</v>
      </c>
      <c r="I622" s="118">
        <f ca="1">IFERROR(__xludf.DUMMYFUNCTION("""COMPUTED_VALUE"""),8)</f>
        <v>8</v>
      </c>
      <c r="J622" s="118">
        <f ca="1">IFERROR(__xludf.DUMMYFUNCTION("""COMPUTED_VALUE"""),2)</f>
        <v>2</v>
      </c>
      <c r="K622" s="120">
        <f ca="1">IFERROR(__xludf.DUMMYFUNCTION("""COMPUTED_VALUE"""),70.05)</f>
        <v>70.05</v>
      </c>
      <c r="L622" s="121"/>
      <c r="M622" s="120"/>
      <c r="N622" s="121"/>
      <c r="O622" s="120"/>
      <c r="P622" s="122"/>
      <c r="Q622" s="123" t="str">
        <f ca="1">IFERROR(__xludf.DUMMYFUNCTION("""COMPUTED_VALUE"""),"Lourdes Schvind")</f>
        <v>Lourdes Schvind</v>
      </c>
      <c r="R622" s="123" t="str">
        <f ca="1">IFERROR(__xludf.DUMMYFUNCTION("""COMPUTED_VALUE"""),"Tommy Edgerton")</f>
        <v>Tommy Edgerton</v>
      </c>
      <c r="S622" s="123" t="str">
        <f ca="1">IFERROR(__xludf.DUMMYFUNCTION("""COMPUTED_VALUE"""),"Jenna Jair")</f>
        <v>Jenna Jair</v>
      </c>
      <c r="T622" s="123" t="str">
        <f ca="1">IFERROR(__xludf.DUMMYFUNCTION("""COMPUTED_VALUE"""),"Max Waisberg")</f>
        <v>Max Waisberg</v>
      </c>
    </row>
    <row r="623" spans="1:20" ht="13.8">
      <c r="A623" s="118" t="str">
        <f ca="1">IFERROR(__xludf.DUMMYFUNCTION("""COMPUTED_VALUE"""),"FS")</f>
        <v>FS</v>
      </c>
      <c r="B623" s="119" t="str">
        <f ca="1">IFERROR(__xludf.DUMMYFUNCTION("""COMPUTED_VALUE"""),"Stella Budiu")</f>
        <v>Stella Budiu</v>
      </c>
      <c r="C623" s="118">
        <f ca="1">IFERROR(__xludf.DUMMYFUNCTION("""COMPUTED_VALUE"""),13)</f>
        <v>13</v>
      </c>
      <c r="D623" s="118" t="str">
        <f ca="1">IFERROR(__xludf.DUMMYFUNCTION("""COMPUTED_VALUE"""),"G")</f>
        <v>G</v>
      </c>
      <c r="E623" s="118" t="str">
        <f ca="1">IFERROR(__xludf.DUMMYFUNCTION("""COMPUTED_VALUE"""),"I")</f>
        <v>I</v>
      </c>
      <c r="F623" s="118" t="str">
        <f ca="1">IFERROR(__xludf.DUMMYFUNCTION("""COMPUTED_VALUE"""),"S")</f>
        <v>S</v>
      </c>
      <c r="G623" s="118">
        <f ca="1">IFERROR(__xludf.DUMMYFUNCTION("""COMPUTED_VALUE"""),3)</f>
        <v>3</v>
      </c>
      <c r="H623" s="118" t="str">
        <f ca="1">IFERROR(__xludf.DUMMYFUNCTION("""COMPUTED_VALUE"""),"FS")</f>
        <v>FS</v>
      </c>
      <c r="I623" s="118">
        <f ca="1">IFERROR(__xludf.DUMMYFUNCTION("""COMPUTED_VALUE"""),8)</f>
        <v>8</v>
      </c>
      <c r="J623" s="118">
        <f ca="1">IFERROR(__xludf.DUMMYFUNCTION("""COMPUTED_VALUE"""),0)</f>
        <v>0</v>
      </c>
      <c r="K623" s="120"/>
      <c r="L623" s="121"/>
      <c r="M623" s="120"/>
      <c r="N623" s="121"/>
      <c r="O623" s="120"/>
      <c r="P623" s="122"/>
      <c r="Q623" s="123" t="str">
        <f ca="1">IFERROR(__xludf.DUMMYFUNCTION("""COMPUTED_VALUE"""),"Luca Hennessey-Carter")</f>
        <v>Luca Hennessey-Carter</v>
      </c>
      <c r="R623" s="123" t="str">
        <f ca="1">IFERROR(__xludf.DUMMYFUNCTION("""COMPUTED_VALUE"""),"Tommy Nelson")</f>
        <v>Tommy Nelson</v>
      </c>
      <c r="S623" s="123" t="str">
        <f ca="1">IFERROR(__xludf.DUMMYFUNCTION("""COMPUTED_VALUE"""),"Jenna Sheetz")</f>
        <v>Jenna Sheetz</v>
      </c>
      <c r="T623" s="123" t="str">
        <f ca="1">IFERROR(__xludf.DUMMYFUNCTION("""COMPUTED_VALUE"""),"Maximus Tabrizi")</f>
        <v>Maximus Tabrizi</v>
      </c>
    </row>
    <row r="624" spans="1:20" ht="13.8">
      <c r="A624" s="118" t="str">
        <f ca="1">IFERROR(__xludf.DUMMYFUNCTION("""COMPUTED_VALUE"""),"FS")</f>
        <v>FS</v>
      </c>
      <c r="B624" s="119" t="str">
        <f ca="1">IFERROR(__xludf.DUMMYFUNCTION("""COMPUTED_VALUE"""),"Stella Klein")</f>
        <v>Stella Klein</v>
      </c>
      <c r="C624" s="118">
        <f ca="1">IFERROR(__xludf.DUMMYFUNCTION("""COMPUTED_VALUE"""),13)</f>
        <v>13</v>
      </c>
      <c r="D624" s="118" t="str">
        <f ca="1">IFERROR(__xludf.DUMMYFUNCTION("""COMPUTED_VALUE"""),"G")</f>
        <v>G</v>
      </c>
      <c r="E624" s="118" t="str">
        <f ca="1">IFERROR(__xludf.DUMMYFUNCTION("""COMPUTED_VALUE"""),"I")</f>
        <v>I</v>
      </c>
      <c r="F624" s="118" t="str">
        <f ca="1">IFERROR(__xludf.DUMMYFUNCTION("""COMPUTED_VALUE"""),"S")</f>
        <v>S</v>
      </c>
      <c r="G624" s="118">
        <f ca="1">IFERROR(__xludf.DUMMYFUNCTION("""COMPUTED_VALUE"""),3)</f>
        <v>3</v>
      </c>
      <c r="H624" s="118" t="str">
        <f ca="1">IFERROR(__xludf.DUMMYFUNCTION("""COMPUTED_VALUE"""),"FS")</f>
        <v>FS</v>
      </c>
      <c r="I624" s="118">
        <f ca="1">IFERROR(__xludf.DUMMYFUNCTION("""COMPUTED_VALUE"""),8)</f>
        <v>8</v>
      </c>
      <c r="J624" s="118">
        <f ca="1">IFERROR(__xludf.DUMMYFUNCTION("""COMPUTED_VALUE"""),0)</f>
        <v>0</v>
      </c>
      <c r="K624" s="120"/>
      <c r="L624" s="121"/>
      <c r="M624" s="120"/>
      <c r="N624" s="121"/>
      <c r="O624" s="120"/>
      <c r="P624" s="122"/>
      <c r="Q624" s="123" t="str">
        <f ca="1">IFERROR(__xludf.DUMMYFUNCTION("""COMPUTED_VALUE"""),"Luciana Fernandez")</f>
        <v>Luciana Fernandez</v>
      </c>
      <c r="R624" s="123" t="str">
        <f ca="1">IFERROR(__xludf.DUMMYFUNCTION("""COMPUTED_VALUE"""),"Travis Smith")</f>
        <v>Travis Smith</v>
      </c>
      <c r="S624" s="123" t="str">
        <f ca="1">IFERROR(__xludf.DUMMYFUNCTION("""COMPUTED_VALUE"""),"Jenna Wathen")</f>
        <v>Jenna Wathen</v>
      </c>
      <c r="T624" s="123" t="str">
        <f ca="1">IFERROR(__xludf.DUMMYFUNCTION("""COMPUTED_VALUE"""),"Maxton Molina-Weir")</f>
        <v>Maxton Molina-Weir</v>
      </c>
    </row>
    <row r="625" spans="1:20" ht="13.8">
      <c r="A625" s="118" t="str">
        <f ca="1">IFERROR(__xludf.DUMMYFUNCTION("""COMPUTED_VALUE"""),"FS")</f>
        <v>FS</v>
      </c>
      <c r="B625" s="119" t="str">
        <f ca="1">IFERROR(__xludf.DUMMYFUNCTION("""COMPUTED_VALUE"""),"Alden Meholic")</f>
        <v>Alden Meholic</v>
      </c>
      <c r="C625" s="118">
        <f ca="1">IFERROR(__xludf.DUMMYFUNCTION("""COMPUTED_VALUE"""),13)</f>
        <v>13</v>
      </c>
      <c r="D625" s="118" t="str">
        <f ca="1">IFERROR(__xludf.DUMMYFUNCTION("""COMPUTED_VALUE"""),"B")</f>
        <v>B</v>
      </c>
      <c r="E625" s="118" t="str">
        <f ca="1">IFERROR(__xludf.DUMMYFUNCTION("""COMPUTED_VALUE"""),"I")</f>
        <v>I</v>
      </c>
      <c r="F625" s="118" t="str">
        <f ca="1">IFERROR(__xludf.DUMMYFUNCTION("""COMPUTED_VALUE"""),"S")</f>
        <v>S</v>
      </c>
      <c r="G625" s="118">
        <f ca="1">IFERROR(__xludf.DUMMYFUNCTION("""COMPUTED_VALUE"""),3)</f>
        <v>3</v>
      </c>
      <c r="H625" s="118" t="str">
        <f ca="1">IFERROR(__xludf.DUMMYFUNCTION("""COMPUTED_VALUE"""),"FS")</f>
        <v>FS</v>
      </c>
      <c r="I625" s="118">
        <f ca="1">IFERROR(__xludf.DUMMYFUNCTION("""COMPUTED_VALUE"""),9)</f>
        <v>9</v>
      </c>
      <c r="J625" s="118">
        <f ca="1">IFERROR(__xludf.DUMMYFUNCTION("""COMPUTED_VALUE"""),2)</f>
        <v>2</v>
      </c>
      <c r="K625" s="120">
        <f ca="1">IFERROR(__xludf.DUMMYFUNCTION("""COMPUTED_VALUE"""),98.25)</f>
        <v>98.25</v>
      </c>
      <c r="L625" s="121"/>
      <c r="M625" s="120">
        <f ca="1">IFERROR(__xludf.DUMMYFUNCTION("""COMPUTED_VALUE"""),96.1)</f>
        <v>96.1</v>
      </c>
      <c r="N625" s="121"/>
      <c r="O625" s="120"/>
      <c r="P625" s="122"/>
      <c r="Q625" s="123" t="str">
        <f ca="1">IFERROR(__xludf.DUMMYFUNCTION("""COMPUTED_VALUE"""),"Lucy Alizadeh")</f>
        <v>Lucy Alizadeh</v>
      </c>
      <c r="R625" s="123" t="str">
        <f ca="1">IFERROR(__xludf.DUMMYFUNCTION("""COMPUTED_VALUE"""),"Trey McIntosh")</f>
        <v>Trey McIntosh</v>
      </c>
      <c r="S625" s="123" t="str">
        <f ca="1">IFERROR(__xludf.DUMMYFUNCTION("""COMPUTED_VALUE"""),"Jennah Soto")</f>
        <v>Jennah Soto</v>
      </c>
      <c r="T625" s="123" t="str">
        <f ca="1">IFERROR(__xludf.DUMMYFUNCTION("""COMPUTED_VALUE"""),"Maxwell Swensson")</f>
        <v>Maxwell Swensson</v>
      </c>
    </row>
    <row r="626" spans="1:20" ht="13.8">
      <c r="A626" s="118" t="str">
        <f ca="1">IFERROR(__xludf.DUMMYFUNCTION("""COMPUTED_VALUE"""),"FS")</f>
        <v>FS</v>
      </c>
      <c r="B626" s="119" t="str">
        <f ca="1">IFERROR(__xludf.DUMMYFUNCTION("""COMPUTED_VALUE"""),"Andrew Parente")</f>
        <v>Andrew Parente</v>
      </c>
      <c r="C626" s="118">
        <f ca="1">IFERROR(__xludf.DUMMYFUNCTION("""COMPUTED_VALUE"""),13)</f>
        <v>13</v>
      </c>
      <c r="D626" s="118" t="str">
        <f ca="1">IFERROR(__xludf.DUMMYFUNCTION("""COMPUTED_VALUE"""),"B")</f>
        <v>B</v>
      </c>
      <c r="E626" s="118" t="str">
        <f ca="1">IFERROR(__xludf.DUMMYFUNCTION("""COMPUTED_VALUE"""),"I")</f>
        <v>I</v>
      </c>
      <c r="F626" s="118" t="str">
        <f ca="1">IFERROR(__xludf.DUMMYFUNCTION("""COMPUTED_VALUE"""),"S")</f>
        <v>S</v>
      </c>
      <c r="G626" s="118">
        <f ca="1">IFERROR(__xludf.DUMMYFUNCTION("""COMPUTED_VALUE"""),3)</f>
        <v>3</v>
      </c>
      <c r="H626" s="118" t="str">
        <f ca="1">IFERROR(__xludf.DUMMYFUNCTION("""COMPUTED_VALUE"""),"FS")</f>
        <v>FS</v>
      </c>
      <c r="I626" s="118">
        <f ca="1">IFERROR(__xludf.DUMMYFUNCTION("""COMPUTED_VALUE"""),9)</f>
        <v>9</v>
      </c>
      <c r="J626" s="118">
        <f ca="1">IFERROR(__xludf.DUMMYFUNCTION("""COMPUTED_VALUE"""),3)</f>
        <v>3</v>
      </c>
      <c r="K626" s="120">
        <f ca="1">IFERROR(__xludf.DUMMYFUNCTION("""COMPUTED_VALUE"""),103.4)</f>
        <v>103.4</v>
      </c>
      <c r="L626" s="121"/>
      <c r="M626" s="120">
        <f ca="1">IFERROR(__xludf.DUMMYFUNCTION("""COMPUTED_VALUE"""),91.25)</f>
        <v>91.25</v>
      </c>
      <c r="N626" s="121"/>
      <c r="O626" s="120"/>
      <c r="P626" s="122"/>
      <c r="Q626" s="123" t="str">
        <f ca="1">IFERROR(__xludf.DUMMYFUNCTION("""COMPUTED_VALUE"""),"Lucy Barry")</f>
        <v>Lucy Barry</v>
      </c>
      <c r="R626" s="123" t="str">
        <f ca="1">IFERROR(__xludf.DUMMYFUNCTION("""COMPUTED_VALUE"""),"Treyton Green")</f>
        <v>Treyton Green</v>
      </c>
      <c r="S626" s="123" t="str">
        <f ca="1">IFERROR(__xludf.DUMMYFUNCTION("""COMPUTED_VALUE"""),"Jennifer Schneider")</f>
        <v>Jennifer Schneider</v>
      </c>
      <c r="T626" s="123" t="str">
        <f ca="1">IFERROR(__xludf.DUMMYFUNCTION("""COMPUTED_VALUE"""),"Micah Hsai")</f>
        <v>Micah Hsai</v>
      </c>
    </row>
    <row r="627" spans="1:20" ht="13.8">
      <c r="A627" s="118" t="str">
        <f ca="1">IFERROR(__xludf.DUMMYFUNCTION("""COMPUTED_VALUE"""),"FS")</f>
        <v>FS</v>
      </c>
      <c r="B627" s="119" t="str">
        <f ca="1">IFERROR(__xludf.DUMMYFUNCTION("""COMPUTED_VALUE"""),"Boone Dean")</f>
        <v>Boone Dean</v>
      </c>
      <c r="C627" s="118">
        <f ca="1">IFERROR(__xludf.DUMMYFUNCTION("""COMPUTED_VALUE"""),13)</f>
        <v>13</v>
      </c>
      <c r="D627" s="118" t="str">
        <f ca="1">IFERROR(__xludf.DUMMYFUNCTION("""COMPUTED_VALUE"""),"B")</f>
        <v>B</v>
      </c>
      <c r="E627" s="118" t="str">
        <f ca="1">IFERROR(__xludf.DUMMYFUNCTION("""COMPUTED_VALUE"""),"I")</f>
        <v>I</v>
      </c>
      <c r="F627" s="118" t="str">
        <f ca="1">IFERROR(__xludf.DUMMYFUNCTION("""COMPUTED_VALUE"""),"S")</f>
        <v>S</v>
      </c>
      <c r="G627" s="118">
        <f ca="1">IFERROR(__xludf.DUMMYFUNCTION("""COMPUTED_VALUE"""),3)</f>
        <v>3</v>
      </c>
      <c r="H627" s="118" t="str">
        <f ca="1">IFERROR(__xludf.DUMMYFUNCTION("""COMPUTED_VALUE"""),"FS")</f>
        <v>FS</v>
      </c>
      <c r="I627" s="118">
        <f ca="1">IFERROR(__xludf.DUMMYFUNCTION("""COMPUTED_VALUE"""),9)</f>
        <v>9</v>
      </c>
      <c r="J627" s="118">
        <f ca="1">IFERROR(__xludf.DUMMYFUNCTION("""COMPUTED_VALUE"""),3)</f>
        <v>3</v>
      </c>
      <c r="K627" s="120">
        <f ca="1">IFERROR(__xludf.DUMMYFUNCTION("""COMPUTED_VALUE"""),88.8)</f>
        <v>88.8</v>
      </c>
      <c r="L627" s="121"/>
      <c r="M627" s="120"/>
      <c r="N627" s="121"/>
      <c r="O627" s="120"/>
      <c r="P627" s="122"/>
      <c r="Q627" s="123" t="str">
        <f ca="1">IFERROR(__xludf.DUMMYFUNCTION("""COMPUTED_VALUE"""),"Lucy Bennett")</f>
        <v>Lucy Bennett</v>
      </c>
      <c r="R627" s="123" t="str">
        <f ca="1">IFERROR(__xludf.DUMMYFUNCTION("""COMPUTED_VALUE"""),"Tripp Simms")</f>
        <v>Tripp Simms</v>
      </c>
      <c r="S627" s="123" t="str">
        <f ca="1">IFERROR(__xludf.DUMMYFUNCTION("""COMPUTED_VALUE"""),"Jenny Pietras")</f>
        <v>Jenny Pietras</v>
      </c>
      <c r="T627" s="123" t="str">
        <f ca="1">IFERROR(__xludf.DUMMYFUNCTION("""COMPUTED_VALUE"""),"Michael Barnett")</f>
        <v>Michael Barnett</v>
      </c>
    </row>
    <row r="628" spans="1:20" ht="13.8">
      <c r="A628" s="118" t="str">
        <f ca="1">IFERROR(__xludf.DUMMYFUNCTION("""COMPUTED_VALUE"""),"FS")</f>
        <v>FS</v>
      </c>
      <c r="B628" s="119" t="str">
        <f ca="1">IFERROR(__xludf.DUMMYFUNCTION("""COMPUTED_VALUE"""),"Anamarie Harrison")</f>
        <v>Anamarie Harrison</v>
      </c>
      <c r="C628" s="118">
        <f ca="1">IFERROR(__xludf.DUMMYFUNCTION("""COMPUTED_VALUE"""),15)</f>
        <v>15</v>
      </c>
      <c r="D628" s="118" t="str">
        <f ca="1">IFERROR(__xludf.DUMMYFUNCTION("""COMPUTED_VALUE"""),"G")</f>
        <v>G</v>
      </c>
      <c r="E628" s="118" t="str">
        <f ca="1">IFERROR(__xludf.DUMMYFUNCTION("""COMPUTED_VALUE"""),"S")</f>
        <v>S</v>
      </c>
      <c r="F628" s="118" t="str">
        <f ca="1">IFERROR(__xludf.DUMMYFUNCTION("""COMPUTED_VALUE"""),"S")</f>
        <v>S</v>
      </c>
      <c r="G628" s="118">
        <f ca="1">IFERROR(__xludf.DUMMYFUNCTION("""COMPUTED_VALUE"""),3)</f>
        <v>3</v>
      </c>
      <c r="H628" s="118" t="str">
        <f ca="1">IFERROR(__xludf.DUMMYFUNCTION("""COMPUTED_VALUE"""),"FS")</f>
        <v>FS</v>
      </c>
      <c r="I628" s="118">
        <f ca="1">IFERROR(__xludf.DUMMYFUNCTION("""COMPUTED_VALUE"""),10)</f>
        <v>10</v>
      </c>
      <c r="J628" s="118">
        <f ca="1">IFERROR(__xludf.DUMMYFUNCTION("""COMPUTED_VALUE"""),4)</f>
        <v>4</v>
      </c>
      <c r="K628" s="120">
        <f ca="1">IFERROR(__xludf.DUMMYFUNCTION("""COMPUTED_VALUE"""),155.05)</f>
        <v>155.05000000000001</v>
      </c>
      <c r="L628" s="121"/>
      <c r="M628" s="120">
        <f ca="1">IFERROR(__xludf.DUMMYFUNCTION("""COMPUTED_VALUE"""),135.2)</f>
        <v>135.19999999999999</v>
      </c>
      <c r="N628" s="121"/>
      <c r="O628" s="120"/>
      <c r="P628" s="122"/>
      <c r="Q628" s="123" t="str">
        <f ca="1">IFERROR(__xludf.DUMMYFUNCTION("""COMPUTED_VALUE"""),"Lucy Brannan")</f>
        <v>Lucy Brannan</v>
      </c>
      <c r="R628" s="123" t="str">
        <f ca="1">IFERROR(__xludf.DUMMYFUNCTION("""COMPUTED_VALUE"""),"Tripp Walter")</f>
        <v>Tripp Walter</v>
      </c>
      <c r="S628" s="123" t="str">
        <f ca="1">IFERROR(__xludf.DUMMYFUNCTION("""COMPUTED_VALUE"""),"Jessica Buechler")</f>
        <v>Jessica Buechler</v>
      </c>
      <c r="T628" s="123" t="str">
        <f ca="1">IFERROR(__xludf.DUMMYFUNCTION("""COMPUTED_VALUE"""),"Michael Borlinghaus")</f>
        <v>Michael Borlinghaus</v>
      </c>
    </row>
    <row r="629" spans="1:20" ht="13.8">
      <c r="A629" s="118" t="str">
        <f ca="1">IFERROR(__xludf.DUMMYFUNCTION("""COMPUTED_VALUE"""),"FS")</f>
        <v>FS</v>
      </c>
      <c r="B629" s="119" t="str">
        <f ca="1">IFERROR(__xludf.DUMMYFUNCTION("""COMPUTED_VALUE"""),"Darcy Telleen")</f>
        <v>Darcy Telleen</v>
      </c>
      <c r="C629" s="118">
        <f ca="1">IFERROR(__xludf.DUMMYFUNCTION("""COMPUTED_VALUE"""),15)</f>
        <v>15</v>
      </c>
      <c r="D629" s="118" t="str">
        <f ca="1">IFERROR(__xludf.DUMMYFUNCTION("""COMPUTED_VALUE"""),"G")</f>
        <v>G</v>
      </c>
      <c r="E629" s="118" t="str">
        <f ca="1">IFERROR(__xludf.DUMMYFUNCTION("""COMPUTED_VALUE"""),"S")</f>
        <v>S</v>
      </c>
      <c r="F629" s="118" t="str">
        <f ca="1">IFERROR(__xludf.DUMMYFUNCTION("""COMPUTED_VALUE"""),"S")</f>
        <v>S</v>
      </c>
      <c r="G629" s="118">
        <f ca="1">IFERROR(__xludf.DUMMYFUNCTION("""COMPUTED_VALUE"""),3)</f>
        <v>3</v>
      </c>
      <c r="H629" s="118" t="str">
        <f ca="1">IFERROR(__xludf.DUMMYFUNCTION("""COMPUTED_VALUE"""),"FS")</f>
        <v>FS</v>
      </c>
      <c r="I629" s="118">
        <f ca="1">IFERROR(__xludf.DUMMYFUNCTION("""COMPUTED_VALUE"""),10)</f>
        <v>10</v>
      </c>
      <c r="J629" s="118">
        <f ca="1">IFERROR(__xludf.DUMMYFUNCTION("""COMPUTED_VALUE"""),4)</f>
        <v>4</v>
      </c>
      <c r="K629" s="120">
        <f ca="1">IFERROR(__xludf.DUMMYFUNCTION("""COMPUTED_VALUE"""),169.25)</f>
        <v>169.25</v>
      </c>
      <c r="L629" s="121"/>
      <c r="M629" s="120">
        <f ca="1">IFERROR(__xludf.DUMMYFUNCTION("""COMPUTED_VALUE"""),147.75)</f>
        <v>147.75</v>
      </c>
      <c r="N629" s="121"/>
      <c r="O629" s="120"/>
      <c r="P629" s="122"/>
      <c r="Q629" s="123" t="str">
        <f ca="1">IFERROR(__xludf.DUMMYFUNCTION("""COMPUTED_VALUE"""),"Lucy Jonson")</f>
        <v>Lucy Jonson</v>
      </c>
      <c r="R629" s="123" t="str">
        <f ca="1">IFERROR(__xludf.DUMMYFUNCTION("""COMPUTED_VALUE"""),"Tristan Dasch")</f>
        <v>Tristan Dasch</v>
      </c>
      <c r="S629" s="123" t="str">
        <f ca="1">IFERROR(__xludf.DUMMYFUNCTION("""COMPUTED_VALUE"""),"Jewell Mahoney")</f>
        <v>Jewell Mahoney</v>
      </c>
      <c r="T629" s="123" t="str">
        <f ca="1">IFERROR(__xludf.DUMMYFUNCTION("""COMPUTED_VALUE"""),"Michael Bui")</f>
        <v>Michael Bui</v>
      </c>
    </row>
    <row r="630" spans="1:20" ht="13.8">
      <c r="A630" s="118" t="str">
        <f ca="1">IFERROR(__xludf.DUMMYFUNCTION("""COMPUTED_VALUE"""),"FS")</f>
        <v>FS</v>
      </c>
      <c r="B630" s="119" t="str">
        <f ca="1">IFERROR(__xludf.DUMMYFUNCTION("""COMPUTED_VALUE"""),"Devyn Telleen")</f>
        <v>Devyn Telleen</v>
      </c>
      <c r="C630" s="118">
        <f ca="1">IFERROR(__xludf.DUMMYFUNCTION("""COMPUTED_VALUE"""),17)</f>
        <v>17</v>
      </c>
      <c r="D630" s="118" t="str">
        <f ca="1">IFERROR(__xludf.DUMMYFUNCTION("""COMPUTED_VALUE"""),"G")</f>
        <v>G</v>
      </c>
      <c r="E630" s="118" t="str">
        <f ca="1">IFERROR(__xludf.DUMMYFUNCTION("""COMPUTED_VALUE"""),"S")</f>
        <v>S</v>
      </c>
      <c r="F630" s="118" t="str">
        <f ca="1">IFERROR(__xludf.DUMMYFUNCTION("""COMPUTED_VALUE"""),"S")</f>
        <v>S</v>
      </c>
      <c r="G630" s="118">
        <f ca="1">IFERROR(__xludf.DUMMYFUNCTION("""COMPUTED_VALUE"""),3)</f>
        <v>3</v>
      </c>
      <c r="H630" s="118" t="str">
        <f ca="1">IFERROR(__xludf.DUMMYFUNCTION("""COMPUTED_VALUE"""),"FS")</f>
        <v>FS</v>
      </c>
      <c r="I630" s="118">
        <f ca="1">IFERROR(__xludf.DUMMYFUNCTION("""COMPUTED_VALUE"""),10)</f>
        <v>10</v>
      </c>
      <c r="J630" s="118">
        <f ca="1">IFERROR(__xludf.DUMMYFUNCTION("""COMPUTED_VALUE"""),4)</f>
        <v>4</v>
      </c>
      <c r="K630" s="120">
        <f ca="1">IFERROR(__xludf.DUMMYFUNCTION("""COMPUTED_VALUE"""),162.45)</f>
        <v>162.44999999999999</v>
      </c>
      <c r="L630" s="121"/>
      <c r="M630" s="120"/>
      <c r="N630" s="121"/>
      <c r="O630" s="120">
        <f ca="1">IFERROR(__xludf.DUMMYFUNCTION("""COMPUTED_VALUE"""),150.6)</f>
        <v>150.6</v>
      </c>
      <c r="P630" s="122"/>
      <c r="Q630" s="123" t="str">
        <f ca="1">IFERROR(__xludf.DUMMYFUNCTION("""COMPUTED_VALUE"""),"Lucy Leland")</f>
        <v>Lucy Leland</v>
      </c>
      <c r="R630" s="123" t="str">
        <f ca="1">IFERROR(__xludf.DUMMYFUNCTION("""COMPUTED_VALUE"""),"Tristan Smith")</f>
        <v>Tristan Smith</v>
      </c>
      <c r="S630" s="123" t="str">
        <f ca="1">IFERROR(__xludf.DUMMYFUNCTION("""COMPUTED_VALUE"""),"Jheeni Shah")</f>
        <v>Jheeni Shah</v>
      </c>
      <c r="T630" s="123" t="str">
        <f ca="1">IFERROR(__xludf.DUMMYFUNCTION("""COMPUTED_VALUE"""),"Michael Commette")</f>
        <v>Michael Commette</v>
      </c>
    </row>
    <row r="631" spans="1:20" ht="13.8">
      <c r="A631" s="118" t="str">
        <f ca="1">IFERROR(__xludf.DUMMYFUNCTION("""COMPUTED_VALUE"""),"FS")</f>
        <v>FS</v>
      </c>
      <c r="B631" s="119" t="str">
        <f ca="1">IFERROR(__xludf.DUMMYFUNCTION("""COMPUTED_VALUE"""),"Julie Isaac")</f>
        <v>Julie Isaac</v>
      </c>
      <c r="C631" s="118">
        <f ca="1">IFERROR(__xludf.DUMMYFUNCTION("""COMPUTED_VALUE"""),16)</f>
        <v>16</v>
      </c>
      <c r="D631" s="118" t="str">
        <f ca="1">IFERROR(__xludf.DUMMYFUNCTION("""COMPUTED_VALUE"""),"G")</f>
        <v>G</v>
      </c>
      <c r="E631" s="118" t="str">
        <f ca="1">IFERROR(__xludf.DUMMYFUNCTION("""COMPUTED_VALUE"""),"S")</f>
        <v>S</v>
      </c>
      <c r="F631" s="118" t="str">
        <f ca="1">IFERROR(__xludf.DUMMYFUNCTION("""COMPUTED_VALUE"""),"S")</f>
        <v>S</v>
      </c>
      <c r="G631" s="118">
        <f ca="1">IFERROR(__xludf.DUMMYFUNCTION("""COMPUTED_VALUE"""),3)</f>
        <v>3</v>
      </c>
      <c r="H631" s="118" t="str">
        <f ca="1">IFERROR(__xludf.DUMMYFUNCTION("""COMPUTED_VALUE"""),"FS")</f>
        <v>FS</v>
      </c>
      <c r="I631" s="118">
        <f ca="1">IFERROR(__xludf.DUMMYFUNCTION("""COMPUTED_VALUE"""),10)</f>
        <v>10</v>
      </c>
      <c r="J631" s="118">
        <f ca="1">IFERROR(__xludf.DUMMYFUNCTION("""COMPUTED_VALUE"""),3)</f>
        <v>3</v>
      </c>
      <c r="K631" s="120">
        <f ca="1">IFERROR(__xludf.DUMMYFUNCTION("""COMPUTED_VALUE"""),121.6)</f>
        <v>121.6</v>
      </c>
      <c r="L631" s="121"/>
      <c r="M631" s="120"/>
      <c r="N631" s="121"/>
      <c r="O631" s="120">
        <f ca="1">IFERROR(__xludf.DUMMYFUNCTION("""COMPUTED_VALUE"""),112.3)</f>
        <v>112.3</v>
      </c>
      <c r="P631" s="122"/>
      <c r="Q631" s="123" t="str">
        <f ca="1">IFERROR(__xludf.DUMMYFUNCTION("""COMPUTED_VALUE"""),"Lucy McArdle")</f>
        <v>Lucy McArdle</v>
      </c>
      <c r="R631" s="123" t="str">
        <f ca="1">IFERROR(__xludf.DUMMYFUNCTION("""COMPUTED_VALUE"""),"Tyler Brown")</f>
        <v>Tyler Brown</v>
      </c>
      <c r="S631" s="123" t="str">
        <f ca="1">IFERROR(__xludf.DUMMYFUNCTION("""COMPUTED_VALUE"""),"Jillian Champlin")</f>
        <v>Jillian Champlin</v>
      </c>
      <c r="T631" s="123" t="str">
        <f ca="1">IFERROR(__xludf.DUMMYFUNCTION("""COMPUTED_VALUE"""),"Michael Davis")</f>
        <v>Michael Davis</v>
      </c>
    </row>
    <row r="632" spans="1:20" ht="13.8">
      <c r="A632" s="118" t="str">
        <f ca="1">IFERROR(__xludf.DUMMYFUNCTION("""COMPUTED_VALUE"""),"FS")</f>
        <v>FS</v>
      </c>
      <c r="B632" s="119" t="str">
        <f ca="1">IFERROR(__xludf.DUMMYFUNCTION("""COMPUTED_VALUE"""),"Talya Wright")</f>
        <v>Talya Wright</v>
      </c>
      <c r="C632" s="118">
        <f ca="1">IFERROR(__xludf.DUMMYFUNCTION("""COMPUTED_VALUE"""),15)</f>
        <v>15</v>
      </c>
      <c r="D632" s="118" t="str">
        <f ca="1">IFERROR(__xludf.DUMMYFUNCTION("""COMPUTED_VALUE"""),"G")</f>
        <v>G</v>
      </c>
      <c r="E632" s="118" t="str">
        <f ca="1">IFERROR(__xludf.DUMMYFUNCTION("""COMPUTED_VALUE"""),"S")</f>
        <v>S</v>
      </c>
      <c r="F632" s="118" t="str">
        <f ca="1">IFERROR(__xludf.DUMMYFUNCTION("""COMPUTED_VALUE"""),"S")</f>
        <v>S</v>
      </c>
      <c r="G632" s="118">
        <f ca="1">IFERROR(__xludf.DUMMYFUNCTION("""COMPUTED_VALUE"""),3)</f>
        <v>3</v>
      </c>
      <c r="H632" s="118" t="str">
        <f ca="1">IFERROR(__xludf.DUMMYFUNCTION("""COMPUTED_VALUE"""),"FS")</f>
        <v>FS</v>
      </c>
      <c r="I632" s="118">
        <f ca="1">IFERROR(__xludf.DUMMYFUNCTION("""COMPUTED_VALUE"""),10)</f>
        <v>10</v>
      </c>
      <c r="J632" s="118">
        <f ca="1">IFERROR(__xludf.DUMMYFUNCTION("""COMPUTED_VALUE"""),3)</f>
        <v>3</v>
      </c>
      <c r="K632" s="120">
        <f ca="1">IFERROR(__xludf.DUMMYFUNCTION("""COMPUTED_VALUE"""),125.1)</f>
        <v>125.1</v>
      </c>
      <c r="L632" s="121"/>
      <c r="M632" s="120"/>
      <c r="N632" s="121"/>
      <c r="O632" s="120">
        <f ca="1">IFERROR(__xludf.DUMMYFUNCTION("""COMPUTED_VALUE"""),111.7)</f>
        <v>111.7</v>
      </c>
      <c r="P632" s="122"/>
      <c r="Q632" s="123" t="str">
        <f ca="1">IFERROR(__xludf.DUMMYFUNCTION("""COMPUTED_VALUE"""),"Lucy Mullinix")</f>
        <v>Lucy Mullinix</v>
      </c>
      <c r="R632" s="123" t="str">
        <f ca="1">IFERROR(__xludf.DUMMYFUNCTION("""COMPUTED_VALUE"""),"Tyler Kroopnick")</f>
        <v>Tyler Kroopnick</v>
      </c>
      <c r="S632" s="123" t="str">
        <f ca="1">IFERROR(__xludf.DUMMYFUNCTION("""COMPUTED_VALUE"""),"Jillian Sandridge")</f>
        <v>Jillian Sandridge</v>
      </c>
      <c r="T632" s="123" t="str">
        <f ca="1">IFERROR(__xludf.DUMMYFUNCTION("""COMPUTED_VALUE"""),"Michael Demas")</f>
        <v>Michael Demas</v>
      </c>
    </row>
    <row r="633" spans="1:20" ht="13.8">
      <c r="A633" s="118" t="str">
        <f ca="1">IFERROR(__xludf.DUMMYFUNCTION("""COMPUTED_VALUE"""),"FS")</f>
        <v>FS</v>
      </c>
      <c r="B633" s="119" t="str">
        <f ca="1">IFERROR(__xludf.DUMMYFUNCTION("""COMPUTED_VALUE"""),"Tavi Mohammed")</f>
        <v>Tavi Mohammed</v>
      </c>
      <c r="C633" s="118">
        <f ca="1">IFERROR(__xludf.DUMMYFUNCTION("""COMPUTED_VALUE"""),17)</f>
        <v>17</v>
      </c>
      <c r="D633" s="118" t="str">
        <f ca="1">IFERROR(__xludf.DUMMYFUNCTION("""COMPUTED_VALUE"""),"G")</f>
        <v>G</v>
      </c>
      <c r="E633" s="118" t="str">
        <f ca="1">IFERROR(__xludf.DUMMYFUNCTION("""COMPUTED_VALUE"""),"S")</f>
        <v>S</v>
      </c>
      <c r="F633" s="118" t="str">
        <f ca="1">IFERROR(__xludf.DUMMYFUNCTION("""COMPUTED_VALUE"""),"S")</f>
        <v>S</v>
      </c>
      <c r="G633" s="118">
        <f ca="1">IFERROR(__xludf.DUMMYFUNCTION("""COMPUTED_VALUE"""),3)</f>
        <v>3</v>
      </c>
      <c r="H633" s="118" t="str">
        <f ca="1">IFERROR(__xludf.DUMMYFUNCTION("""COMPUTED_VALUE"""),"FS")</f>
        <v>FS</v>
      </c>
      <c r="I633" s="118">
        <f ca="1">IFERROR(__xludf.DUMMYFUNCTION("""COMPUTED_VALUE"""),10)</f>
        <v>10</v>
      </c>
      <c r="J633" s="118">
        <f ca="1">IFERROR(__xludf.DUMMYFUNCTION("""COMPUTED_VALUE"""),5)</f>
        <v>5</v>
      </c>
      <c r="K633" s="120">
        <f ca="1">IFERROR(__xludf.DUMMYFUNCTION("""COMPUTED_VALUE"""),130.3)</f>
        <v>130.30000000000001</v>
      </c>
      <c r="L633" s="121"/>
      <c r="M633" s="120">
        <f ca="1">IFERROR(__xludf.DUMMYFUNCTION("""COMPUTED_VALUE"""),113.2)</f>
        <v>113.2</v>
      </c>
      <c r="N633" s="121"/>
      <c r="O633" s="120">
        <f ca="1">IFERROR(__xludf.DUMMYFUNCTION("""COMPUTED_VALUE"""),130.3)</f>
        <v>130.30000000000001</v>
      </c>
      <c r="P633" s="122"/>
      <c r="Q633" s="123" t="str">
        <f ca="1">IFERROR(__xludf.DUMMYFUNCTION("""COMPUTED_VALUE"""),"Lucy Navarro")</f>
        <v>Lucy Navarro</v>
      </c>
      <c r="R633" s="123" t="str">
        <f ca="1">IFERROR(__xludf.DUMMYFUNCTION("""COMPUTED_VALUE"""),"Tyler Salmons")</f>
        <v>Tyler Salmons</v>
      </c>
      <c r="S633" s="123" t="str">
        <f ca="1">IFERROR(__xludf.DUMMYFUNCTION("""COMPUTED_VALUE"""),"Joanna Chen")</f>
        <v>Joanna Chen</v>
      </c>
      <c r="T633" s="123" t="str">
        <f ca="1">IFERROR(__xludf.DUMMYFUNCTION("""COMPUTED_VALUE"""),"Michael Grace")</f>
        <v>Michael Grace</v>
      </c>
    </row>
    <row r="634" spans="1:20" ht="13.8">
      <c r="A634" s="118" t="str">
        <f ca="1">IFERROR(__xludf.DUMMYFUNCTION("""COMPUTED_VALUE"""),"FS")</f>
        <v>FS</v>
      </c>
      <c r="B634" s="119" t="str">
        <f ca="1">IFERROR(__xludf.DUMMYFUNCTION("""COMPUTED_VALUE"""),"Milo Feller")</f>
        <v>Milo Feller</v>
      </c>
      <c r="C634" s="118">
        <f ca="1">IFERROR(__xludf.DUMMYFUNCTION("""COMPUTED_VALUE"""),16)</f>
        <v>16</v>
      </c>
      <c r="D634" s="118" t="str">
        <f ca="1">IFERROR(__xludf.DUMMYFUNCTION("""COMPUTED_VALUE"""),"B")</f>
        <v>B</v>
      </c>
      <c r="E634" s="118" t="str">
        <f ca="1">IFERROR(__xludf.DUMMYFUNCTION("""COMPUTED_VALUE"""),"S")</f>
        <v>S</v>
      </c>
      <c r="F634" s="118" t="str">
        <f ca="1">IFERROR(__xludf.DUMMYFUNCTION("""COMPUTED_VALUE"""),"S")</f>
        <v>S</v>
      </c>
      <c r="G634" s="118">
        <f ca="1">IFERROR(__xludf.DUMMYFUNCTION("""COMPUTED_VALUE"""),3)</f>
        <v>3</v>
      </c>
      <c r="H634" s="118" t="str">
        <f ca="1">IFERROR(__xludf.DUMMYFUNCTION("""COMPUTED_VALUE"""),"FS")</f>
        <v>FS</v>
      </c>
      <c r="I634" s="118">
        <f ca="1">IFERROR(__xludf.DUMMYFUNCTION("""COMPUTED_VALUE"""),11)</f>
        <v>11</v>
      </c>
      <c r="J634" s="118">
        <f ca="1">IFERROR(__xludf.DUMMYFUNCTION("""COMPUTED_VALUE"""),4)</f>
        <v>4</v>
      </c>
      <c r="K634" s="120">
        <f ca="1">IFERROR(__xludf.DUMMYFUNCTION("""COMPUTED_VALUE"""),98.25)</f>
        <v>98.25</v>
      </c>
      <c r="L634" s="121"/>
      <c r="M634" s="120">
        <f ca="1">IFERROR(__xludf.DUMMYFUNCTION("""COMPUTED_VALUE"""),58.8)</f>
        <v>58.8</v>
      </c>
      <c r="N634" s="121"/>
      <c r="O634" s="120"/>
      <c r="P634" s="122"/>
      <c r="Q634" s="123" t="str">
        <f ca="1">IFERROR(__xludf.DUMMYFUNCTION("""COMPUTED_VALUE"""),"Lucy Wolverton")</f>
        <v>Lucy Wolverton</v>
      </c>
      <c r="R634" s="123" t="str">
        <f ca="1">IFERROR(__xludf.DUMMYFUNCTION("""COMPUTED_VALUE"""),"Vaibhav Boini")</f>
        <v>Vaibhav Boini</v>
      </c>
      <c r="S634" s="123" t="str">
        <f ca="1">IFERROR(__xludf.DUMMYFUNCTION("""COMPUTED_VALUE"""),"Jocelyn Brooks")</f>
        <v>Jocelyn Brooks</v>
      </c>
      <c r="T634" s="123" t="str">
        <f ca="1">IFERROR(__xludf.DUMMYFUNCTION("""COMPUTED_VALUE"""),"Michael Moss")</f>
        <v>Michael Moss</v>
      </c>
    </row>
    <row r="635" spans="1:20" ht="13.8">
      <c r="A635" s="118" t="str">
        <f ca="1">IFERROR(__xludf.DUMMYFUNCTION("""COMPUTED_VALUE"""),"FS")</f>
        <v>FS</v>
      </c>
      <c r="B635" s="119" t="str">
        <f ca="1">IFERROR(__xludf.DUMMYFUNCTION("""COMPUTED_VALUE"""),"Trey Telleen")</f>
        <v>Trey Telleen</v>
      </c>
      <c r="C635" s="118">
        <f ca="1">IFERROR(__xludf.DUMMYFUNCTION("""COMPUTED_VALUE"""),18)</f>
        <v>18</v>
      </c>
      <c r="D635" s="118" t="str">
        <f ca="1">IFERROR(__xludf.DUMMYFUNCTION("""COMPUTED_VALUE"""),"B")</f>
        <v>B</v>
      </c>
      <c r="E635" s="118" t="str">
        <f ca="1">IFERROR(__xludf.DUMMYFUNCTION("""COMPUTED_VALUE"""),"S")</f>
        <v>S</v>
      </c>
      <c r="F635" s="118" t="str">
        <f ca="1">IFERROR(__xludf.DUMMYFUNCTION("""COMPUTED_VALUE"""),"S")</f>
        <v>S</v>
      </c>
      <c r="G635" s="118">
        <f ca="1">IFERROR(__xludf.DUMMYFUNCTION("""COMPUTED_VALUE"""),3)</f>
        <v>3</v>
      </c>
      <c r="H635" s="118" t="str">
        <f ca="1">IFERROR(__xludf.DUMMYFUNCTION("""COMPUTED_VALUE"""),"FS")</f>
        <v>FS</v>
      </c>
      <c r="I635" s="118">
        <f ca="1">IFERROR(__xludf.DUMMYFUNCTION("""COMPUTED_VALUE"""),11)</f>
        <v>11</v>
      </c>
      <c r="J635" s="118">
        <f ca="1">IFERROR(__xludf.DUMMYFUNCTION("""COMPUTED_VALUE"""),4)</f>
        <v>4</v>
      </c>
      <c r="K635" s="120">
        <f ca="1">IFERROR(__xludf.DUMMYFUNCTION("""COMPUTED_VALUE"""),225.45)</f>
        <v>225.45</v>
      </c>
      <c r="L635" s="121"/>
      <c r="M635" s="120">
        <f ca="1">IFERROR(__xludf.DUMMYFUNCTION("""COMPUTED_VALUE"""),225.45)</f>
        <v>225.45</v>
      </c>
      <c r="N635" s="121"/>
      <c r="O635" s="120"/>
      <c r="P635" s="122"/>
      <c r="Q635" s="123" t="str">
        <f ca="1">IFERROR(__xludf.DUMMYFUNCTION("""COMPUTED_VALUE"""),"Lydia Andac-Jones")</f>
        <v>Lydia Andac-Jones</v>
      </c>
      <c r="R635" s="123" t="str">
        <f ca="1">IFERROR(__xludf.DUMMYFUNCTION("""COMPUTED_VALUE"""),"Victor Rodriguez")</f>
        <v>Victor Rodriguez</v>
      </c>
      <c r="S635" s="123" t="str">
        <f ca="1">IFERROR(__xludf.DUMMYFUNCTION("""COMPUTED_VALUE"""),"Joelle Saunders")</f>
        <v>Joelle Saunders</v>
      </c>
      <c r="T635" s="123" t="str">
        <f ca="1">IFERROR(__xludf.DUMMYFUNCTION("""COMPUTED_VALUE"""),"Michael Staren")</f>
        <v>Michael Staren</v>
      </c>
    </row>
    <row r="636" spans="1:20" ht="13.8">
      <c r="A636" s="118" t="str">
        <f ca="1">IFERROR(__xludf.DUMMYFUNCTION("""COMPUTED_VALUE"""),"G")</f>
        <v>G</v>
      </c>
      <c r="B636" s="119" t="str">
        <f ca="1">IFERROR(__xludf.DUMMYFUNCTION("""COMPUTED_VALUE"""),"Anika Chaturvedi")</f>
        <v>Anika Chaturvedi</v>
      </c>
      <c r="C636" s="118">
        <f ca="1">IFERROR(__xludf.DUMMYFUNCTION("""COMPUTED_VALUE"""),6)</f>
        <v>6</v>
      </c>
      <c r="D636" s="118" t="str">
        <f ca="1">IFERROR(__xludf.DUMMYFUNCTION("""COMPUTED_VALUE"""),"G")</f>
        <v>G</v>
      </c>
      <c r="E636" s="118" t="str">
        <f ca="1">IFERROR(__xludf.DUMMYFUNCTION("""COMPUTED_VALUE"""),"F")</f>
        <v>F</v>
      </c>
      <c r="F636" s="118" t="str">
        <f ca="1">IFERROR(__xludf.DUMMYFUNCTION("""COMPUTED_VALUE"""),"J")</f>
        <v>J</v>
      </c>
      <c r="G636" s="118">
        <f ca="1">IFERROR(__xludf.DUMMYFUNCTION("""COMPUTED_VALUE"""),3)</f>
        <v>3</v>
      </c>
      <c r="H636" s="118" t="str">
        <f ca="1">IFERROR(__xludf.DUMMYFUNCTION("""COMPUTED_VALUE"""),"G")</f>
        <v>G</v>
      </c>
      <c r="I636" s="118">
        <f ca="1">IFERROR(__xludf.DUMMYFUNCTION("""COMPUTED_VALUE"""),4)</f>
        <v>4</v>
      </c>
      <c r="J636" s="118">
        <f ca="1">IFERROR(__xludf.DUMMYFUNCTION("""COMPUTED_VALUE"""),0)</f>
        <v>0</v>
      </c>
      <c r="K636" s="120"/>
      <c r="L636" s="121"/>
      <c r="M636" s="120"/>
      <c r="N636" s="121"/>
      <c r="O636" s="120"/>
      <c r="P636" s="122"/>
      <c r="Q636" s="123" t="str">
        <f ca="1">IFERROR(__xludf.DUMMYFUNCTION("""COMPUTED_VALUE"""),"Lydia Fernandez")</f>
        <v>Lydia Fernandez</v>
      </c>
      <c r="R636" s="123" t="str">
        <f ca="1">IFERROR(__xludf.DUMMYFUNCTION("""COMPUTED_VALUE"""),"Vince Kidder")</f>
        <v>Vince Kidder</v>
      </c>
      <c r="S636" s="123" t="str">
        <f ca="1">IFERROR(__xludf.DUMMYFUNCTION("""COMPUTED_VALUE"""),"Johanna Thoms")</f>
        <v>Johanna Thoms</v>
      </c>
      <c r="T636" s="123" t="str">
        <f ca="1">IFERROR(__xludf.DUMMYFUNCTION("""COMPUTED_VALUE"""),"Michael Sweeney")</f>
        <v>Michael Sweeney</v>
      </c>
    </row>
    <row r="637" spans="1:20" ht="13.8">
      <c r="A637" s="118" t="str">
        <f ca="1">IFERROR(__xludf.DUMMYFUNCTION("""COMPUTED_VALUE"""),"G")</f>
        <v>G</v>
      </c>
      <c r="B637" s="119" t="str">
        <f ca="1">IFERROR(__xludf.DUMMYFUNCTION("""COMPUTED_VALUE"""),"Ingrid Lander")</f>
        <v>Ingrid Lander</v>
      </c>
      <c r="C637" s="118">
        <f ca="1">IFERROR(__xludf.DUMMYFUNCTION("""COMPUTED_VALUE"""),8)</f>
        <v>8</v>
      </c>
      <c r="D637" s="118" t="str">
        <f ca="1">IFERROR(__xludf.DUMMYFUNCTION("""COMPUTED_VALUE"""),"G")</f>
        <v>G</v>
      </c>
      <c r="E637" s="118" t="str">
        <f ca="1">IFERROR(__xludf.DUMMYFUNCTION("""COMPUTED_VALUE"""),"F")</f>
        <v>F</v>
      </c>
      <c r="F637" s="118" t="str">
        <f ca="1">IFERROR(__xludf.DUMMYFUNCTION("""COMPUTED_VALUE"""),"J")</f>
        <v>J</v>
      </c>
      <c r="G637" s="118">
        <f ca="1">IFERROR(__xludf.DUMMYFUNCTION("""COMPUTED_VALUE"""),3)</f>
        <v>3</v>
      </c>
      <c r="H637" s="118" t="str">
        <f ca="1">IFERROR(__xludf.DUMMYFUNCTION("""COMPUTED_VALUE"""),"G")</f>
        <v>G</v>
      </c>
      <c r="I637" s="118">
        <f ca="1">IFERROR(__xludf.DUMMYFUNCTION("""COMPUTED_VALUE"""),4)</f>
        <v>4</v>
      </c>
      <c r="J637" s="118">
        <f ca="1">IFERROR(__xludf.DUMMYFUNCTION("""COMPUTED_VALUE"""),5)</f>
        <v>5</v>
      </c>
      <c r="K637" s="120">
        <f ca="1">IFERROR(__xludf.DUMMYFUNCTION("""COMPUTED_VALUE"""),64.95)</f>
        <v>64.95</v>
      </c>
      <c r="L637" s="121"/>
      <c r="M637" s="120">
        <f ca="1">IFERROR(__xludf.DUMMYFUNCTION("""COMPUTED_VALUE"""),60.7)</f>
        <v>60.7</v>
      </c>
      <c r="N637" s="121"/>
      <c r="O637" s="120">
        <f ca="1">IFERROR(__xludf.DUMMYFUNCTION("""COMPUTED_VALUE"""),42)</f>
        <v>42</v>
      </c>
      <c r="P637" s="122"/>
      <c r="Q637" s="123" t="str">
        <f ca="1">IFERROR(__xludf.DUMMYFUNCTION("""COMPUTED_VALUE"""),"Lydia Johnson")</f>
        <v>Lydia Johnson</v>
      </c>
      <c r="R637" s="123" t="str">
        <f ca="1">IFERROR(__xludf.DUMMYFUNCTION("""COMPUTED_VALUE"""),"Wade Squire")</f>
        <v>Wade Squire</v>
      </c>
      <c r="S637" s="123" t="str">
        <f ca="1">IFERROR(__xludf.DUMMYFUNCTION("""COMPUTED_VALUE"""),"Jolene Fernandes")</f>
        <v>Jolene Fernandes</v>
      </c>
      <c r="T637" s="123" t="str">
        <f ca="1">IFERROR(__xludf.DUMMYFUNCTION("""COMPUTED_VALUE"""),"Michael Tabrizi")</f>
        <v>Michael Tabrizi</v>
      </c>
    </row>
    <row r="638" spans="1:20" ht="13.8">
      <c r="A638" s="118" t="str">
        <f ca="1">IFERROR(__xludf.DUMMYFUNCTION("""COMPUTED_VALUE"""),"G")</f>
        <v>G</v>
      </c>
      <c r="B638" s="119" t="str">
        <f ca="1">IFERROR(__xludf.DUMMYFUNCTION("""COMPUTED_VALUE"""),"Jenny Pietras")</f>
        <v>Jenny Pietras</v>
      </c>
      <c r="C638" s="118">
        <f ca="1">IFERROR(__xludf.DUMMYFUNCTION("""COMPUTED_VALUE"""),8)</f>
        <v>8</v>
      </c>
      <c r="D638" s="118" t="str">
        <f ca="1">IFERROR(__xludf.DUMMYFUNCTION("""COMPUTED_VALUE"""),"G")</f>
        <v>G</v>
      </c>
      <c r="E638" s="118" t="str">
        <f ca="1">IFERROR(__xludf.DUMMYFUNCTION("""COMPUTED_VALUE"""),"F")</f>
        <v>F</v>
      </c>
      <c r="F638" s="118" t="str">
        <f ca="1">IFERROR(__xludf.DUMMYFUNCTION("""COMPUTED_VALUE"""),"J")</f>
        <v>J</v>
      </c>
      <c r="G638" s="118">
        <f ca="1">IFERROR(__xludf.DUMMYFUNCTION("""COMPUTED_VALUE"""),3)</f>
        <v>3</v>
      </c>
      <c r="H638" s="118" t="str">
        <f ca="1">IFERROR(__xludf.DUMMYFUNCTION("""COMPUTED_VALUE"""),"G")</f>
        <v>G</v>
      </c>
      <c r="I638" s="118">
        <f ca="1">IFERROR(__xludf.DUMMYFUNCTION("""COMPUTED_VALUE"""),4)</f>
        <v>4</v>
      </c>
      <c r="J638" s="118">
        <f ca="1">IFERROR(__xludf.DUMMYFUNCTION("""COMPUTED_VALUE"""),4)</f>
        <v>4</v>
      </c>
      <c r="K638" s="120">
        <f ca="1">IFERROR(__xludf.DUMMYFUNCTION("""COMPUTED_VALUE"""),29.5)</f>
        <v>29.5</v>
      </c>
      <c r="L638" s="121"/>
      <c r="M638" s="120"/>
      <c r="N638" s="121"/>
      <c r="O638" s="120">
        <f ca="1">IFERROR(__xludf.DUMMYFUNCTION("""COMPUTED_VALUE"""),29.5)</f>
        <v>29.5</v>
      </c>
      <c r="P638" s="122"/>
      <c r="Q638" s="123" t="str">
        <f ca="1">IFERROR(__xludf.DUMMYFUNCTION("""COMPUTED_VALUE"""),"Lydia Kieffer")</f>
        <v>Lydia Kieffer</v>
      </c>
      <c r="R638" s="123" t="str">
        <f ca="1">IFERROR(__xludf.DUMMYFUNCTION("""COMPUTED_VALUE"""),"Walter Hopwood")</f>
        <v>Walter Hopwood</v>
      </c>
      <c r="S638" s="123" t="str">
        <f ca="1">IFERROR(__xludf.DUMMYFUNCTION("""COMPUTED_VALUE"""),"Jordan Sussman")</f>
        <v>Jordan Sussman</v>
      </c>
      <c r="T638" s="123" t="str">
        <f ca="1">IFERROR(__xludf.DUMMYFUNCTION("""COMPUTED_VALUE"""),"Michael Walsh")</f>
        <v>Michael Walsh</v>
      </c>
    </row>
    <row r="639" spans="1:20" ht="13.8">
      <c r="A639" s="118" t="str">
        <f ca="1">IFERROR(__xludf.DUMMYFUNCTION("""COMPUTED_VALUE"""),"G")</f>
        <v>G</v>
      </c>
      <c r="B639" s="119" t="str">
        <f ca="1">IFERROR(__xludf.DUMMYFUNCTION("""COMPUTED_VALUE"""),"Lacey Niedzialek")</f>
        <v>Lacey Niedzialek</v>
      </c>
      <c r="C639" s="118">
        <f ca="1">IFERROR(__xludf.DUMMYFUNCTION("""COMPUTED_VALUE"""),8)</f>
        <v>8</v>
      </c>
      <c r="D639" s="118" t="str">
        <f ca="1">IFERROR(__xludf.DUMMYFUNCTION("""COMPUTED_VALUE"""),"G")</f>
        <v>G</v>
      </c>
      <c r="E639" s="118" t="str">
        <f ca="1">IFERROR(__xludf.DUMMYFUNCTION("""COMPUTED_VALUE"""),"F")</f>
        <v>F</v>
      </c>
      <c r="F639" s="118" t="str">
        <f ca="1">IFERROR(__xludf.DUMMYFUNCTION("""COMPUTED_VALUE"""),"J")</f>
        <v>J</v>
      </c>
      <c r="G639" s="118">
        <f ca="1">IFERROR(__xludf.DUMMYFUNCTION("""COMPUTED_VALUE"""),3)</f>
        <v>3</v>
      </c>
      <c r="H639" s="118" t="str">
        <f ca="1">IFERROR(__xludf.DUMMYFUNCTION("""COMPUTED_VALUE"""),"G")</f>
        <v>G</v>
      </c>
      <c r="I639" s="118">
        <f ca="1">IFERROR(__xludf.DUMMYFUNCTION("""COMPUTED_VALUE"""),4)</f>
        <v>4</v>
      </c>
      <c r="J639" s="118">
        <f ca="1">IFERROR(__xludf.DUMMYFUNCTION("""COMPUTED_VALUE"""),1)</f>
        <v>1</v>
      </c>
      <c r="K639" s="120">
        <f ca="1">IFERROR(__xludf.DUMMYFUNCTION("""COMPUTED_VALUE"""),46.1)</f>
        <v>46.1</v>
      </c>
      <c r="L639" s="121"/>
      <c r="M639" s="120"/>
      <c r="N639" s="121"/>
      <c r="O639" s="120"/>
      <c r="P639" s="122"/>
      <c r="Q639" s="123" t="str">
        <f ca="1">IFERROR(__xludf.DUMMYFUNCTION("""COMPUTED_VALUE"""),"Lydia Ko")</f>
        <v>Lydia Ko</v>
      </c>
      <c r="R639" s="123" t="str">
        <f ca="1">IFERROR(__xludf.DUMMYFUNCTION("""COMPUTED_VALUE"""),"Wesley Grogan")</f>
        <v>Wesley Grogan</v>
      </c>
      <c r="S639" s="123" t="str">
        <f ca="1">IFERROR(__xludf.DUMMYFUNCTION("""COMPUTED_VALUE"""),"Jordana Ghazal")</f>
        <v>Jordana Ghazal</v>
      </c>
      <c r="T639" s="123" t="str">
        <f ca="1">IFERROR(__xludf.DUMMYFUNCTION("""COMPUTED_VALUE"""),"Michael Warner")</f>
        <v>Michael Warner</v>
      </c>
    </row>
    <row r="640" spans="1:20" ht="13.8">
      <c r="A640" s="118" t="str">
        <f ca="1">IFERROR(__xludf.DUMMYFUNCTION("""COMPUTED_VALUE"""),"G")</f>
        <v>G</v>
      </c>
      <c r="B640" s="119" t="str">
        <f ca="1">IFERROR(__xludf.DUMMYFUNCTION("""COMPUTED_VALUE"""),"Margaret Grogan")</f>
        <v>Margaret Grogan</v>
      </c>
      <c r="C640" s="118">
        <f ca="1">IFERROR(__xludf.DUMMYFUNCTION("""COMPUTED_VALUE"""),10)</f>
        <v>10</v>
      </c>
      <c r="D640" s="118" t="str">
        <f ca="1">IFERROR(__xludf.DUMMYFUNCTION("""COMPUTED_VALUE"""),"G")</f>
        <v>G</v>
      </c>
      <c r="E640" s="118" t="str">
        <f ca="1">IFERROR(__xludf.DUMMYFUNCTION("""COMPUTED_VALUE"""),"F")</f>
        <v>F</v>
      </c>
      <c r="F640" s="118" t="str">
        <f ca="1">IFERROR(__xludf.DUMMYFUNCTION("""COMPUTED_VALUE"""),"J")</f>
        <v>J</v>
      </c>
      <c r="G640" s="118">
        <f ca="1">IFERROR(__xludf.DUMMYFUNCTION("""COMPUTED_VALUE"""),3)</f>
        <v>3</v>
      </c>
      <c r="H640" s="118" t="str">
        <f ca="1">IFERROR(__xludf.DUMMYFUNCTION("""COMPUTED_VALUE"""),"G")</f>
        <v>G</v>
      </c>
      <c r="I640" s="118">
        <f ca="1">IFERROR(__xludf.DUMMYFUNCTION("""COMPUTED_VALUE"""),4)</f>
        <v>4</v>
      </c>
      <c r="J640" s="118">
        <f ca="1">IFERROR(__xludf.DUMMYFUNCTION("""COMPUTED_VALUE"""),4)</f>
        <v>4</v>
      </c>
      <c r="K640" s="120">
        <f ca="1">IFERROR(__xludf.DUMMYFUNCTION("""COMPUTED_VALUE"""),48.35)</f>
        <v>48.35</v>
      </c>
      <c r="L640" s="121"/>
      <c r="M640" s="120">
        <f ca="1">IFERROR(__xludf.DUMMYFUNCTION("""COMPUTED_VALUE"""),33.6)</f>
        <v>33.6</v>
      </c>
      <c r="N640" s="121"/>
      <c r="O640" s="120">
        <f ca="1">IFERROR(__xludf.DUMMYFUNCTION("""COMPUTED_VALUE"""),42.9)</f>
        <v>42.9</v>
      </c>
      <c r="P640" s="122"/>
      <c r="Q640" s="123" t="str">
        <f ca="1">IFERROR(__xludf.DUMMYFUNCTION("""COMPUTED_VALUE"""),"Lydia Miller")</f>
        <v>Lydia Miller</v>
      </c>
      <c r="R640" s="123" t="str">
        <f ca="1">IFERROR(__xludf.DUMMYFUNCTION("""COMPUTED_VALUE"""),"Wesley Johnson")</f>
        <v>Wesley Johnson</v>
      </c>
      <c r="S640" s="123" t="str">
        <f ca="1">IFERROR(__xludf.DUMMYFUNCTION("""COMPUTED_VALUE"""),"Joseph Deaton")</f>
        <v>Joseph Deaton</v>
      </c>
      <c r="T640" s="123" t="str">
        <f ca="1">IFERROR(__xludf.DUMMYFUNCTION("""COMPUTED_VALUE"""),"Mike DeSando")</f>
        <v>Mike DeSando</v>
      </c>
    </row>
    <row r="641" spans="1:20" ht="13.8">
      <c r="A641" s="118" t="str">
        <f ca="1">IFERROR(__xludf.DUMMYFUNCTION("""COMPUTED_VALUE"""),"G")</f>
        <v>G</v>
      </c>
      <c r="B641" s="119" t="str">
        <f ca="1">IFERROR(__xludf.DUMMYFUNCTION("""COMPUTED_VALUE"""),"Nora Ismailova")</f>
        <v>Nora Ismailova</v>
      </c>
      <c r="C641" s="118">
        <f ca="1">IFERROR(__xludf.DUMMYFUNCTION("""COMPUTED_VALUE"""),7)</f>
        <v>7</v>
      </c>
      <c r="D641" s="118" t="str">
        <f ca="1">IFERROR(__xludf.DUMMYFUNCTION("""COMPUTED_VALUE"""),"G")</f>
        <v>G</v>
      </c>
      <c r="E641" s="118" t="str">
        <f ca="1">IFERROR(__xludf.DUMMYFUNCTION("""COMPUTED_VALUE"""),"F")</f>
        <v>F</v>
      </c>
      <c r="F641" s="118" t="str">
        <f ca="1">IFERROR(__xludf.DUMMYFUNCTION("""COMPUTED_VALUE"""),"J")</f>
        <v>J</v>
      </c>
      <c r="G641" s="118">
        <f ca="1">IFERROR(__xludf.DUMMYFUNCTION("""COMPUTED_VALUE"""),3)</f>
        <v>3</v>
      </c>
      <c r="H641" s="118" t="str">
        <f ca="1">IFERROR(__xludf.DUMMYFUNCTION("""COMPUTED_VALUE"""),"G")</f>
        <v>G</v>
      </c>
      <c r="I641" s="118">
        <f ca="1">IFERROR(__xludf.DUMMYFUNCTION("""COMPUTED_VALUE"""),4)</f>
        <v>4</v>
      </c>
      <c r="J641" s="118">
        <f ca="1">IFERROR(__xludf.DUMMYFUNCTION("""COMPUTED_VALUE"""),4)</f>
        <v>4</v>
      </c>
      <c r="K641" s="120">
        <f ca="1">IFERROR(__xludf.DUMMYFUNCTION("""COMPUTED_VALUE"""),38.45)</f>
        <v>38.450000000000003</v>
      </c>
      <c r="L641" s="121"/>
      <c r="M641" s="120"/>
      <c r="N641" s="121"/>
      <c r="O641" s="120">
        <f ca="1">IFERROR(__xludf.DUMMYFUNCTION("""COMPUTED_VALUE"""),38.45)</f>
        <v>38.450000000000003</v>
      </c>
      <c r="P641" s="122"/>
      <c r="Q641" s="123" t="str">
        <f ca="1">IFERROR(__xludf.DUMMYFUNCTION("""COMPUTED_VALUE"""),"Lydia Scruby")</f>
        <v>Lydia Scruby</v>
      </c>
      <c r="R641" s="123" t="str">
        <f ca="1">IFERROR(__xludf.DUMMYFUNCTION("""COMPUTED_VALUE"""),"Wesley Klousia")</f>
        <v>Wesley Klousia</v>
      </c>
      <c r="S641" s="123" t="str">
        <f ca="1">IFERROR(__xludf.DUMMYFUNCTION("""COMPUTED_VALUE"""),"Josephine Daher")</f>
        <v>Josephine Daher</v>
      </c>
      <c r="T641" s="123" t="str">
        <f ca="1">IFERROR(__xludf.DUMMYFUNCTION("""COMPUTED_VALUE"""),"Miles Hacker")</f>
        <v>Miles Hacker</v>
      </c>
    </row>
    <row r="642" spans="1:20" ht="13.8">
      <c r="A642" s="118" t="str">
        <f ca="1">IFERROR(__xludf.DUMMYFUNCTION("""COMPUTED_VALUE"""),"G")</f>
        <v>G</v>
      </c>
      <c r="B642" s="119" t="str">
        <f ca="1">IFERROR(__xludf.DUMMYFUNCTION("""COMPUTED_VALUE"""),"Penny Fairchild")</f>
        <v>Penny Fairchild</v>
      </c>
      <c r="C642" s="118">
        <f ca="1">IFERROR(__xludf.DUMMYFUNCTION("""COMPUTED_VALUE"""),9)</f>
        <v>9</v>
      </c>
      <c r="D642" s="118" t="str">
        <f ca="1">IFERROR(__xludf.DUMMYFUNCTION("""COMPUTED_VALUE"""),"G")</f>
        <v>G</v>
      </c>
      <c r="E642" s="118" t="str">
        <f ca="1">IFERROR(__xludf.DUMMYFUNCTION("""COMPUTED_VALUE"""),"F")</f>
        <v>F</v>
      </c>
      <c r="F642" s="118" t="str">
        <f ca="1">IFERROR(__xludf.DUMMYFUNCTION("""COMPUTED_VALUE"""),"J")</f>
        <v>J</v>
      </c>
      <c r="G642" s="118">
        <f ca="1">IFERROR(__xludf.DUMMYFUNCTION("""COMPUTED_VALUE"""),3)</f>
        <v>3</v>
      </c>
      <c r="H642" s="118" t="str">
        <f ca="1">IFERROR(__xludf.DUMMYFUNCTION("""COMPUTED_VALUE"""),"G")</f>
        <v>G</v>
      </c>
      <c r="I642" s="118">
        <f ca="1">IFERROR(__xludf.DUMMYFUNCTION("""COMPUTED_VALUE"""),4)</f>
        <v>4</v>
      </c>
      <c r="J642" s="118">
        <f ca="1">IFERROR(__xludf.DUMMYFUNCTION("""COMPUTED_VALUE"""),1)</f>
        <v>1</v>
      </c>
      <c r="K642" s="120"/>
      <c r="L642" s="121"/>
      <c r="M642" s="120"/>
      <c r="N642" s="121"/>
      <c r="O642" s="120"/>
      <c r="P642" s="122"/>
      <c r="Q642" s="123" t="str">
        <f ca="1">IFERROR(__xludf.DUMMYFUNCTION("""COMPUTED_VALUE"""),"Lydia Weide")</f>
        <v>Lydia Weide</v>
      </c>
      <c r="R642" s="123" t="str">
        <f ca="1">IFERROR(__xludf.DUMMYFUNCTION("""COMPUTED_VALUE"""),"Wesley Nayer")</f>
        <v>Wesley Nayer</v>
      </c>
      <c r="S642" s="123" t="str">
        <f ca="1">IFERROR(__xludf.DUMMYFUNCTION("""COMPUTED_VALUE"""),"Josephine Wills")</f>
        <v>Josephine Wills</v>
      </c>
      <c r="T642" s="123" t="str">
        <f ca="1">IFERROR(__xludf.DUMMYFUNCTION("""COMPUTED_VALUE"""),"Miles McWilliams")</f>
        <v>Miles McWilliams</v>
      </c>
    </row>
    <row r="643" spans="1:20" ht="13.8">
      <c r="A643" s="118" t="str">
        <f ca="1">IFERROR(__xludf.DUMMYFUNCTION("""COMPUTED_VALUE"""),"G")</f>
        <v>G</v>
      </c>
      <c r="B643" s="119" t="str">
        <f ca="1">IFERROR(__xludf.DUMMYFUNCTION("""COMPUTED_VALUE"""),"Sloane Dosch")</f>
        <v>Sloane Dosch</v>
      </c>
      <c r="C643" s="118">
        <f ca="1">IFERROR(__xludf.DUMMYFUNCTION("""COMPUTED_VALUE"""),10)</f>
        <v>10</v>
      </c>
      <c r="D643" s="118" t="str">
        <f ca="1">IFERROR(__xludf.DUMMYFUNCTION("""COMPUTED_VALUE"""),"G")</f>
        <v>G</v>
      </c>
      <c r="E643" s="118" t="str">
        <f ca="1">IFERROR(__xludf.DUMMYFUNCTION("""COMPUTED_VALUE"""),"F")</f>
        <v>F</v>
      </c>
      <c r="F643" s="118" t="str">
        <f ca="1">IFERROR(__xludf.DUMMYFUNCTION("""COMPUTED_VALUE"""),"J")</f>
        <v>J</v>
      </c>
      <c r="G643" s="118">
        <f ca="1">IFERROR(__xludf.DUMMYFUNCTION("""COMPUTED_VALUE"""),3)</f>
        <v>3</v>
      </c>
      <c r="H643" s="118" t="str">
        <f ca="1">IFERROR(__xludf.DUMMYFUNCTION("""COMPUTED_VALUE"""),"G")</f>
        <v>G</v>
      </c>
      <c r="I643" s="118">
        <f ca="1">IFERROR(__xludf.DUMMYFUNCTION("""COMPUTED_VALUE"""),4)</f>
        <v>4</v>
      </c>
      <c r="J643" s="118">
        <f ca="1">IFERROR(__xludf.DUMMYFUNCTION("""COMPUTED_VALUE"""),1)</f>
        <v>1</v>
      </c>
      <c r="K643" s="120"/>
      <c r="L643" s="121"/>
      <c r="M643" s="120"/>
      <c r="N643" s="121"/>
      <c r="O643" s="120"/>
      <c r="P643" s="122"/>
      <c r="Q643" s="123" t="str">
        <f ca="1">IFERROR(__xludf.DUMMYFUNCTION("""COMPUTED_VALUE"""),"Mabel Mullinix")</f>
        <v>Mabel Mullinix</v>
      </c>
      <c r="R643" s="123" t="str">
        <f ca="1">IFERROR(__xludf.DUMMYFUNCTION("""COMPUTED_VALUE"""),"West Carter")</f>
        <v>West Carter</v>
      </c>
      <c r="S643" s="123" t="str">
        <f ca="1">IFERROR(__xludf.DUMMYFUNCTION("""COMPUTED_VALUE"""),"Josie Griffith")</f>
        <v>Josie Griffith</v>
      </c>
      <c r="T643" s="123" t="str">
        <f ca="1">IFERROR(__xludf.DUMMYFUNCTION("""COMPUTED_VALUE"""),"Miller Supple")</f>
        <v>Miller Supple</v>
      </c>
    </row>
    <row r="644" spans="1:20" ht="13.8">
      <c r="A644" s="118" t="str">
        <f ca="1">IFERROR(__xludf.DUMMYFUNCTION("""COMPUTED_VALUE"""),"G")</f>
        <v>G</v>
      </c>
      <c r="B644" s="119" t="str">
        <f ca="1">IFERROR(__xludf.DUMMYFUNCTION("""COMPUTED_VALUE"""),"Aayush Chaturvedi")</f>
        <v>Aayush Chaturvedi</v>
      </c>
      <c r="C644" s="118">
        <f ca="1">IFERROR(__xludf.DUMMYFUNCTION("""COMPUTED_VALUE"""),9)</f>
        <v>9</v>
      </c>
      <c r="D644" s="118" t="str">
        <f ca="1">IFERROR(__xludf.DUMMYFUNCTION("""COMPUTED_VALUE"""),"B")</f>
        <v>B</v>
      </c>
      <c r="E644" s="118" t="str">
        <f ca="1">IFERROR(__xludf.DUMMYFUNCTION("""COMPUTED_VALUE"""),"F")</f>
        <v>F</v>
      </c>
      <c r="F644" s="118" t="str">
        <f ca="1">IFERROR(__xludf.DUMMYFUNCTION("""COMPUTED_VALUE"""),"J")</f>
        <v>J</v>
      </c>
      <c r="G644" s="118">
        <f ca="1">IFERROR(__xludf.DUMMYFUNCTION("""COMPUTED_VALUE"""),3)</f>
        <v>3</v>
      </c>
      <c r="H644" s="118" t="str">
        <f ca="1">IFERROR(__xludf.DUMMYFUNCTION("""COMPUTED_VALUE"""),"G")</f>
        <v>G</v>
      </c>
      <c r="I644" s="118">
        <f ca="1">IFERROR(__xludf.DUMMYFUNCTION("""COMPUTED_VALUE"""),5)</f>
        <v>5</v>
      </c>
      <c r="J644" s="118">
        <f ca="1">IFERROR(__xludf.DUMMYFUNCTION("""COMPUTED_VALUE"""),0)</f>
        <v>0</v>
      </c>
      <c r="K644" s="120"/>
      <c r="L644" s="121"/>
      <c r="M644" s="120"/>
      <c r="N644" s="121"/>
      <c r="O644" s="120"/>
      <c r="P644" s="122"/>
      <c r="Q644" s="123" t="str">
        <f ca="1">IFERROR(__xludf.DUMMYFUNCTION("""COMPUTED_VALUE"""),"Mackenzie Karrels")</f>
        <v>Mackenzie Karrels</v>
      </c>
      <c r="R644" s="123" t="str">
        <f ca="1">IFERROR(__xludf.DUMMYFUNCTION("""COMPUTED_VALUE"""),"Wheeler Simoneaux")</f>
        <v>Wheeler Simoneaux</v>
      </c>
      <c r="S644" s="123" t="str">
        <f ca="1">IFERROR(__xludf.DUMMYFUNCTION("""COMPUTED_VALUE"""),"Josie Malko")</f>
        <v>Josie Malko</v>
      </c>
      <c r="T644" s="123" t="str">
        <f ca="1">IFERROR(__xludf.DUMMYFUNCTION("""COMPUTED_VALUE"""),"Milo Feller")</f>
        <v>Milo Feller</v>
      </c>
    </row>
    <row r="645" spans="1:20" ht="13.8">
      <c r="A645" s="118" t="str">
        <f ca="1">IFERROR(__xludf.DUMMYFUNCTION("""COMPUTED_VALUE"""),"G")</f>
        <v>G</v>
      </c>
      <c r="B645" s="119" t="str">
        <f ca="1">IFERROR(__xludf.DUMMYFUNCTION("""COMPUTED_VALUE"""),"Jack Casterline")</f>
        <v>Jack Casterline</v>
      </c>
      <c r="C645" s="118">
        <f ca="1">IFERROR(__xludf.DUMMYFUNCTION("""COMPUTED_VALUE"""),10)</f>
        <v>10</v>
      </c>
      <c r="D645" s="118" t="str">
        <f ca="1">IFERROR(__xludf.DUMMYFUNCTION("""COMPUTED_VALUE"""),"B")</f>
        <v>B</v>
      </c>
      <c r="E645" s="118" t="str">
        <f ca="1">IFERROR(__xludf.DUMMYFUNCTION("""COMPUTED_VALUE"""),"F")</f>
        <v>F</v>
      </c>
      <c r="F645" s="118" t="str">
        <f ca="1">IFERROR(__xludf.DUMMYFUNCTION("""COMPUTED_VALUE"""),"J")</f>
        <v>J</v>
      </c>
      <c r="G645" s="118">
        <f ca="1">IFERROR(__xludf.DUMMYFUNCTION("""COMPUTED_VALUE"""),3)</f>
        <v>3</v>
      </c>
      <c r="H645" s="118" t="str">
        <f ca="1">IFERROR(__xludf.DUMMYFUNCTION("""COMPUTED_VALUE"""),"G")</f>
        <v>G</v>
      </c>
      <c r="I645" s="118">
        <f ca="1">IFERROR(__xludf.DUMMYFUNCTION("""COMPUTED_VALUE"""),5)</f>
        <v>5</v>
      </c>
      <c r="J645" s="118">
        <f ca="1">IFERROR(__xludf.DUMMYFUNCTION("""COMPUTED_VALUE"""),4)</f>
        <v>4</v>
      </c>
      <c r="K645" s="120">
        <f ca="1">IFERROR(__xludf.DUMMYFUNCTION("""COMPUTED_VALUE"""),46.45)</f>
        <v>46.45</v>
      </c>
      <c r="L645" s="121"/>
      <c r="M645" s="120">
        <f ca="1">IFERROR(__xludf.DUMMYFUNCTION("""COMPUTED_VALUE"""),29.55)</f>
        <v>29.55</v>
      </c>
      <c r="N645" s="121"/>
      <c r="O645" s="120">
        <f ca="1">IFERROR(__xludf.DUMMYFUNCTION("""COMPUTED_VALUE"""),46.45)</f>
        <v>46.45</v>
      </c>
      <c r="P645" s="122"/>
      <c r="Q645" s="123" t="str">
        <f ca="1">IFERROR(__xludf.DUMMYFUNCTION("""COMPUTED_VALUE"""),"Mackie Cotter")</f>
        <v>Mackie Cotter</v>
      </c>
      <c r="R645" s="123" t="str">
        <f ca="1">IFERROR(__xludf.DUMMYFUNCTION("""COMPUTED_VALUE"""),"Wilkins Harvin")</f>
        <v>Wilkins Harvin</v>
      </c>
      <c r="S645" s="123" t="str">
        <f ca="1">IFERROR(__xludf.DUMMYFUNCTION("""COMPUTED_VALUE"""),"Josie Miller")</f>
        <v>Josie Miller</v>
      </c>
      <c r="T645" s="123" t="str">
        <f ca="1">IFERROR(__xludf.DUMMYFUNCTION("""COMPUTED_VALUE"""),"MJ Whitecar")</f>
        <v>MJ Whitecar</v>
      </c>
    </row>
    <row r="646" spans="1:20" ht="13.8">
      <c r="A646" s="118" t="str">
        <f ca="1">IFERROR(__xludf.DUMMYFUNCTION("""COMPUTED_VALUE"""),"G")</f>
        <v>G</v>
      </c>
      <c r="B646" s="119" t="str">
        <f ca="1">IFERROR(__xludf.DUMMYFUNCTION("""COMPUTED_VALUE"""),"Anna Goodell")</f>
        <v>Anna Goodell</v>
      </c>
      <c r="C646" s="118">
        <f ca="1">IFERROR(__xludf.DUMMYFUNCTION("""COMPUTED_VALUE"""),11)</f>
        <v>11</v>
      </c>
      <c r="D646" s="118" t="str">
        <f ca="1">IFERROR(__xludf.DUMMYFUNCTION("""COMPUTED_VALUE"""),"G")</f>
        <v>G</v>
      </c>
      <c r="E646" s="118" t="str">
        <f ca="1">IFERROR(__xludf.DUMMYFUNCTION("""COMPUTED_VALUE"""),"J")</f>
        <v>J</v>
      </c>
      <c r="F646" s="118" t="str">
        <f ca="1">IFERROR(__xludf.DUMMYFUNCTION("""COMPUTED_VALUE"""),"I")</f>
        <v>I</v>
      </c>
      <c r="G646" s="118">
        <f ca="1">IFERROR(__xludf.DUMMYFUNCTION("""COMPUTED_VALUE"""),3)</f>
        <v>3</v>
      </c>
      <c r="H646" s="118" t="str">
        <f ca="1">IFERROR(__xludf.DUMMYFUNCTION("""COMPUTED_VALUE"""),"G")</f>
        <v>G</v>
      </c>
      <c r="I646" s="118">
        <f ca="1">IFERROR(__xludf.DUMMYFUNCTION("""COMPUTED_VALUE"""),6)</f>
        <v>6</v>
      </c>
      <c r="J646" s="118">
        <f ca="1">IFERROR(__xludf.DUMMYFUNCTION("""COMPUTED_VALUE"""),3)</f>
        <v>3</v>
      </c>
      <c r="K646" s="120">
        <f ca="1">IFERROR(__xludf.DUMMYFUNCTION("""COMPUTED_VALUE"""),58.75)</f>
        <v>58.75</v>
      </c>
      <c r="L646" s="121"/>
      <c r="M646" s="120">
        <f ca="1">IFERROR(__xludf.DUMMYFUNCTION("""COMPUTED_VALUE"""),58.75)</f>
        <v>58.75</v>
      </c>
      <c r="N646" s="121"/>
      <c r="O646" s="120"/>
      <c r="P646" s="122"/>
      <c r="Q646" s="123" t="str">
        <f ca="1">IFERROR(__xludf.DUMMYFUNCTION("""COMPUTED_VALUE"""),"Maddi Nassar")</f>
        <v>Maddi Nassar</v>
      </c>
      <c r="R646" s="123" t="str">
        <f ca="1">IFERROR(__xludf.DUMMYFUNCTION("""COMPUTED_VALUE"""),"Will Copes")</f>
        <v>Will Copes</v>
      </c>
      <c r="S646" s="123" t="str">
        <f ca="1">IFERROR(__xludf.DUMMYFUNCTION("""COMPUTED_VALUE"""),"Josie Newsad")</f>
        <v>Josie Newsad</v>
      </c>
      <c r="T646" s="123" t="str">
        <f ca="1">IFERROR(__xludf.DUMMYFUNCTION("""COMPUTED_VALUE"""),"Mount Richmond")</f>
        <v>Mount Richmond</v>
      </c>
    </row>
    <row r="647" spans="1:20" ht="13.8">
      <c r="A647" s="118" t="str">
        <f ca="1">IFERROR(__xludf.DUMMYFUNCTION("""COMPUTED_VALUE"""),"G")</f>
        <v>G</v>
      </c>
      <c r="B647" s="119" t="str">
        <f ca="1">IFERROR(__xludf.DUMMYFUNCTION("""COMPUTED_VALUE"""),"Casimira Betz")</f>
        <v>Casimira Betz</v>
      </c>
      <c r="C647" s="118">
        <f ca="1">IFERROR(__xludf.DUMMYFUNCTION("""COMPUTED_VALUE"""),12)</f>
        <v>12</v>
      </c>
      <c r="D647" s="118" t="str">
        <f ca="1">IFERROR(__xludf.DUMMYFUNCTION("""COMPUTED_VALUE"""),"G")</f>
        <v>G</v>
      </c>
      <c r="E647" s="118" t="str">
        <f ca="1">IFERROR(__xludf.DUMMYFUNCTION("""COMPUTED_VALUE"""),"J")</f>
        <v>J</v>
      </c>
      <c r="F647" s="118" t="str">
        <f ca="1">IFERROR(__xludf.DUMMYFUNCTION("""COMPUTED_VALUE"""),"I")</f>
        <v>I</v>
      </c>
      <c r="G647" s="118">
        <f ca="1">IFERROR(__xludf.DUMMYFUNCTION("""COMPUTED_VALUE"""),3)</f>
        <v>3</v>
      </c>
      <c r="H647" s="118" t="str">
        <f ca="1">IFERROR(__xludf.DUMMYFUNCTION("""COMPUTED_VALUE"""),"G")</f>
        <v>G</v>
      </c>
      <c r="I647" s="118">
        <f ca="1">IFERROR(__xludf.DUMMYFUNCTION("""COMPUTED_VALUE"""),6)</f>
        <v>6</v>
      </c>
      <c r="J647" s="118">
        <f ca="1">IFERROR(__xludf.DUMMYFUNCTION("""COMPUTED_VALUE"""),4)</f>
        <v>4</v>
      </c>
      <c r="K647" s="120">
        <f ca="1">IFERROR(__xludf.DUMMYFUNCTION("""COMPUTED_VALUE"""),81.5)</f>
        <v>81.5</v>
      </c>
      <c r="L647" s="121"/>
      <c r="M647" s="120">
        <f ca="1">IFERROR(__xludf.DUMMYFUNCTION("""COMPUTED_VALUE"""),81.5)</f>
        <v>81.5</v>
      </c>
      <c r="N647" s="121"/>
      <c r="O647" s="120"/>
      <c r="P647" s="122"/>
      <c r="Q647" s="123" t="str">
        <f ca="1">IFERROR(__xludf.DUMMYFUNCTION("""COMPUTED_VALUE"""),"Maddie Bloss")</f>
        <v>Maddie Bloss</v>
      </c>
      <c r="R647" s="123" t="str">
        <f ca="1">IFERROR(__xludf.DUMMYFUNCTION("""COMPUTED_VALUE"""),"Will Dallas")</f>
        <v>Will Dallas</v>
      </c>
      <c r="S647" s="123" t="str">
        <f ca="1">IFERROR(__xludf.DUMMYFUNCTION("""COMPUTED_VALUE"""),"Josie Odom")</f>
        <v>Josie Odom</v>
      </c>
      <c r="T647" s="123" t="str">
        <f ca="1">IFERROR(__xludf.DUMMYFUNCTION("""COMPUTED_VALUE"""),"Nabil Senhadji")</f>
        <v>Nabil Senhadji</v>
      </c>
    </row>
    <row r="648" spans="1:20" ht="13.8">
      <c r="A648" s="118" t="str">
        <f ca="1">IFERROR(__xludf.DUMMYFUNCTION("""COMPUTED_VALUE"""),"G")</f>
        <v>G</v>
      </c>
      <c r="B648" s="119" t="str">
        <f ca="1">IFERROR(__xludf.DUMMYFUNCTION("""COMPUTED_VALUE"""),"Emma Fricke")</f>
        <v>Emma Fricke</v>
      </c>
      <c r="C648" s="118">
        <f ca="1">IFERROR(__xludf.DUMMYFUNCTION("""COMPUTED_VALUE"""),12)</f>
        <v>12</v>
      </c>
      <c r="D648" s="118" t="str">
        <f ca="1">IFERROR(__xludf.DUMMYFUNCTION("""COMPUTED_VALUE"""),"G")</f>
        <v>G</v>
      </c>
      <c r="E648" s="118" t="str">
        <f ca="1">IFERROR(__xludf.DUMMYFUNCTION("""COMPUTED_VALUE"""),"J")</f>
        <v>J</v>
      </c>
      <c r="F648" s="118" t="str">
        <f ca="1">IFERROR(__xludf.DUMMYFUNCTION("""COMPUTED_VALUE"""),"I")</f>
        <v>I</v>
      </c>
      <c r="G648" s="118">
        <f ca="1">IFERROR(__xludf.DUMMYFUNCTION("""COMPUTED_VALUE"""),3)</f>
        <v>3</v>
      </c>
      <c r="H648" s="118" t="str">
        <f ca="1">IFERROR(__xludf.DUMMYFUNCTION("""COMPUTED_VALUE"""),"G")</f>
        <v>G</v>
      </c>
      <c r="I648" s="118">
        <f ca="1">IFERROR(__xludf.DUMMYFUNCTION("""COMPUTED_VALUE"""),6)</f>
        <v>6</v>
      </c>
      <c r="J648" s="118">
        <f ca="1">IFERROR(__xludf.DUMMYFUNCTION("""COMPUTED_VALUE"""),4)</f>
        <v>4</v>
      </c>
      <c r="K648" s="120">
        <f ca="1">IFERROR(__xludf.DUMMYFUNCTION("""COMPUTED_VALUE"""),104)</f>
        <v>104</v>
      </c>
      <c r="L648" s="121"/>
      <c r="M648" s="120">
        <f ca="1">IFERROR(__xludf.DUMMYFUNCTION("""COMPUTED_VALUE"""),104)</f>
        <v>104</v>
      </c>
      <c r="N648" s="121"/>
      <c r="O648" s="120">
        <f ca="1">IFERROR(__xludf.DUMMYFUNCTION("""COMPUTED_VALUE"""),84.05)</f>
        <v>84.05</v>
      </c>
      <c r="P648" s="122"/>
      <c r="Q648" s="123" t="str">
        <f ca="1">IFERROR(__xludf.DUMMYFUNCTION("""COMPUTED_VALUE"""),"Maddie Dennison-Gibby")</f>
        <v>Maddie Dennison-Gibby</v>
      </c>
      <c r="R648" s="123" t="str">
        <f ca="1">IFERROR(__xludf.DUMMYFUNCTION("""COMPUTED_VALUE"""),"Will Evett")</f>
        <v>Will Evett</v>
      </c>
      <c r="S648" s="123" t="str">
        <f ca="1">IFERROR(__xludf.DUMMYFUNCTION("""COMPUTED_VALUE"""),"Jourdan Evans")</f>
        <v>Jourdan Evans</v>
      </c>
      <c r="T648" s="123" t="str">
        <f ca="1">IFERROR(__xludf.DUMMYFUNCTION("""COMPUTED_VALUE"""),"Nader Tabandeh")</f>
        <v>Nader Tabandeh</v>
      </c>
    </row>
    <row r="649" spans="1:20" ht="13.8">
      <c r="A649" s="118" t="str">
        <f ca="1">IFERROR(__xludf.DUMMYFUNCTION("""COMPUTED_VALUE"""),"G")</f>
        <v>G</v>
      </c>
      <c r="B649" s="119" t="str">
        <f ca="1">IFERROR(__xludf.DUMMYFUNCTION("""COMPUTED_VALUE"""),"Hannah Snyder")</f>
        <v>Hannah Snyder</v>
      </c>
      <c r="C649" s="118">
        <f ca="1">IFERROR(__xludf.DUMMYFUNCTION("""COMPUTED_VALUE"""),12)</f>
        <v>12</v>
      </c>
      <c r="D649" s="118" t="str">
        <f ca="1">IFERROR(__xludf.DUMMYFUNCTION("""COMPUTED_VALUE"""),"G")</f>
        <v>G</v>
      </c>
      <c r="E649" s="118" t="str">
        <f ca="1">IFERROR(__xludf.DUMMYFUNCTION("""COMPUTED_VALUE"""),"J")</f>
        <v>J</v>
      </c>
      <c r="F649" s="118" t="str">
        <f ca="1">IFERROR(__xludf.DUMMYFUNCTION("""COMPUTED_VALUE"""),"I")</f>
        <v>I</v>
      </c>
      <c r="G649" s="118">
        <f ca="1">IFERROR(__xludf.DUMMYFUNCTION("""COMPUTED_VALUE"""),3)</f>
        <v>3</v>
      </c>
      <c r="H649" s="118" t="str">
        <f ca="1">IFERROR(__xludf.DUMMYFUNCTION("""COMPUTED_VALUE"""),"G")</f>
        <v>G</v>
      </c>
      <c r="I649" s="118">
        <f ca="1">IFERROR(__xludf.DUMMYFUNCTION("""COMPUTED_VALUE"""),6)</f>
        <v>6</v>
      </c>
      <c r="J649" s="118">
        <f ca="1">IFERROR(__xludf.DUMMYFUNCTION("""COMPUTED_VALUE"""),3)</f>
        <v>3</v>
      </c>
      <c r="K649" s="120">
        <f ca="1">IFERROR(__xludf.DUMMYFUNCTION("""COMPUTED_VALUE"""),66)</f>
        <v>66</v>
      </c>
      <c r="L649" s="121"/>
      <c r="M649" s="120"/>
      <c r="N649" s="121"/>
      <c r="O649" s="120">
        <f ca="1">IFERROR(__xludf.DUMMYFUNCTION("""COMPUTED_VALUE"""),66)</f>
        <v>66</v>
      </c>
      <c r="P649" s="122"/>
      <c r="Q649" s="123" t="str">
        <f ca="1">IFERROR(__xludf.DUMMYFUNCTION("""COMPUTED_VALUE"""),"Maddie Fucci")</f>
        <v>Maddie Fucci</v>
      </c>
      <c r="R649" s="123" t="str">
        <f ca="1">IFERROR(__xludf.DUMMYFUNCTION("""COMPUTED_VALUE"""),"Will Feeney")</f>
        <v>Will Feeney</v>
      </c>
      <c r="S649" s="123" t="str">
        <f ca="1">IFERROR(__xludf.DUMMYFUNCTION("""COMPUTED_VALUE"""),"Jules Hiner")</f>
        <v>Jules Hiner</v>
      </c>
      <c r="T649" s="123" t="str">
        <f ca="1">IFERROR(__xludf.DUMMYFUNCTION("""COMPUTED_VALUE"""),"Natalie Shlesinger")</f>
        <v>Natalie Shlesinger</v>
      </c>
    </row>
    <row r="650" spans="1:20" ht="13.8">
      <c r="A650" s="118" t="str">
        <f ca="1">IFERROR(__xludf.DUMMYFUNCTION("""COMPUTED_VALUE"""),"G")</f>
        <v>G</v>
      </c>
      <c r="B650" s="119" t="str">
        <f ca="1">IFERROR(__xludf.DUMMYFUNCTION("""COMPUTED_VALUE"""),"Leighton Raich")</f>
        <v>Leighton Raich</v>
      </c>
      <c r="C650" s="118">
        <f ca="1">IFERROR(__xludf.DUMMYFUNCTION("""COMPUTED_VALUE"""),12)</f>
        <v>12</v>
      </c>
      <c r="D650" s="118" t="str">
        <f ca="1">IFERROR(__xludf.DUMMYFUNCTION("""COMPUTED_VALUE"""),"G")</f>
        <v>G</v>
      </c>
      <c r="E650" s="118" t="str">
        <f ca="1">IFERROR(__xludf.DUMMYFUNCTION("""COMPUTED_VALUE"""),"J")</f>
        <v>J</v>
      </c>
      <c r="F650" s="118" t="str">
        <f ca="1">IFERROR(__xludf.DUMMYFUNCTION("""COMPUTED_VALUE"""),"I")</f>
        <v>I</v>
      </c>
      <c r="G650" s="118">
        <f ca="1">IFERROR(__xludf.DUMMYFUNCTION("""COMPUTED_VALUE"""),3)</f>
        <v>3</v>
      </c>
      <c r="H650" s="118" t="str">
        <f ca="1">IFERROR(__xludf.DUMMYFUNCTION("""COMPUTED_VALUE"""),"G")</f>
        <v>G</v>
      </c>
      <c r="I650" s="118">
        <f ca="1">IFERROR(__xludf.DUMMYFUNCTION("""COMPUTED_VALUE"""),6)</f>
        <v>6</v>
      </c>
      <c r="J650" s="118">
        <f ca="1">IFERROR(__xludf.DUMMYFUNCTION("""COMPUTED_VALUE"""),5)</f>
        <v>5</v>
      </c>
      <c r="K650" s="120">
        <f ca="1">IFERROR(__xludf.DUMMYFUNCTION("""COMPUTED_VALUE"""),100.35)</f>
        <v>100.35</v>
      </c>
      <c r="L650" s="121"/>
      <c r="M650" s="120">
        <f ca="1">IFERROR(__xludf.DUMMYFUNCTION("""COMPUTED_VALUE"""),100.35)</f>
        <v>100.35</v>
      </c>
      <c r="N650" s="121"/>
      <c r="O650" s="120">
        <f ca="1">IFERROR(__xludf.DUMMYFUNCTION("""COMPUTED_VALUE"""),98.4)</f>
        <v>98.4</v>
      </c>
      <c r="P650" s="122"/>
      <c r="Q650" s="123" t="str">
        <f ca="1">IFERROR(__xludf.DUMMYFUNCTION("""COMPUTED_VALUE"""),"Maddie Kelly")</f>
        <v>Maddie Kelly</v>
      </c>
      <c r="R650" s="123" t="str">
        <f ca="1">IFERROR(__xludf.DUMMYFUNCTION("""COMPUTED_VALUE"""),"Will Fletcher")</f>
        <v>Will Fletcher</v>
      </c>
      <c r="S650" s="123" t="str">
        <f ca="1">IFERROR(__xludf.DUMMYFUNCTION("""COMPUTED_VALUE"""),"Jules Olsen")</f>
        <v>Jules Olsen</v>
      </c>
      <c r="T650" s="123" t="str">
        <f ca="1">IFERROR(__xludf.DUMMYFUNCTION("""COMPUTED_VALUE"""),"Nate Beck")</f>
        <v>Nate Beck</v>
      </c>
    </row>
    <row r="651" spans="1:20" ht="13.8">
      <c r="A651" s="118" t="str">
        <f ca="1">IFERROR(__xludf.DUMMYFUNCTION("""COMPUTED_VALUE"""),"G")</f>
        <v>G</v>
      </c>
      <c r="B651" s="119" t="str">
        <f ca="1">IFERROR(__xludf.DUMMYFUNCTION("""COMPUTED_VALUE"""),"Maddi Nassar")</f>
        <v>Maddi Nassar</v>
      </c>
      <c r="C651" s="118">
        <f ca="1">IFERROR(__xludf.DUMMYFUNCTION("""COMPUTED_VALUE"""),12)</f>
        <v>12</v>
      </c>
      <c r="D651" s="118" t="str">
        <f ca="1">IFERROR(__xludf.DUMMYFUNCTION("""COMPUTED_VALUE"""),"G")</f>
        <v>G</v>
      </c>
      <c r="E651" s="118" t="str">
        <f ca="1">IFERROR(__xludf.DUMMYFUNCTION("""COMPUTED_VALUE"""),"J")</f>
        <v>J</v>
      </c>
      <c r="F651" s="118" t="str">
        <f ca="1">IFERROR(__xludf.DUMMYFUNCTION("""COMPUTED_VALUE"""),"I")</f>
        <v>I</v>
      </c>
      <c r="G651" s="118">
        <f ca="1">IFERROR(__xludf.DUMMYFUNCTION("""COMPUTED_VALUE"""),3)</f>
        <v>3</v>
      </c>
      <c r="H651" s="118" t="str">
        <f ca="1">IFERROR(__xludf.DUMMYFUNCTION("""COMPUTED_VALUE"""),"G")</f>
        <v>G</v>
      </c>
      <c r="I651" s="118">
        <f ca="1">IFERROR(__xludf.DUMMYFUNCTION("""COMPUTED_VALUE"""),6)</f>
        <v>6</v>
      </c>
      <c r="J651" s="118">
        <f ca="1">IFERROR(__xludf.DUMMYFUNCTION("""COMPUTED_VALUE"""),2)</f>
        <v>2</v>
      </c>
      <c r="K651" s="120">
        <f ca="1">IFERROR(__xludf.DUMMYFUNCTION("""COMPUTED_VALUE"""),64.5)</f>
        <v>64.5</v>
      </c>
      <c r="L651" s="121"/>
      <c r="M651" s="120"/>
      <c r="N651" s="121"/>
      <c r="O651" s="120"/>
      <c r="P651" s="122"/>
      <c r="Q651" s="123" t="str">
        <f ca="1">IFERROR(__xludf.DUMMYFUNCTION("""COMPUTED_VALUE"""),"Maddie Laccone")</f>
        <v>Maddie Laccone</v>
      </c>
      <c r="R651" s="123" t="str">
        <f ca="1">IFERROR(__xludf.DUMMYFUNCTION("""COMPUTED_VALUE"""),"Will Lee")</f>
        <v>Will Lee</v>
      </c>
      <c r="S651" s="123" t="str">
        <f ca="1">IFERROR(__xludf.DUMMYFUNCTION("""COMPUTED_VALUE"""),"Jules Tetreault")</f>
        <v>Jules Tetreault</v>
      </c>
      <c r="T651" s="123" t="str">
        <f ca="1">IFERROR(__xludf.DUMMYFUNCTION("""COMPUTED_VALUE"""),"Nate Butler")</f>
        <v>Nate Butler</v>
      </c>
    </row>
    <row r="652" spans="1:20" ht="13.8">
      <c r="A652" s="118" t="str">
        <f ca="1">IFERROR(__xludf.DUMMYFUNCTION("""COMPUTED_VALUE"""),"G")</f>
        <v>G</v>
      </c>
      <c r="B652" s="119" t="str">
        <f ca="1">IFERROR(__xludf.DUMMYFUNCTION("""COMPUTED_VALUE"""),"Michelle Pietras")</f>
        <v>Michelle Pietras</v>
      </c>
      <c r="C652" s="118">
        <f ca="1">IFERROR(__xludf.DUMMYFUNCTION("""COMPUTED_VALUE"""),11)</f>
        <v>11</v>
      </c>
      <c r="D652" s="118" t="str">
        <f ca="1">IFERROR(__xludf.DUMMYFUNCTION("""COMPUTED_VALUE"""),"G")</f>
        <v>G</v>
      </c>
      <c r="E652" s="118" t="str">
        <f ca="1">IFERROR(__xludf.DUMMYFUNCTION("""COMPUTED_VALUE"""),"J")</f>
        <v>J</v>
      </c>
      <c r="F652" s="118" t="str">
        <f ca="1">IFERROR(__xludf.DUMMYFUNCTION("""COMPUTED_VALUE"""),"I")</f>
        <v>I</v>
      </c>
      <c r="G652" s="118">
        <f ca="1">IFERROR(__xludf.DUMMYFUNCTION("""COMPUTED_VALUE"""),3)</f>
        <v>3</v>
      </c>
      <c r="H652" s="118" t="str">
        <f ca="1">IFERROR(__xludf.DUMMYFUNCTION("""COMPUTED_VALUE"""),"G")</f>
        <v>G</v>
      </c>
      <c r="I652" s="118">
        <f ca="1">IFERROR(__xludf.DUMMYFUNCTION("""COMPUTED_VALUE"""),6)</f>
        <v>6</v>
      </c>
      <c r="J652" s="118">
        <f ca="1">IFERROR(__xludf.DUMMYFUNCTION("""COMPUTED_VALUE"""),1)</f>
        <v>1</v>
      </c>
      <c r="K652" s="120"/>
      <c r="L652" s="121"/>
      <c r="M652" s="120"/>
      <c r="N652" s="121"/>
      <c r="O652" s="120"/>
      <c r="P652" s="122"/>
      <c r="Q652" s="123" t="str">
        <f ca="1">IFERROR(__xludf.DUMMYFUNCTION("""COMPUTED_VALUE"""),"Maddy Orluk")</f>
        <v>Maddy Orluk</v>
      </c>
      <c r="R652" s="123" t="str">
        <f ca="1">IFERROR(__xludf.DUMMYFUNCTION("""COMPUTED_VALUE"""),"Will McCool")</f>
        <v>Will McCool</v>
      </c>
      <c r="S652" s="123" t="str">
        <f ca="1">IFERROR(__xludf.DUMMYFUNCTION("""COMPUTED_VALUE"""),"Julia Denniston")</f>
        <v>Julia Denniston</v>
      </c>
      <c r="T652" s="123" t="str">
        <f ca="1">IFERROR(__xludf.DUMMYFUNCTION("""COMPUTED_VALUE"""),"Nate Cohen")</f>
        <v>Nate Cohen</v>
      </c>
    </row>
    <row r="653" spans="1:20" ht="13.8">
      <c r="A653" s="118" t="str">
        <f ca="1">IFERROR(__xludf.DUMMYFUNCTION("""COMPUTED_VALUE"""),"G")</f>
        <v>G</v>
      </c>
      <c r="B653" s="119" t="str">
        <f ca="1">IFERROR(__xludf.DUMMYFUNCTION("""COMPUTED_VALUE"""),"Victoria Hill")</f>
        <v>Victoria Hill</v>
      </c>
      <c r="C653" s="118">
        <f ca="1">IFERROR(__xludf.DUMMYFUNCTION("""COMPUTED_VALUE"""),11)</f>
        <v>11</v>
      </c>
      <c r="D653" s="118" t="str">
        <f ca="1">IFERROR(__xludf.DUMMYFUNCTION("""COMPUTED_VALUE"""),"G")</f>
        <v>G</v>
      </c>
      <c r="E653" s="118" t="str">
        <f ca="1">IFERROR(__xludf.DUMMYFUNCTION("""COMPUTED_VALUE"""),"J")</f>
        <v>J</v>
      </c>
      <c r="F653" s="118" t="str">
        <f ca="1">IFERROR(__xludf.DUMMYFUNCTION("""COMPUTED_VALUE"""),"I")</f>
        <v>I</v>
      </c>
      <c r="G653" s="118">
        <f ca="1">IFERROR(__xludf.DUMMYFUNCTION("""COMPUTED_VALUE"""),3)</f>
        <v>3</v>
      </c>
      <c r="H653" s="118" t="str">
        <f ca="1">IFERROR(__xludf.DUMMYFUNCTION("""COMPUTED_VALUE"""),"G")</f>
        <v>G</v>
      </c>
      <c r="I653" s="118">
        <f ca="1">IFERROR(__xludf.DUMMYFUNCTION("""COMPUTED_VALUE"""),6)</f>
        <v>6</v>
      </c>
      <c r="J653" s="118">
        <f ca="1">IFERROR(__xludf.DUMMYFUNCTION("""COMPUTED_VALUE"""),3)</f>
        <v>3</v>
      </c>
      <c r="K653" s="120">
        <f ca="1">IFERROR(__xludf.DUMMYFUNCTION("""COMPUTED_VALUE"""),59.6)</f>
        <v>59.6</v>
      </c>
      <c r="L653" s="121"/>
      <c r="M653" s="120">
        <f ca="1">IFERROR(__xludf.DUMMYFUNCTION("""COMPUTED_VALUE"""),59.6)</f>
        <v>59.6</v>
      </c>
      <c r="N653" s="121"/>
      <c r="O653" s="120"/>
      <c r="P653" s="122"/>
      <c r="Q653" s="123" t="str">
        <f ca="1">IFERROR(__xludf.DUMMYFUNCTION("""COMPUTED_VALUE"""),"Madeleine Mitchell")</f>
        <v>Madeleine Mitchell</v>
      </c>
      <c r="R653" s="123" t="str">
        <f ca="1">IFERROR(__xludf.DUMMYFUNCTION("""COMPUTED_VALUE"""),"Will Winslow")</f>
        <v>Will Winslow</v>
      </c>
      <c r="S653" s="123" t="str">
        <f ca="1">IFERROR(__xludf.DUMMYFUNCTION("""COMPUTED_VALUE"""),"Julia Green")</f>
        <v>Julia Green</v>
      </c>
      <c r="T653" s="123" t="str">
        <f ca="1">IFERROR(__xludf.DUMMYFUNCTION("""COMPUTED_VALUE"""),"Nate Johnson")</f>
        <v>Nate Johnson</v>
      </c>
    </row>
    <row r="654" spans="1:20" ht="13.8">
      <c r="A654" s="118" t="str">
        <f ca="1">IFERROR(__xludf.DUMMYFUNCTION("""COMPUTED_VALUE"""),"G")</f>
        <v>G</v>
      </c>
      <c r="B654" s="119" t="str">
        <f ca="1">IFERROR(__xludf.DUMMYFUNCTION("""COMPUTED_VALUE"""),"Ben Blaeuer")</f>
        <v>Ben Blaeuer</v>
      </c>
      <c r="C654" s="118">
        <f ca="1">IFERROR(__xludf.DUMMYFUNCTION("""COMPUTED_VALUE"""),12)</f>
        <v>12</v>
      </c>
      <c r="D654" s="118" t="str">
        <f ca="1">IFERROR(__xludf.DUMMYFUNCTION("""COMPUTED_VALUE"""),"B")</f>
        <v>B</v>
      </c>
      <c r="E654" s="118" t="str">
        <f ca="1">IFERROR(__xludf.DUMMYFUNCTION("""COMPUTED_VALUE"""),"J")</f>
        <v>J</v>
      </c>
      <c r="F654" s="118" t="str">
        <f ca="1">IFERROR(__xludf.DUMMYFUNCTION("""COMPUTED_VALUE"""),"I")</f>
        <v>I</v>
      </c>
      <c r="G654" s="118">
        <f ca="1">IFERROR(__xludf.DUMMYFUNCTION("""COMPUTED_VALUE"""),3)</f>
        <v>3</v>
      </c>
      <c r="H654" s="118" t="str">
        <f ca="1">IFERROR(__xludf.DUMMYFUNCTION("""COMPUTED_VALUE"""),"G")</f>
        <v>G</v>
      </c>
      <c r="I654" s="118">
        <f ca="1">IFERROR(__xludf.DUMMYFUNCTION("""COMPUTED_VALUE"""),7)</f>
        <v>7</v>
      </c>
      <c r="J654" s="118">
        <f ca="1">IFERROR(__xludf.DUMMYFUNCTION("""COMPUTED_VALUE"""),5)</f>
        <v>5</v>
      </c>
      <c r="K654" s="120">
        <f ca="1">IFERROR(__xludf.DUMMYFUNCTION("""COMPUTED_VALUE"""),102.3)</f>
        <v>102.3</v>
      </c>
      <c r="L654" s="121"/>
      <c r="M654" s="120">
        <f ca="1">IFERROR(__xludf.DUMMYFUNCTION("""COMPUTED_VALUE"""),102.3)</f>
        <v>102.3</v>
      </c>
      <c r="N654" s="121"/>
      <c r="O654" s="120">
        <f ca="1">IFERROR(__xludf.DUMMYFUNCTION("""COMPUTED_VALUE"""),95.35)</f>
        <v>95.35</v>
      </c>
      <c r="P654" s="122"/>
      <c r="Q654" s="123" t="str">
        <f ca="1">IFERROR(__xludf.DUMMYFUNCTION("""COMPUTED_VALUE"""),"Madeleine Philbin")</f>
        <v>Madeleine Philbin</v>
      </c>
      <c r="R654" s="123" t="str">
        <f ca="1">IFERROR(__xludf.DUMMYFUNCTION("""COMPUTED_VALUE"""),"William Beck")</f>
        <v>William Beck</v>
      </c>
      <c r="S654" s="123" t="str">
        <f ca="1">IFERROR(__xludf.DUMMYFUNCTION("""COMPUTED_VALUE"""),"Julia Kaldahl")</f>
        <v>Julia Kaldahl</v>
      </c>
      <c r="T654" s="123" t="str">
        <f ca="1">IFERROR(__xludf.DUMMYFUNCTION("""COMPUTED_VALUE"""),"Nate Southworth")</f>
        <v>Nate Southworth</v>
      </c>
    </row>
    <row r="655" spans="1:20" ht="13.8">
      <c r="A655" s="118" t="str">
        <f ca="1">IFERROR(__xludf.DUMMYFUNCTION("""COMPUTED_VALUE"""),"G")</f>
        <v>G</v>
      </c>
      <c r="B655" s="119" t="str">
        <f ca="1">IFERROR(__xludf.DUMMYFUNCTION("""COMPUTED_VALUE"""),"Mario Guillen")</f>
        <v>Mario Guillen</v>
      </c>
      <c r="C655" s="118">
        <f ca="1">IFERROR(__xludf.DUMMYFUNCTION("""COMPUTED_VALUE"""),11)</f>
        <v>11</v>
      </c>
      <c r="D655" s="118" t="str">
        <f ca="1">IFERROR(__xludf.DUMMYFUNCTION("""COMPUTED_VALUE"""),"B")</f>
        <v>B</v>
      </c>
      <c r="E655" s="118" t="str">
        <f ca="1">IFERROR(__xludf.DUMMYFUNCTION("""COMPUTED_VALUE"""),"J")</f>
        <v>J</v>
      </c>
      <c r="F655" s="118" t="str">
        <f ca="1">IFERROR(__xludf.DUMMYFUNCTION("""COMPUTED_VALUE"""),"I")</f>
        <v>I</v>
      </c>
      <c r="G655" s="118">
        <f ca="1">IFERROR(__xludf.DUMMYFUNCTION("""COMPUTED_VALUE"""),3)</f>
        <v>3</v>
      </c>
      <c r="H655" s="118" t="str">
        <f ca="1">IFERROR(__xludf.DUMMYFUNCTION("""COMPUTED_VALUE"""),"G")</f>
        <v>G</v>
      </c>
      <c r="I655" s="118">
        <f ca="1">IFERROR(__xludf.DUMMYFUNCTION("""COMPUTED_VALUE"""),7)</f>
        <v>7</v>
      </c>
      <c r="J655" s="118">
        <f ca="1">IFERROR(__xludf.DUMMYFUNCTION("""COMPUTED_VALUE"""),0)</f>
        <v>0</v>
      </c>
      <c r="K655" s="120"/>
      <c r="L655" s="121"/>
      <c r="M655" s="120"/>
      <c r="N655" s="121"/>
      <c r="O655" s="120"/>
      <c r="P655" s="122"/>
      <c r="Q655" s="123" t="str">
        <f ca="1">IFERROR(__xludf.DUMMYFUNCTION("""COMPUTED_VALUE"""),"Madeleine Stankus")</f>
        <v>Madeleine Stankus</v>
      </c>
      <c r="R655" s="123" t="str">
        <f ca="1">IFERROR(__xludf.DUMMYFUNCTION("""COMPUTED_VALUE"""),"William Camel")</f>
        <v>William Camel</v>
      </c>
      <c r="S655" s="123" t="str">
        <f ca="1">IFERROR(__xludf.DUMMYFUNCTION("""COMPUTED_VALUE"""),"Julia Kennedy")</f>
        <v>Julia Kennedy</v>
      </c>
      <c r="T655" s="123" t="str">
        <f ca="1">IFERROR(__xludf.DUMMYFUNCTION("""COMPUTED_VALUE"""),"Nathan Connelly")</f>
        <v>Nathan Connelly</v>
      </c>
    </row>
    <row r="656" spans="1:20" ht="13.8">
      <c r="A656" s="118" t="str">
        <f ca="1">IFERROR(__xludf.DUMMYFUNCTION("""COMPUTED_VALUE"""),"G")</f>
        <v>G</v>
      </c>
      <c r="B656" s="119" t="str">
        <f ca="1">IFERROR(__xludf.DUMMYFUNCTION("""COMPUTED_VALUE"""),"Wesley Grogan")</f>
        <v>Wesley Grogan</v>
      </c>
      <c r="C656" s="118">
        <f ca="1">IFERROR(__xludf.DUMMYFUNCTION("""COMPUTED_VALUE"""),12)</f>
        <v>12</v>
      </c>
      <c r="D656" s="118" t="str">
        <f ca="1">IFERROR(__xludf.DUMMYFUNCTION("""COMPUTED_VALUE"""),"B")</f>
        <v>B</v>
      </c>
      <c r="E656" s="118" t="str">
        <f ca="1">IFERROR(__xludf.DUMMYFUNCTION("""COMPUTED_VALUE"""),"J")</f>
        <v>J</v>
      </c>
      <c r="F656" s="118" t="str">
        <f ca="1">IFERROR(__xludf.DUMMYFUNCTION("""COMPUTED_VALUE"""),"I")</f>
        <v>I</v>
      </c>
      <c r="G656" s="118">
        <f ca="1">IFERROR(__xludf.DUMMYFUNCTION("""COMPUTED_VALUE"""),3)</f>
        <v>3</v>
      </c>
      <c r="H656" s="118" t="str">
        <f ca="1">IFERROR(__xludf.DUMMYFUNCTION("""COMPUTED_VALUE"""),"G")</f>
        <v>G</v>
      </c>
      <c r="I656" s="118">
        <f ca="1">IFERROR(__xludf.DUMMYFUNCTION("""COMPUTED_VALUE"""),7)</f>
        <v>7</v>
      </c>
      <c r="J656" s="118">
        <f ca="1">IFERROR(__xludf.DUMMYFUNCTION("""COMPUTED_VALUE"""),4)</f>
        <v>4</v>
      </c>
      <c r="K656" s="120">
        <f ca="1">IFERROR(__xludf.DUMMYFUNCTION("""COMPUTED_VALUE"""),115.25)</f>
        <v>115.25</v>
      </c>
      <c r="L656" s="121"/>
      <c r="M656" s="120">
        <f ca="1">IFERROR(__xludf.DUMMYFUNCTION("""COMPUTED_VALUE"""),115.25)</f>
        <v>115.25</v>
      </c>
      <c r="N656" s="121"/>
      <c r="O656" s="120">
        <f ca="1">IFERROR(__xludf.DUMMYFUNCTION("""COMPUTED_VALUE"""),106.35)</f>
        <v>106.35</v>
      </c>
      <c r="P656" s="122"/>
      <c r="Q656" s="123" t="str">
        <f ca="1">IFERROR(__xludf.DUMMYFUNCTION("""COMPUTED_VALUE"""),"Madeleine Yappel")</f>
        <v>Madeleine Yappel</v>
      </c>
      <c r="R656" s="123" t="str">
        <f ca="1">IFERROR(__xludf.DUMMYFUNCTION("""COMPUTED_VALUE"""),"William Cravens")</f>
        <v>William Cravens</v>
      </c>
      <c r="S656" s="123" t="str">
        <f ca="1">IFERROR(__xludf.DUMMYFUNCTION("""COMPUTED_VALUE"""),"Julia Kent")</f>
        <v>Julia Kent</v>
      </c>
      <c r="T656" s="123" t="str">
        <f ca="1">IFERROR(__xludf.DUMMYFUNCTION("""COMPUTED_VALUE"""),"Nathan Easley")</f>
        <v>Nathan Easley</v>
      </c>
    </row>
    <row r="657" spans="1:20" ht="13.8">
      <c r="A657" s="118" t="str">
        <f ca="1">IFERROR(__xludf.DUMMYFUNCTION("""COMPUTED_VALUE"""),"G")</f>
        <v>G</v>
      </c>
      <c r="B657" s="119" t="str">
        <f ca="1">IFERROR(__xludf.DUMMYFUNCTION("""COMPUTED_VALUE"""),"Will Dallas")</f>
        <v>Will Dallas</v>
      </c>
      <c r="C657" s="118">
        <f ca="1">IFERROR(__xludf.DUMMYFUNCTION("""COMPUTED_VALUE"""),11)</f>
        <v>11</v>
      </c>
      <c r="D657" s="118" t="str">
        <f ca="1">IFERROR(__xludf.DUMMYFUNCTION("""COMPUTED_VALUE"""),"B")</f>
        <v>B</v>
      </c>
      <c r="E657" s="118" t="str">
        <f ca="1">IFERROR(__xludf.DUMMYFUNCTION("""COMPUTED_VALUE"""),"J")</f>
        <v>J</v>
      </c>
      <c r="F657" s="118" t="str">
        <f ca="1">IFERROR(__xludf.DUMMYFUNCTION("""COMPUTED_VALUE"""),"I")</f>
        <v>I</v>
      </c>
      <c r="G657" s="118">
        <f ca="1">IFERROR(__xludf.DUMMYFUNCTION("""COMPUTED_VALUE"""),3)</f>
        <v>3</v>
      </c>
      <c r="H657" s="118" t="str">
        <f ca="1">IFERROR(__xludf.DUMMYFUNCTION("""COMPUTED_VALUE"""),"G")</f>
        <v>G</v>
      </c>
      <c r="I657" s="118">
        <f ca="1">IFERROR(__xludf.DUMMYFUNCTION("""COMPUTED_VALUE"""),7)</f>
        <v>7</v>
      </c>
      <c r="J657" s="118">
        <f ca="1">IFERROR(__xludf.DUMMYFUNCTION("""COMPUTED_VALUE"""),4)</f>
        <v>4</v>
      </c>
      <c r="K657" s="120">
        <f ca="1">IFERROR(__xludf.DUMMYFUNCTION("""COMPUTED_VALUE"""),63)</f>
        <v>63</v>
      </c>
      <c r="L657" s="121"/>
      <c r="M657" s="120"/>
      <c r="N657" s="121"/>
      <c r="O657" s="120">
        <f ca="1">IFERROR(__xludf.DUMMYFUNCTION("""COMPUTED_VALUE"""),41.9)</f>
        <v>41.9</v>
      </c>
      <c r="P657" s="122"/>
      <c r="Q657" s="123" t="str">
        <f ca="1">IFERROR(__xludf.DUMMYFUNCTION("""COMPUTED_VALUE"""),"Madinah McKimmy")</f>
        <v>Madinah McKimmy</v>
      </c>
      <c r="R657" s="123" t="str">
        <f ca="1">IFERROR(__xludf.DUMMYFUNCTION("""COMPUTED_VALUE"""),"William Erwin")</f>
        <v>William Erwin</v>
      </c>
      <c r="S657" s="123" t="str">
        <f ca="1">IFERROR(__xludf.DUMMYFUNCTION("""COMPUTED_VALUE"""),"Julia Kosowski")</f>
        <v>Julia Kosowski</v>
      </c>
      <c r="T657" s="123" t="str">
        <f ca="1">IFERROR(__xludf.DUMMYFUNCTION("""COMPUTED_VALUE"""),"Nathan Lucas")</f>
        <v>Nathan Lucas</v>
      </c>
    </row>
    <row r="658" spans="1:20" ht="13.8">
      <c r="A658" s="118" t="str">
        <f ca="1">IFERROR(__xludf.DUMMYFUNCTION("""COMPUTED_VALUE"""),"G")</f>
        <v>G</v>
      </c>
      <c r="B658" s="119" t="str">
        <f ca="1">IFERROR(__xludf.DUMMYFUNCTION("""COMPUTED_VALUE"""),"Sage Smyth")</f>
        <v>Sage Smyth</v>
      </c>
      <c r="C658" s="118">
        <f ca="1">IFERROR(__xludf.DUMMYFUNCTION("""COMPUTED_VALUE"""),14)</f>
        <v>14</v>
      </c>
      <c r="D658" s="118" t="str">
        <f ca="1">IFERROR(__xludf.DUMMYFUNCTION("""COMPUTED_VALUE"""),"G")</f>
        <v>G</v>
      </c>
      <c r="E658" s="118" t="str">
        <f ca="1">IFERROR(__xludf.DUMMYFUNCTION("""COMPUTED_VALUE"""),"I")</f>
        <v>I</v>
      </c>
      <c r="F658" s="118" t="str">
        <f ca="1">IFERROR(__xludf.DUMMYFUNCTION("""COMPUTED_VALUE"""),"S")</f>
        <v>S</v>
      </c>
      <c r="G658" s="118">
        <f ca="1">IFERROR(__xludf.DUMMYFUNCTION("""COMPUTED_VALUE"""),3)</f>
        <v>3</v>
      </c>
      <c r="H658" s="118" t="str">
        <f ca="1">IFERROR(__xludf.DUMMYFUNCTION("""COMPUTED_VALUE"""),"G")</f>
        <v>G</v>
      </c>
      <c r="I658" s="118">
        <f ca="1">IFERROR(__xludf.DUMMYFUNCTION("""COMPUTED_VALUE"""),8)</f>
        <v>8</v>
      </c>
      <c r="J658" s="118">
        <f ca="1">IFERROR(__xludf.DUMMYFUNCTION("""COMPUTED_VALUE"""),1)</f>
        <v>1</v>
      </c>
      <c r="K658" s="120">
        <f ca="1">IFERROR(__xludf.DUMMYFUNCTION("""COMPUTED_VALUE"""),110.45)</f>
        <v>110.45</v>
      </c>
      <c r="L658" s="121"/>
      <c r="M658" s="120"/>
      <c r="N658" s="121"/>
      <c r="O658" s="120">
        <f ca="1">IFERROR(__xludf.DUMMYFUNCTION("""COMPUTED_VALUE"""),110.45)</f>
        <v>110.45</v>
      </c>
      <c r="P658" s="122"/>
      <c r="Q658" s="123" t="str">
        <f ca="1">IFERROR(__xludf.DUMMYFUNCTION("""COMPUTED_VALUE"""),"Madison Katsiak")</f>
        <v>Madison Katsiak</v>
      </c>
      <c r="R658" s="123" t="str">
        <f ca="1">IFERROR(__xludf.DUMMYFUNCTION("""COMPUTED_VALUE"""),"William Gentry")</f>
        <v>William Gentry</v>
      </c>
      <c r="S658" s="123" t="str">
        <f ca="1">IFERROR(__xludf.DUMMYFUNCTION("""COMPUTED_VALUE"""),"Julia Paukovits")</f>
        <v>Julia Paukovits</v>
      </c>
      <c r="T658" s="123" t="str">
        <f ca="1">IFERROR(__xludf.DUMMYFUNCTION("""COMPUTED_VALUE"""),"Nathan Pierece")</f>
        <v>Nathan Pierece</v>
      </c>
    </row>
    <row r="659" spans="1:20" ht="13.8">
      <c r="A659" s="118" t="str">
        <f ca="1">IFERROR(__xludf.DUMMYFUNCTION("""COMPUTED_VALUE"""),"G")</f>
        <v>G</v>
      </c>
      <c r="B659" s="119" t="str">
        <f ca="1">IFERROR(__xludf.DUMMYFUNCTION("""COMPUTED_VALUE"""),"Simone Feil")</f>
        <v>Simone Feil</v>
      </c>
      <c r="C659" s="118">
        <f ca="1">IFERROR(__xludf.DUMMYFUNCTION("""COMPUTED_VALUE"""),13)</f>
        <v>13</v>
      </c>
      <c r="D659" s="118" t="str">
        <f ca="1">IFERROR(__xludf.DUMMYFUNCTION("""COMPUTED_VALUE"""),"G")</f>
        <v>G</v>
      </c>
      <c r="E659" s="118" t="str">
        <f ca="1">IFERROR(__xludf.DUMMYFUNCTION("""COMPUTED_VALUE"""),"I")</f>
        <v>I</v>
      </c>
      <c r="F659" s="118" t="str">
        <f ca="1">IFERROR(__xludf.DUMMYFUNCTION("""COMPUTED_VALUE"""),"S")</f>
        <v>S</v>
      </c>
      <c r="G659" s="118">
        <f ca="1">IFERROR(__xludf.DUMMYFUNCTION("""COMPUTED_VALUE"""),3)</f>
        <v>3</v>
      </c>
      <c r="H659" s="118" t="str">
        <f ca="1">IFERROR(__xludf.DUMMYFUNCTION("""COMPUTED_VALUE"""),"G")</f>
        <v>G</v>
      </c>
      <c r="I659" s="118">
        <f ca="1">IFERROR(__xludf.DUMMYFUNCTION("""COMPUTED_VALUE"""),8)</f>
        <v>8</v>
      </c>
      <c r="J659" s="118">
        <f ca="1">IFERROR(__xludf.DUMMYFUNCTION("""COMPUTED_VALUE"""),4)</f>
        <v>4</v>
      </c>
      <c r="K659" s="120">
        <f ca="1">IFERROR(__xludf.DUMMYFUNCTION("""COMPUTED_VALUE"""),114.45)</f>
        <v>114.45</v>
      </c>
      <c r="L659" s="121"/>
      <c r="M659" s="120">
        <f ca="1">IFERROR(__xludf.DUMMYFUNCTION("""COMPUTED_VALUE"""),112.1)</f>
        <v>112.1</v>
      </c>
      <c r="N659" s="121"/>
      <c r="O659" s="120"/>
      <c r="P659" s="122"/>
      <c r="Q659" s="123" t="str">
        <f ca="1">IFERROR(__xludf.DUMMYFUNCTION("""COMPUTED_VALUE"""),"Madison Wade")</f>
        <v>Madison Wade</v>
      </c>
      <c r="R659" s="123" t="str">
        <f ca="1">IFERROR(__xludf.DUMMYFUNCTION("""COMPUTED_VALUE"""),"William Kunkle")</f>
        <v>William Kunkle</v>
      </c>
      <c r="S659" s="123" t="str">
        <f ca="1">IFERROR(__xludf.DUMMYFUNCTION("""COMPUTED_VALUE"""),"Julia Zellers")</f>
        <v>Julia Zellers</v>
      </c>
      <c r="T659" s="123" t="str">
        <f ca="1">IFERROR(__xludf.DUMMYFUNCTION("""COMPUTED_VALUE"""),"Nathaniel Cassatt")</f>
        <v>Nathaniel Cassatt</v>
      </c>
    </row>
    <row r="660" spans="1:20" ht="13.8">
      <c r="A660" s="118" t="str">
        <f ca="1">IFERROR(__xludf.DUMMYFUNCTION("""COMPUTED_VALUE"""),"G")</f>
        <v>G</v>
      </c>
      <c r="B660" s="119" t="str">
        <f ca="1">IFERROR(__xludf.DUMMYFUNCTION("""COMPUTED_VALUE"""),"Sloane Wayment")</f>
        <v>Sloane Wayment</v>
      </c>
      <c r="C660" s="118">
        <f ca="1">IFERROR(__xludf.DUMMYFUNCTION("""COMPUTED_VALUE"""),13)</f>
        <v>13</v>
      </c>
      <c r="D660" s="118" t="str">
        <f ca="1">IFERROR(__xludf.DUMMYFUNCTION("""COMPUTED_VALUE"""),"G")</f>
        <v>G</v>
      </c>
      <c r="E660" s="118" t="str">
        <f ca="1">IFERROR(__xludf.DUMMYFUNCTION("""COMPUTED_VALUE"""),"I")</f>
        <v>I</v>
      </c>
      <c r="F660" s="118" t="str">
        <f ca="1">IFERROR(__xludf.DUMMYFUNCTION("""COMPUTED_VALUE"""),"S")</f>
        <v>S</v>
      </c>
      <c r="G660" s="118">
        <f ca="1">IFERROR(__xludf.DUMMYFUNCTION("""COMPUTED_VALUE"""),3)</f>
        <v>3</v>
      </c>
      <c r="H660" s="118" t="str">
        <f ca="1">IFERROR(__xludf.DUMMYFUNCTION("""COMPUTED_VALUE"""),"G")</f>
        <v>G</v>
      </c>
      <c r="I660" s="118">
        <f ca="1">IFERROR(__xludf.DUMMYFUNCTION("""COMPUTED_VALUE"""),8)</f>
        <v>8</v>
      </c>
      <c r="J660" s="118">
        <f ca="1">IFERROR(__xludf.DUMMYFUNCTION("""COMPUTED_VALUE"""),2)</f>
        <v>2</v>
      </c>
      <c r="K660" s="120">
        <f ca="1">IFERROR(__xludf.DUMMYFUNCTION("""COMPUTED_VALUE"""),120.75)</f>
        <v>120.75</v>
      </c>
      <c r="L660" s="121"/>
      <c r="M660" s="120">
        <f ca="1">IFERROR(__xludf.DUMMYFUNCTION("""COMPUTED_VALUE"""),116.2)</f>
        <v>116.2</v>
      </c>
      <c r="N660" s="121"/>
      <c r="O660" s="120">
        <f ca="1">IFERROR(__xludf.DUMMYFUNCTION("""COMPUTED_VALUE"""),120.75)</f>
        <v>120.75</v>
      </c>
      <c r="P660" s="122"/>
      <c r="Q660" s="123" t="str">
        <f ca="1">IFERROR(__xludf.DUMMYFUNCTION("""COMPUTED_VALUE"""),"Mady McCormack")</f>
        <v>Mady McCormack</v>
      </c>
      <c r="R660" s="123" t="str">
        <f ca="1">IFERROR(__xludf.DUMMYFUNCTION("""COMPUTED_VALUE"""),"William Pickard")</f>
        <v>William Pickard</v>
      </c>
      <c r="S660" s="123" t="str">
        <f ca="1">IFERROR(__xludf.DUMMYFUNCTION("""COMPUTED_VALUE"""),"Julianna Bosco")</f>
        <v>Julianna Bosco</v>
      </c>
      <c r="T660" s="123" t="str">
        <f ca="1">IFERROR(__xludf.DUMMYFUNCTION("""COMPUTED_VALUE"""),"Nathaniel Grannis")</f>
        <v>Nathaniel Grannis</v>
      </c>
    </row>
    <row r="661" spans="1:20" ht="13.8">
      <c r="A661" s="118" t="str">
        <f ca="1">IFERROR(__xludf.DUMMYFUNCTION("""COMPUTED_VALUE"""),"G")</f>
        <v>G</v>
      </c>
      <c r="B661" s="119" t="str">
        <f ca="1">IFERROR(__xludf.DUMMYFUNCTION("""COMPUTED_VALUE"""),"Allie Farello")</f>
        <v>Allie Farello</v>
      </c>
      <c r="C661" s="118">
        <f ca="1">IFERROR(__xludf.DUMMYFUNCTION("""COMPUTED_VALUE"""),15)</f>
        <v>15</v>
      </c>
      <c r="D661" s="118" t="str">
        <f ca="1">IFERROR(__xludf.DUMMYFUNCTION("""COMPUTED_VALUE"""),"G")</f>
        <v>G</v>
      </c>
      <c r="E661" s="118" t="str">
        <f ca="1">IFERROR(__xludf.DUMMYFUNCTION("""COMPUTED_VALUE"""),"S")</f>
        <v>S</v>
      </c>
      <c r="F661" s="118" t="str">
        <f ca="1">IFERROR(__xludf.DUMMYFUNCTION("""COMPUTED_VALUE"""),"S")</f>
        <v>S</v>
      </c>
      <c r="G661" s="118">
        <f ca="1">IFERROR(__xludf.DUMMYFUNCTION("""COMPUTED_VALUE"""),3)</f>
        <v>3</v>
      </c>
      <c r="H661" s="118" t="str">
        <f ca="1">IFERROR(__xludf.DUMMYFUNCTION("""COMPUTED_VALUE"""),"G")</f>
        <v>G</v>
      </c>
      <c r="I661" s="118">
        <f ca="1">IFERROR(__xludf.DUMMYFUNCTION("""COMPUTED_VALUE"""),10)</f>
        <v>10</v>
      </c>
      <c r="J661" s="118">
        <f ca="1">IFERROR(__xludf.DUMMYFUNCTION("""COMPUTED_VALUE"""),5)</f>
        <v>5</v>
      </c>
      <c r="K661" s="120">
        <f ca="1">IFERROR(__xludf.DUMMYFUNCTION("""COMPUTED_VALUE"""),194.05)</f>
        <v>194.05</v>
      </c>
      <c r="L661" s="121"/>
      <c r="M661" s="120">
        <f ca="1">IFERROR(__xludf.DUMMYFUNCTION("""COMPUTED_VALUE"""),194.05)</f>
        <v>194.05</v>
      </c>
      <c r="N661" s="121"/>
      <c r="O661" s="120">
        <f ca="1">IFERROR(__xludf.DUMMYFUNCTION("""COMPUTED_VALUE"""),169.2)</f>
        <v>169.2</v>
      </c>
      <c r="P661" s="122"/>
      <c r="Q661" s="123" t="str">
        <f ca="1">IFERROR(__xludf.DUMMYFUNCTION("""COMPUTED_VALUE"""),"Mae Moriarty")</f>
        <v>Mae Moriarty</v>
      </c>
      <c r="R661" s="123" t="str">
        <f ca="1">IFERROR(__xludf.DUMMYFUNCTION("""COMPUTED_VALUE"""),"William Smith")</f>
        <v>William Smith</v>
      </c>
      <c r="S661" s="123" t="str">
        <f ca="1">IFERROR(__xludf.DUMMYFUNCTION("""COMPUTED_VALUE"""),"Julianna Butler")</f>
        <v>Julianna Butler</v>
      </c>
      <c r="T661" s="123" t="str">
        <f ca="1">IFERROR(__xludf.DUMMYFUNCTION("""COMPUTED_VALUE"""),"Nathaniel Zven")</f>
        <v>Nathaniel Zven</v>
      </c>
    </row>
    <row r="662" spans="1:20" ht="13.8">
      <c r="A662" s="118" t="str">
        <f ca="1">IFERROR(__xludf.DUMMYFUNCTION("""COMPUTED_VALUE"""),"G")</f>
        <v>G</v>
      </c>
      <c r="B662" s="119" t="str">
        <f ca="1">IFERROR(__xludf.DUMMYFUNCTION("""COMPUTED_VALUE"""),"Eliza Miller")</f>
        <v>Eliza Miller</v>
      </c>
      <c r="C662" s="118">
        <f ca="1">IFERROR(__xludf.DUMMYFUNCTION("""COMPUTED_VALUE"""),15)</f>
        <v>15</v>
      </c>
      <c r="D662" s="118" t="str">
        <f ca="1">IFERROR(__xludf.DUMMYFUNCTION("""COMPUTED_VALUE"""),"G")</f>
        <v>G</v>
      </c>
      <c r="E662" s="118" t="str">
        <f ca="1">IFERROR(__xludf.DUMMYFUNCTION("""COMPUTED_VALUE"""),"S")</f>
        <v>S</v>
      </c>
      <c r="F662" s="118" t="str">
        <f ca="1">IFERROR(__xludf.DUMMYFUNCTION("""COMPUTED_VALUE"""),"S")</f>
        <v>S</v>
      </c>
      <c r="G662" s="118">
        <f ca="1">IFERROR(__xludf.DUMMYFUNCTION("""COMPUTED_VALUE"""),3)</f>
        <v>3</v>
      </c>
      <c r="H662" s="118" t="str">
        <f ca="1">IFERROR(__xludf.DUMMYFUNCTION("""COMPUTED_VALUE"""),"G")</f>
        <v>G</v>
      </c>
      <c r="I662" s="118">
        <f ca="1">IFERROR(__xludf.DUMMYFUNCTION("""COMPUTED_VALUE"""),10)</f>
        <v>10</v>
      </c>
      <c r="J662" s="118">
        <f ca="1">IFERROR(__xludf.DUMMYFUNCTION("""COMPUTED_VALUE"""),3)</f>
        <v>3</v>
      </c>
      <c r="K662" s="120">
        <f ca="1">IFERROR(__xludf.DUMMYFUNCTION("""COMPUTED_VALUE"""),176.55)</f>
        <v>176.55</v>
      </c>
      <c r="L662" s="121"/>
      <c r="M662" s="120">
        <f ca="1">IFERROR(__xludf.DUMMYFUNCTION("""COMPUTED_VALUE"""),176.55)</f>
        <v>176.55</v>
      </c>
      <c r="N662" s="121"/>
      <c r="O662" s="120"/>
      <c r="P662" s="122"/>
      <c r="Q662" s="123" t="str">
        <f ca="1">IFERROR(__xludf.DUMMYFUNCTION("""COMPUTED_VALUE"""),"Maeve Cahill")</f>
        <v>Maeve Cahill</v>
      </c>
      <c r="R662" s="123" t="str">
        <f ca="1">IFERROR(__xludf.DUMMYFUNCTION("""COMPUTED_VALUE"""),"William Staren")</f>
        <v>William Staren</v>
      </c>
      <c r="S662" s="123" t="str">
        <f ca="1">IFERROR(__xludf.DUMMYFUNCTION("""COMPUTED_VALUE"""),"Julianne Sanders")</f>
        <v>Julianne Sanders</v>
      </c>
      <c r="T662" s="123" t="str">
        <f ca="1">IFERROR(__xludf.DUMMYFUNCTION("""COMPUTED_VALUE"""),"Naveen Saxena")</f>
        <v>Naveen Saxena</v>
      </c>
    </row>
    <row r="663" spans="1:20" ht="13.8">
      <c r="A663" s="118" t="str">
        <f ca="1">IFERROR(__xludf.DUMMYFUNCTION("""COMPUTED_VALUE"""),"G")</f>
        <v>G</v>
      </c>
      <c r="B663" s="119" t="str">
        <f ca="1">IFERROR(__xludf.DUMMYFUNCTION("""COMPUTED_VALUE"""),"Hazel Flynn")</f>
        <v>Hazel Flynn</v>
      </c>
      <c r="C663" s="118">
        <f ca="1">IFERROR(__xludf.DUMMYFUNCTION("""COMPUTED_VALUE"""),17)</f>
        <v>17</v>
      </c>
      <c r="D663" s="118" t="str">
        <f ca="1">IFERROR(__xludf.DUMMYFUNCTION("""COMPUTED_VALUE"""),"G")</f>
        <v>G</v>
      </c>
      <c r="E663" s="118" t="str">
        <f ca="1">IFERROR(__xludf.DUMMYFUNCTION("""COMPUTED_VALUE"""),"S")</f>
        <v>S</v>
      </c>
      <c r="F663" s="118" t="str">
        <f ca="1">IFERROR(__xludf.DUMMYFUNCTION("""COMPUTED_VALUE"""),"S")</f>
        <v>S</v>
      </c>
      <c r="G663" s="118">
        <f ca="1">IFERROR(__xludf.DUMMYFUNCTION("""COMPUTED_VALUE"""),3)</f>
        <v>3</v>
      </c>
      <c r="H663" s="118" t="str">
        <f ca="1">IFERROR(__xludf.DUMMYFUNCTION("""COMPUTED_VALUE"""),"G")</f>
        <v>G</v>
      </c>
      <c r="I663" s="118">
        <f ca="1">IFERROR(__xludf.DUMMYFUNCTION("""COMPUTED_VALUE"""),10)</f>
        <v>10</v>
      </c>
      <c r="J663" s="118">
        <f ca="1">IFERROR(__xludf.DUMMYFUNCTION("""COMPUTED_VALUE"""),4)</f>
        <v>4</v>
      </c>
      <c r="K663" s="120">
        <f ca="1">IFERROR(__xludf.DUMMYFUNCTION("""COMPUTED_VALUE"""),159.2)</f>
        <v>159.19999999999999</v>
      </c>
      <c r="L663" s="121"/>
      <c r="M663" s="120">
        <f ca="1">IFERROR(__xludf.DUMMYFUNCTION("""COMPUTED_VALUE"""),159.2)</f>
        <v>159.19999999999999</v>
      </c>
      <c r="N663" s="121"/>
      <c r="O663" s="120"/>
      <c r="P663" s="122"/>
      <c r="Q663" s="123" t="str">
        <f ca="1">IFERROR(__xludf.DUMMYFUNCTION("""COMPUTED_VALUE"""),"Maeve Tompkins")</f>
        <v>Maeve Tompkins</v>
      </c>
      <c r="R663" s="123" t="str">
        <f ca="1">IFERROR(__xludf.DUMMYFUNCTION("""COMPUTED_VALUE"""),"Wyatt Doak")</f>
        <v>Wyatt Doak</v>
      </c>
      <c r="S663" s="123" t="str">
        <f ca="1">IFERROR(__xludf.DUMMYFUNCTION("""COMPUTED_VALUE"""),"Julie Ahern")</f>
        <v>Julie Ahern</v>
      </c>
      <c r="T663" s="123" t="str">
        <f ca="1">IFERROR(__xludf.DUMMYFUNCTION("""COMPUTED_VALUE"""),"Neev Bhartiya")</f>
        <v>Neev Bhartiya</v>
      </c>
    </row>
    <row r="664" spans="1:20" ht="13.8">
      <c r="A664" s="118" t="str">
        <f ca="1">IFERROR(__xludf.DUMMYFUNCTION("""COMPUTED_VALUE"""),"G")</f>
        <v>G</v>
      </c>
      <c r="B664" s="119" t="str">
        <f ca="1">IFERROR(__xludf.DUMMYFUNCTION("""COMPUTED_VALUE"""),"Juliet Wells")</f>
        <v>Juliet Wells</v>
      </c>
      <c r="C664" s="118">
        <f ca="1">IFERROR(__xludf.DUMMYFUNCTION("""COMPUTED_VALUE"""),17)</f>
        <v>17</v>
      </c>
      <c r="D664" s="118" t="str">
        <f ca="1">IFERROR(__xludf.DUMMYFUNCTION("""COMPUTED_VALUE"""),"G")</f>
        <v>G</v>
      </c>
      <c r="E664" s="118" t="str">
        <f ca="1">IFERROR(__xludf.DUMMYFUNCTION("""COMPUTED_VALUE"""),"S")</f>
        <v>S</v>
      </c>
      <c r="F664" s="118" t="str">
        <f ca="1">IFERROR(__xludf.DUMMYFUNCTION("""COMPUTED_VALUE"""),"S")</f>
        <v>S</v>
      </c>
      <c r="G664" s="118">
        <f ca="1">IFERROR(__xludf.DUMMYFUNCTION("""COMPUTED_VALUE"""),3)</f>
        <v>3</v>
      </c>
      <c r="H664" s="118" t="str">
        <f ca="1">IFERROR(__xludf.DUMMYFUNCTION("""COMPUTED_VALUE"""),"G")</f>
        <v>G</v>
      </c>
      <c r="I664" s="118">
        <f ca="1">IFERROR(__xludf.DUMMYFUNCTION("""COMPUTED_VALUE"""),10)</f>
        <v>10</v>
      </c>
      <c r="J664" s="118">
        <f ca="1">IFERROR(__xludf.DUMMYFUNCTION("""COMPUTED_VALUE"""),3)</f>
        <v>3</v>
      </c>
      <c r="K664" s="120">
        <f ca="1">IFERROR(__xludf.DUMMYFUNCTION("""COMPUTED_VALUE"""),193.95)</f>
        <v>193.95</v>
      </c>
      <c r="L664" s="121"/>
      <c r="M664" s="120"/>
      <c r="N664" s="121"/>
      <c r="O664" s="120">
        <f ca="1">IFERROR(__xludf.DUMMYFUNCTION("""COMPUTED_VALUE"""),193.95)</f>
        <v>193.95</v>
      </c>
      <c r="P664" s="122"/>
      <c r="Q664" s="123" t="str">
        <f ca="1">IFERROR(__xludf.DUMMYFUNCTION("""COMPUTED_VALUE"""),"Maggie Cate")</f>
        <v>Maggie Cate</v>
      </c>
      <c r="R664" s="123" t="str">
        <f ca="1">IFERROR(__xludf.DUMMYFUNCTION("""COMPUTED_VALUE"""),"Wyatt Neighbors")</f>
        <v>Wyatt Neighbors</v>
      </c>
      <c r="S664" s="123" t="str">
        <f ca="1">IFERROR(__xludf.DUMMYFUNCTION("""COMPUTED_VALUE"""),"Julie Isaac")</f>
        <v>Julie Isaac</v>
      </c>
      <c r="T664" s="123" t="str">
        <f ca="1">IFERROR(__xludf.DUMMYFUNCTION("""COMPUTED_VALUE"""),"Niall McCarthy")</f>
        <v>Niall McCarthy</v>
      </c>
    </row>
    <row r="665" spans="1:20" ht="13.8">
      <c r="A665" s="118" t="str">
        <f ca="1">IFERROR(__xludf.DUMMYFUNCTION("""COMPUTED_VALUE"""),"G")</f>
        <v>G</v>
      </c>
      <c r="B665" s="119" t="str">
        <f ca="1">IFERROR(__xludf.DUMMYFUNCTION("""COMPUTED_VALUE"""),"Maria Miller")</f>
        <v>Maria Miller</v>
      </c>
      <c r="C665" s="118">
        <f ca="1">IFERROR(__xludf.DUMMYFUNCTION("""COMPUTED_VALUE"""),16)</f>
        <v>16</v>
      </c>
      <c r="D665" s="118" t="str">
        <f ca="1">IFERROR(__xludf.DUMMYFUNCTION("""COMPUTED_VALUE"""),"G")</f>
        <v>G</v>
      </c>
      <c r="E665" s="118" t="str">
        <f ca="1">IFERROR(__xludf.DUMMYFUNCTION("""COMPUTED_VALUE"""),"S")</f>
        <v>S</v>
      </c>
      <c r="F665" s="118" t="str">
        <f ca="1">IFERROR(__xludf.DUMMYFUNCTION("""COMPUTED_VALUE"""),"S")</f>
        <v>S</v>
      </c>
      <c r="G665" s="118">
        <f ca="1">IFERROR(__xludf.DUMMYFUNCTION("""COMPUTED_VALUE"""),3)</f>
        <v>3</v>
      </c>
      <c r="H665" s="118" t="str">
        <f ca="1">IFERROR(__xludf.DUMMYFUNCTION("""COMPUTED_VALUE"""),"G")</f>
        <v>G</v>
      </c>
      <c r="I665" s="118">
        <f ca="1">IFERROR(__xludf.DUMMYFUNCTION("""COMPUTED_VALUE"""),10)</f>
        <v>10</v>
      </c>
      <c r="J665" s="118">
        <f ca="1">IFERROR(__xludf.DUMMYFUNCTION("""COMPUTED_VALUE"""),5)</f>
        <v>5</v>
      </c>
      <c r="K665" s="120">
        <f ca="1">IFERROR(__xludf.DUMMYFUNCTION("""COMPUTED_VALUE"""),168.6)</f>
        <v>168.6</v>
      </c>
      <c r="L665" s="121"/>
      <c r="M665" s="120">
        <f ca="1">IFERROR(__xludf.DUMMYFUNCTION("""COMPUTED_VALUE"""),168.6)</f>
        <v>168.6</v>
      </c>
      <c r="N665" s="121"/>
      <c r="O665" s="120">
        <f ca="1">IFERROR(__xludf.DUMMYFUNCTION("""COMPUTED_VALUE"""),130.1)</f>
        <v>130.1</v>
      </c>
      <c r="P665" s="122"/>
      <c r="Q665" s="123" t="str">
        <f ca="1">IFERROR(__xludf.DUMMYFUNCTION("""COMPUTED_VALUE"""),"Maggie Gulotta")</f>
        <v>Maggie Gulotta</v>
      </c>
      <c r="R665" s="123" t="str">
        <f ca="1">IFERROR(__xludf.DUMMYFUNCTION("""COMPUTED_VALUE"""),"Wystan Kyser")</f>
        <v>Wystan Kyser</v>
      </c>
      <c r="S665" s="123" t="str">
        <f ca="1">IFERROR(__xludf.DUMMYFUNCTION("""COMPUTED_VALUE"""),"Julieanne Carle")</f>
        <v>Julieanne Carle</v>
      </c>
      <c r="T665" s="123" t="str">
        <f ca="1">IFERROR(__xludf.DUMMYFUNCTION("""COMPUTED_VALUE"""),"Nicholas Beier")</f>
        <v>Nicholas Beier</v>
      </c>
    </row>
    <row r="666" spans="1:20" ht="13.8">
      <c r="A666" s="118" t="str">
        <f ca="1">IFERROR(__xludf.DUMMYFUNCTION("""COMPUTED_VALUE"""),"G")</f>
        <v>G</v>
      </c>
      <c r="B666" s="119" t="str">
        <f ca="1">IFERROR(__xludf.DUMMYFUNCTION("""COMPUTED_VALUE"""),"Meghan Henderson")</f>
        <v>Meghan Henderson</v>
      </c>
      <c r="C666" s="118">
        <f ca="1">IFERROR(__xludf.DUMMYFUNCTION("""COMPUTED_VALUE"""),18)</f>
        <v>18</v>
      </c>
      <c r="D666" s="118" t="str">
        <f ca="1">IFERROR(__xludf.DUMMYFUNCTION("""COMPUTED_VALUE"""),"G")</f>
        <v>G</v>
      </c>
      <c r="E666" s="118" t="str">
        <f ca="1">IFERROR(__xludf.DUMMYFUNCTION("""COMPUTED_VALUE"""),"S")</f>
        <v>S</v>
      </c>
      <c r="F666" s="118" t="str">
        <f ca="1">IFERROR(__xludf.DUMMYFUNCTION("""COMPUTED_VALUE"""),"S")</f>
        <v>S</v>
      </c>
      <c r="G666" s="118">
        <f ca="1">IFERROR(__xludf.DUMMYFUNCTION("""COMPUTED_VALUE"""),3)</f>
        <v>3</v>
      </c>
      <c r="H666" s="118" t="str">
        <f ca="1">IFERROR(__xludf.DUMMYFUNCTION("""COMPUTED_VALUE"""),"G")</f>
        <v>G</v>
      </c>
      <c r="I666" s="118">
        <f ca="1">IFERROR(__xludf.DUMMYFUNCTION("""COMPUTED_VALUE"""),10)</f>
        <v>10</v>
      </c>
      <c r="J666" s="118">
        <f ca="1">IFERROR(__xludf.DUMMYFUNCTION("""COMPUTED_VALUE"""),2)</f>
        <v>2</v>
      </c>
      <c r="K666" s="120">
        <f ca="1">IFERROR(__xludf.DUMMYFUNCTION("""COMPUTED_VALUE"""),155.3)</f>
        <v>155.30000000000001</v>
      </c>
      <c r="L666" s="121"/>
      <c r="M666" s="120"/>
      <c r="N666" s="121"/>
      <c r="O666" s="120"/>
      <c r="P666" s="122"/>
      <c r="Q666" s="123" t="str">
        <f ca="1">IFERROR(__xludf.DUMMYFUNCTION("""COMPUTED_VALUE"""),"Maggie Navarro")</f>
        <v>Maggie Navarro</v>
      </c>
      <c r="R666" s="123" t="str">
        <f ca="1">IFERROR(__xludf.DUMMYFUNCTION("""COMPUTED_VALUE"""),"Xavier Zelle James")</f>
        <v>Xavier Zelle James</v>
      </c>
      <c r="S666" s="123" t="str">
        <f ca="1">IFERROR(__xludf.DUMMYFUNCTION("""COMPUTED_VALUE"""),"Juliet Clinger")</f>
        <v>Juliet Clinger</v>
      </c>
      <c r="T666" s="123" t="str">
        <f ca="1">IFERROR(__xludf.DUMMYFUNCTION("""COMPUTED_VALUE"""),"Nicholas Jemkins")</f>
        <v>Nicholas Jemkins</v>
      </c>
    </row>
    <row r="667" spans="1:20" ht="13.8">
      <c r="A667" s="118" t="str">
        <f ca="1">IFERROR(__xludf.DUMMYFUNCTION("""COMPUTED_VALUE"""),"G")</f>
        <v>G</v>
      </c>
      <c r="B667" s="119" t="str">
        <f ca="1">IFERROR(__xludf.DUMMYFUNCTION("""COMPUTED_VALUE"""),"Rowan Threadgill")</f>
        <v>Rowan Threadgill</v>
      </c>
      <c r="C667" s="118">
        <f ca="1">IFERROR(__xludf.DUMMYFUNCTION("""COMPUTED_VALUE"""),15)</f>
        <v>15</v>
      </c>
      <c r="D667" s="118" t="str">
        <f ca="1">IFERROR(__xludf.DUMMYFUNCTION("""COMPUTED_VALUE"""),"G")</f>
        <v>G</v>
      </c>
      <c r="E667" s="118" t="str">
        <f ca="1">IFERROR(__xludf.DUMMYFUNCTION("""COMPUTED_VALUE"""),"S")</f>
        <v>S</v>
      </c>
      <c r="F667" s="118" t="str">
        <f ca="1">IFERROR(__xludf.DUMMYFUNCTION("""COMPUTED_VALUE"""),"S")</f>
        <v>S</v>
      </c>
      <c r="G667" s="118">
        <f ca="1">IFERROR(__xludf.DUMMYFUNCTION("""COMPUTED_VALUE"""),3)</f>
        <v>3</v>
      </c>
      <c r="H667" s="118" t="str">
        <f ca="1">IFERROR(__xludf.DUMMYFUNCTION("""COMPUTED_VALUE"""),"G")</f>
        <v>G</v>
      </c>
      <c r="I667" s="118">
        <f ca="1">IFERROR(__xludf.DUMMYFUNCTION("""COMPUTED_VALUE"""),10)</f>
        <v>10</v>
      </c>
      <c r="J667" s="118">
        <f ca="1">IFERROR(__xludf.DUMMYFUNCTION("""COMPUTED_VALUE"""),5)</f>
        <v>5</v>
      </c>
      <c r="K667" s="120">
        <f ca="1">IFERROR(__xludf.DUMMYFUNCTION("""COMPUTED_VALUE"""),234.05)</f>
        <v>234.05</v>
      </c>
      <c r="L667" s="121"/>
      <c r="M667" s="120">
        <f ca="1">IFERROR(__xludf.DUMMYFUNCTION("""COMPUTED_VALUE"""),234.05)</f>
        <v>234.05</v>
      </c>
      <c r="N667" s="121"/>
      <c r="O667" s="120">
        <f ca="1">IFERROR(__xludf.DUMMYFUNCTION("""COMPUTED_VALUE"""),219.75)</f>
        <v>219.75</v>
      </c>
      <c r="P667" s="122"/>
      <c r="Q667" s="123" t="str">
        <f ca="1">IFERROR(__xludf.DUMMYFUNCTION("""COMPUTED_VALUE"""),"Maggie Steffen")</f>
        <v>Maggie Steffen</v>
      </c>
      <c r="R667" s="123" t="str">
        <f ca="1">IFERROR(__xludf.DUMMYFUNCTION("""COMPUTED_VALUE"""),"Yousef Chawki")</f>
        <v>Yousef Chawki</v>
      </c>
      <c r="S667" s="123" t="str">
        <f ca="1">IFERROR(__xludf.DUMMYFUNCTION("""COMPUTED_VALUE"""),"Juliet Wells")</f>
        <v>Juliet Wells</v>
      </c>
      <c r="T667" s="123" t="str">
        <f ca="1">IFERROR(__xludf.DUMMYFUNCTION("""COMPUTED_VALUE"""),"Nicholas Petruccelli")</f>
        <v>Nicholas Petruccelli</v>
      </c>
    </row>
    <row r="668" spans="1:20" ht="13.8">
      <c r="A668" s="118" t="str">
        <f ca="1">IFERROR(__xludf.DUMMYFUNCTION("""COMPUTED_VALUE"""),"G")</f>
        <v>G</v>
      </c>
      <c r="B668" s="119" t="str">
        <f ca="1">IFERROR(__xludf.DUMMYFUNCTION("""COMPUTED_VALUE"""),"Kai Threadgill")</f>
        <v>Kai Threadgill</v>
      </c>
      <c r="C668" s="118">
        <f ca="1">IFERROR(__xludf.DUMMYFUNCTION("""COMPUTED_VALUE"""),18)</f>
        <v>18</v>
      </c>
      <c r="D668" s="118" t="str">
        <f ca="1">IFERROR(__xludf.DUMMYFUNCTION("""COMPUTED_VALUE"""),"B")</f>
        <v>B</v>
      </c>
      <c r="E668" s="118" t="str">
        <f ca="1">IFERROR(__xludf.DUMMYFUNCTION("""COMPUTED_VALUE"""),"S")</f>
        <v>S</v>
      </c>
      <c r="F668" s="118" t="str">
        <f ca="1">IFERROR(__xludf.DUMMYFUNCTION("""COMPUTED_VALUE"""),"S")</f>
        <v>S</v>
      </c>
      <c r="G668" s="118">
        <f ca="1">IFERROR(__xludf.DUMMYFUNCTION("""COMPUTED_VALUE"""),3)</f>
        <v>3</v>
      </c>
      <c r="H668" s="118" t="str">
        <f ca="1">IFERROR(__xludf.DUMMYFUNCTION("""COMPUTED_VALUE"""),"G")</f>
        <v>G</v>
      </c>
      <c r="I668" s="118">
        <f ca="1">IFERROR(__xludf.DUMMYFUNCTION("""COMPUTED_VALUE"""),11)</f>
        <v>11</v>
      </c>
      <c r="J668" s="118">
        <f ca="1">IFERROR(__xludf.DUMMYFUNCTION("""COMPUTED_VALUE"""),3)</f>
        <v>3</v>
      </c>
      <c r="K668" s="120">
        <f ca="1">IFERROR(__xludf.DUMMYFUNCTION("""COMPUTED_VALUE"""),150.8)</f>
        <v>150.80000000000001</v>
      </c>
      <c r="L668" s="121"/>
      <c r="M668" s="120"/>
      <c r="N668" s="121"/>
      <c r="O668" s="120"/>
      <c r="P668" s="122"/>
      <c r="Q668" s="123" t="str">
        <f ca="1">IFERROR(__xludf.DUMMYFUNCTION("""COMPUTED_VALUE"""),"Maggie Wahl")</f>
        <v>Maggie Wahl</v>
      </c>
      <c r="R668" s="123" t="str">
        <f ca="1">IFERROR(__xludf.DUMMYFUNCTION("""COMPUTED_VALUE"""),"Yusef Suqi")</f>
        <v>Yusef Suqi</v>
      </c>
      <c r="S668" s="123" t="str">
        <f ca="1">IFERROR(__xludf.DUMMYFUNCTION("""COMPUTED_VALUE"""),"Julieta Iguina Espinoza")</f>
        <v>Julieta Iguina Espinoza</v>
      </c>
      <c r="T668" s="123" t="str">
        <f ca="1">IFERROR(__xludf.DUMMYFUNCTION("""COMPUTED_VALUE"""),"Nicholas Richardson")</f>
        <v>Nicholas Richardson</v>
      </c>
    </row>
    <row r="669" spans="1:20" ht="13.8">
      <c r="A669" s="118" t="str">
        <f ca="1">IFERROR(__xludf.DUMMYFUNCTION("""COMPUTED_VALUE"""),"G")</f>
        <v>G</v>
      </c>
      <c r="B669" s="119" t="str">
        <f ca="1">IFERROR(__xludf.DUMMYFUNCTION("""COMPUTED_VALUE"""),"Mason Waterfield")</f>
        <v>Mason Waterfield</v>
      </c>
      <c r="C669" s="118">
        <f ca="1">IFERROR(__xludf.DUMMYFUNCTION("""COMPUTED_VALUE"""),16)</f>
        <v>16</v>
      </c>
      <c r="D669" s="118" t="str">
        <f ca="1">IFERROR(__xludf.DUMMYFUNCTION("""COMPUTED_VALUE"""),"B")</f>
        <v>B</v>
      </c>
      <c r="E669" s="118" t="str">
        <f ca="1">IFERROR(__xludf.DUMMYFUNCTION("""COMPUTED_VALUE"""),"S")</f>
        <v>S</v>
      </c>
      <c r="F669" s="118" t="str">
        <f ca="1">IFERROR(__xludf.DUMMYFUNCTION("""COMPUTED_VALUE"""),"S")</f>
        <v>S</v>
      </c>
      <c r="G669" s="118">
        <f ca="1">IFERROR(__xludf.DUMMYFUNCTION("""COMPUTED_VALUE"""),3)</f>
        <v>3</v>
      </c>
      <c r="H669" s="118" t="str">
        <f ca="1">IFERROR(__xludf.DUMMYFUNCTION("""COMPUTED_VALUE"""),"G")</f>
        <v>G</v>
      </c>
      <c r="I669" s="118">
        <f ca="1">IFERROR(__xludf.DUMMYFUNCTION("""COMPUTED_VALUE"""),11)</f>
        <v>11</v>
      </c>
      <c r="J669" s="118">
        <f ca="1">IFERROR(__xludf.DUMMYFUNCTION("""COMPUTED_VALUE"""),4)</f>
        <v>4</v>
      </c>
      <c r="K669" s="120">
        <f ca="1">IFERROR(__xludf.DUMMYFUNCTION("""COMPUTED_VALUE"""),181.75)</f>
        <v>181.75</v>
      </c>
      <c r="L669" s="121"/>
      <c r="M669" s="120"/>
      <c r="N669" s="121"/>
      <c r="O669" s="120">
        <f ca="1">IFERROR(__xludf.DUMMYFUNCTION("""COMPUTED_VALUE"""),171.25)</f>
        <v>171.25</v>
      </c>
      <c r="P669" s="122"/>
      <c r="Q669" s="123" t="str">
        <f ca="1">IFERROR(__xludf.DUMMYFUNCTION("""COMPUTED_VALUE"""),"Magnolia Kojm")</f>
        <v>Magnolia Kojm</v>
      </c>
      <c r="R669" s="123" t="str">
        <f ca="1">IFERROR(__xludf.DUMMYFUNCTION("""COMPUTED_VALUE"""),"Zach Ervin")</f>
        <v>Zach Ervin</v>
      </c>
      <c r="S669" s="123" t="str">
        <f ca="1">IFERROR(__xludf.DUMMYFUNCTION("""COMPUTED_VALUE"""),"Juliette Campagna")</f>
        <v>Juliette Campagna</v>
      </c>
      <c r="T669" s="123" t="str">
        <f ca="1">IFERROR(__xludf.DUMMYFUNCTION("""COMPUTED_VALUE"""),"Nick Montgomery")</f>
        <v>Nick Montgomery</v>
      </c>
    </row>
    <row r="670" spans="1:20" ht="13.8">
      <c r="A670" s="118" t="str">
        <f ca="1">IFERROR(__xludf.DUMMYFUNCTION("""COMPUTED_VALUE"""),"G")</f>
        <v>G</v>
      </c>
      <c r="B670" s="119" t="str">
        <f ca="1">IFERROR(__xludf.DUMMYFUNCTION("""COMPUTED_VALUE"""),"Paxton Martinez")</f>
        <v>Paxton Martinez</v>
      </c>
      <c r="C670" s="118">
        <f ca="1">IFERROR(__xludf.DUMMYFUNCTION("""COMPUTED_VALUE"""),17)</f>
        <v>17</v>
      </c>
      <c r="D670" s="118" t="str">
        <f ca="1">IFERROR(__xludf.DUMMYFUNCTION("""COMPUTED_VALUE"""),"B")</f>
        <v>B</v>
      </c>
      <c r="E670" s="118" t="str">
        <f ca="1">IFERROR(__xludf.DUMMYFUNCTION("""COMPUTED_VALUE"""),"S")</f>
        <v>S</v>
      </c>
      <c r="F670" s="118" t="str">
        <f ca="1">IFERROR(__xludf.DUMMYFUNCTION("""COMPUTED_VALUE"""),"S")</f>
        <v>S</v>
      </c>
      <c r="G670" s="118">
        <f ca="1">IFERROR(__xludf.DUMMYFUNCTION("""COMPUTED_VALUE"""),3)</f>
        <v>3</v>
      </c>
      <c r="H670" s="118" t="str">
        <f ca="1">IFERROR(__xludf.DUMMYFUNCTION("""COMPUTED_VALUE"""),"G")</f>
        <v>G</v>
      </c>
      <c r="I670" s="118">
        <f ca="1">IFERROR(__xludf.DUMMYFUNCTION("""COMPUTED_VALUE"""),11)</f>
        <v>11</v>
      </c>
      <c r="J670" s="118">
        <f ca="1">IFERROR(__xludf.DUMMYFUNCTION("""COMPUTED_VALUE"""),5)</f>
        <v>5</v>
      </c>
      <c r="K670" s="120">
        <f ca="1">IFERROR(__xludf.DUMMYFUNCTION("""COMPUTED_VALUE"""),281.65)</f>
        <v>281.64999999999998</v>
      </c>
      <c r="L670" s="121"/>
      <c r="M670" s="120">
        <f ca="1">IFERROR(__xludf.DUMMYFUNCTION("""COMPUTED_VALUE"""),281.65)</f>
        <v>281.64999999999998</v>
      </c>
      <c r="N670" s="121"/>
      <c r="O670" s="120">
        <f ca="1">IFERROR(__xludf.DUMMYFUNCTION("""COMPUTED_VALUE"""),229.55)</f>
        <v>229.55</v>
      </c>
      <c r="P670" s="122"/>
      <c r="Q670" s="123" t="str">
        <f ca="1">IFERROR(__xludf.DUMMYFUNCTION("""COMPUTED_VALUE"""),"Makayla Barnes")</f>
        <v>Makayla Barnes</v>
      </c>
      <c r="R670" s="123" t="str">
        <f ca="1">IFERROR(__xludf.DUMMYFUNCTION("""COMPUTED_VALUE"""),"Zach Lesser")</f>
        <v>Zach Lesser</v>
      </c>
      <c r="S670" s="123" t="str">
        <f ca="1">IFERROR(__xludf.DUMMYFUNCTION("""COMPUTED_VALUE"""),"Juliette Walsh")</f>
        <v>Juliette Walsh</v>
      </c>
      <c r="T670" s="123" t="str">
        <f ca="1">IFERROR(__xludf.DUMMYFUNCTION("""COMPUTED_VALUE"""),"Nick Tressler")</f>
        <v>Nick Tressler</v>
      </c>
    </row>
    <row r="671" spans="1:20" ht="13.8">
      <c r="A671" s="118" t="str">
        <f ca="1">IFERROR(__xludf.DUMMYFUNCTION("""COMPUTED_VALUE"""),"GF")</f>
        <v>GF</v>
      </c>
      <c r="B671" s="119" t="str">
        <f ca="1">IFERROR(__xludf.DUMMYFUNCTION("""COMPUTED_VALUE"""),"Abby Bockman")</f>
        <v>Abby Bockman</v>
      </c>
      <c r="C671" s="118">
        <f ca="1">IFERROR(__xludf.DUMMYFUNCTION("""COMPUTED_VALUE"""),9)</f>
        <v>9</v>
      </c>
      <c r="D671" s="118" t="str">
        <f ca="1">IFERROR(__xludf.DUMMYFUNCTION("""COMPUTED_VALUE"""),"G")</f>
        <v>G</v>
      </c>
      <c r="E671" s="118" t="str">
        <f ca="1">IFERROR(__xludf.DUMMYFUNCTION("""COMPUTED_VALUE"""),"F")</f>
        <v>F</v>
      </c>
      <c r="F671" s="118" t="str">
        <f ca="1">IFERROR(__xludf.DUMMYFUNCTION("""COMPUTED_VALUE"""),"J")</f>
        <v>J</v>
      </c>
      <c r="G671" s="118">
        <f ca="1">IFERROR(__xludf.DUMMYFUNCTION("""COMPUTED_VALUE"""),4)</f>
        <v>4</v>
      </c>
      <c r="H671" s="118" t="str">
        <f ca="1">IFERROR(__xludf.DUMMYFUNCTION("""COMPUTED_VALUE"""),"GF")</f>
        <v>GF</v>
      </c>
      <c r="I671" s="118">
        <f ca="1">IFERROR(__xludf.DUMMYFUNCTION("""COMPUTED_VALUE"""),4)</f>
        <v>4</v>
      </c>
      <c r="J671" s="118">
        <f ca="1">IFERROR(__xludf.DUMMYFUNCTION("""COMPUTED_VALUE"""),4)</f>
        <v>4</v>
      </c>
      <c r="K671" s="120">
        <f ca="1">IFERROR(__xludf.DUMMYFUNCTION("""COMPUTED_VALUE"""),35.85)</f>
        <v>35.85</v>
      </c>
      <c r="L671" s="121"/>
      <c r="M671" s="120"/>
      <c r="N671" s="121"/>
      <c r="O671" s="120">
        <f ca="1">IFERROR(__xludf.DUMMYFUNCTION("""COMPUTED_VALUE"""),23.65)</f>
        <v>23.65</v>
      </c>
      <c r="P671" s="122"/>
      <c r="Q671" s="123" t="str">
        <f ca="1">IFERROR(__xludf.DUMMYFUNCTION("""COMPUTED_VALUE"""),"Makenzie Case")</f>
        <v>Makenzie Case</v>
      </c>
      <c r="R671" s="123" t="str">
        <f ca="1">IFERROR(__xludf.DUMMYFUNCTION("""COMPUTED_VALUE"""),"Zach Lum")</f>
        <v>Zach Lum</v>
      </c>
      <c r="S671" s="123" t="str">
        <f ca="1">IFERROR(__xludf.DUMMYFUNCTION("""COMPUTED_VALUE"""),"June Benson")</f>
        <v>June Benson</v>
      </c>
      <c r="T671" s="123" t="str">
        <f ca="1">IFERROR(__xludf.DUMMYFUNCTION("""COMPUTED_VALUE"""),"Nick Wanzer")</f>
        <v>Nick Wanzer</v>
      </c>
    </row>
    <row r="672" spans="1:20" ht="13.8">
      <c r="A672" s="118" t="str">
        <f ca="1">IFERROR(__xludf.DUMMYFUNCTION("""COMPUTED_VALUE"""),"GF")</f>
        <v>GF</v>
      </c>
      <c r="B672" s="119" t="str">
        <f ca="1">IFERROR(__xludf.DUMMYFUNCTION("""COMPUTED_VALUE"""),"Annie Baker")</f>
        <v>Annie Baker</v>
      </c>
      <c r="C672" s="118">
        <f ca="1">IFERROR(__xludf.DUMMYFUNCTION("""COMPUTED_VALUE"""),10)</f>
        <v>10</v>
      </c>
      <c r="D672" s="118" t="str">
        <f ca="1">IFERROR(__xludf.DUMMYFUNCTION("""COMPUTED_VALUE"""),"G")</f>
        <v>G</v>
      </c>
      <c r="E672" s="118" t="str">
        <f ca="1">IFERROR(__xludf.DUMMYFUNCTION("""COMPUTED_VALUE"""),"F")</f>
        <v>F</v>
      </c>
      <c r="F672" s="118" t="str">
        <f ca="1">IFERROR(__xludf.DUMMYFUNCTION("""COMPUTED_VALUE"""),"J")</f>
        <v>J</v>
      </c>
      <c r="G672" s="118">
        <f ca="1">IFERROR(__xludf.DUMMYFUNCTION("""COMPUTED_VALUE"""),4)</f>
        <v>4</v>
      </c>
      <c r="H672" s="118" t="str">
        <f ca="1">IFERROR(__xludf.DUMMYFUNCTION("""COMPUTED_VALUE"""),"GF")</f>
        <v>GF</v>
      </c>
      <c r="I672" s="118">
        <f ca="1">IFERROR(__xludf.DUMMYFUNCTION("""COMPUTED_VALUE"""),4)</f>
        <v>4</v>
      </c>
      <c r="J672" s="118">
        <f ca="1">IFERROR(__xludf.DUMMYFUNCTION("""COMPUTED_VALUE"""),3)</f>
        <v>3</v>
      </c>
      <c r="K672" s="120">
        <f ca="1">IFERROR(__xludf.DUMMYFUNCTION("""COMPUTED_VALUE"""),32.35)</f>
        <v>32.35</v>
      </c>
      <c r="L672" s="121"/>
      <c r="M672" s="120">
        <f ca="1">IFERROR(__xludf.DUMMYFUNCTION("""COMPUTED_VALUE"""),32.35)</f>
        <v>32.35</v>
      </c>
      <c r="N672" s="121"/>
      <c r="O672" s="120"/>
      <c r="P672" s="122"/>
      <c r="Q672" s="123" t="str">
        <f ca="1">IFERROR(__xludf.DUMMYFUNCTION("""COMPUTED_VALUE"""),"Mallory Brown")</f>
        <v>Mallory Brown</v>
      </c>
      <c r="R672" s="123" t="str">
        <f ca="1">IFERROR(__xludf.DUMMYFUNCTION("""COMPUTED_VALUE"""),"Zach Mathieson")</f>
        <v>Zach Mathieson</v>
      </c>
      <c r="S672" s="123" t="str">
        <f ca="1">IFERROR(__xludf.DUMMYFUNCTION("""COMPUTED_VALUE"""),"June Tuss")</f>
        <v>June Tuss</v>
      </c>
      <c r="T672" s="123" t="str">
        <f ca="1">IFERROR(__xludf.DUMMYFUNCTION("""COMPUTED_VALUE"""),"Nico Rodriguez")</f>
        <v>Nico Rodriguez</v>
      </c>
    </row>
    <row r="673" spans="1:20" ht="13.8">
      <c r="A673" s="118" t="str">
        <f ca="1">IFERROR(__xludf.DUMMYFUNCTION("""COMPUTED_VALUE"""),"GF")</f>
        <v>GF</v>
      </c>
      <c r="B673" s="119" t="str">
        <f ca="1">IFERROR(__xludf.DUMMYFUNCTION("""COMPUTED_VALUE"""),"Cecilia Sanders")</f>
        <v>Cecilia Sanders</v>
      </c>
      <c r="C673" s="118">
        <f ca="1">IFERROR(__xludf.DUMMYFUNCTION("""COMPUTED_VALUE"""),9)</f>
        <v>9</v>
      </c>
      <c r="D673" s="118" t="str">
        <f ca="1">IFERROR(__xludf.DUMMYFUNCTION("""COMPUTED_VALUE"""),"G")</f>
        <v>G</v>
      </c>
      <c r="E673" s="118" t="str">
        <f ca="1">IFERROR(__xludf.DUMMYFUNCTION("""COMPUTED_VALUE"""),"F")</f>
        <v>F</v>
      </c>
      <c r="F673" s="118" t="str">
        <f ca="1">IFERROR(__xludf.DUMMYFUNCTION("""COMPUTED_VALUE"""),"J")</f>
        <v>J</v>
      </c>
      <c r="G673" s="118">
        <f ca="1">IFERROR(__xludf.DUMMYFUNCTION("""COMPUTED_VALUE"""),4)</f>
        <v>4</v>
      </c>
      <c r="H673" s="118" t="str">
        <f ca="1">IFERROR(__xludf.DUMMYFUNCTION("""COMPUTED_VALUE"""),"GF")</f>
        <v>GF</v>
      </c>
      <c r="I673" s="118">
        <f ca="1">IFERROR(__xludf.DUMMYFUNCTION("""COMPUTED_VALUE"""),4)</f>
        <v>4</v>
      </c>
      <c r="J673" s="118">
        <f ca="1">IFERROR(__xludf.DUMMYFUNCTION("""COMPUTED_VALUE"""),5)</f>
        <v>5</v>
      </c>
      <c r="K673" s="120">
        <f ca="1">IFERROR(__xludf.DUMMYFUNCTION("""COMPUTED_VALUE"""),45.3)</f>
        <v>45.3</v>
      </c>
      <c r="L673" s="121"/>
      <c r="M673" s="120">
        <f ca="1">IFERROR(__xludf.DUMMYFUNCTION("""COMPUTED_VALUE"""),32.25)</f>
        <v>32.25</v>
      </c>
      <c r="N673" s="121"/>
      <c r="O673" s="120">
        <f ca="1">IFERROR(__xludf.DUMMYFUNCTION("""COMPUTED_VALUE"""),44.3)</f>
        <v>44.3</v>
      </c>
      <c r="P673" s="122"/>
      <c r="Q673" s="123" t="str">
        <f ca="1">IFERROR(__xludf.DUMMYFUNCTION("""COMPUTED_VALUE"""),"Mallory Coute")</f>
        <v>Mallory Coute</v>
      </c>
      <c r="R673" s="123" t="str">
        <f ca="1">IFERROR(__xludf.DUMMYFUNCTION("""COMPUTED_VALUE"""),"Zach Scherer")</f>
        <v>Zach Scherer</v>
      </c>
      <c r="S673" s="123" t="str">
        <f ca="1">IFERROR(__xludf.DUMMYFUNCTION("""COMPUTED_VALUE"""),"Kacey Duke")</f>
        <v>Kacey Duke</v>
      </c>
      <c r="T673" s="123" t="str">
        <f ca="1">IFERROR(__xludf.DUMMYFUNCTION("""COMPUTED_VALUE"""),"Nicolas Turcot")</f>
        <v>Nicolas Turcot</v>
      </c>
    </row>
    <row r="674" spans="1:20" ht="13.8">
      <c r="A674" s="118" t="str">
        <f ca="1">IFERROR(__xludf.DUMMYFUNCTION("""COMPUTED_VALUE"""),"GF")</f>
        <v>GF</v>
      </c>
      <c r="B674" s="119" t="str">
        <f ca="1">IFERROR(__xludf.DUMMYFUNCTION("""COMPUTED_VALUE"""),"Charlotte Gilstrap")</f>
        <v>Charlotte Gilstrap</v>
      </c>
      <c r="C674" s="118">
        <f ca="1">IFERROR(__xludf.DUMMYFUNCTION("""COMPUTED_VALUE"""),5)</f>
        <v>5</v>
      </c>
      <c r="D674" s="118" t="str">
        <f ca="1">IFERROR(__xludf.DUMMYFUNCTION("""COMPUTED_VALUE"""),"G")</f>
        <v>G</v>
      </c>
      <c r="E674" s="118" t="str">
        <f ca="1">IFERROR(__xludf.DUMMYFUNCTION("""COMPUTED_VALUE"""),"F")</f>
        <v>F</v>
      </c>
      <c r="F674" s="118" t="str">
        <f ca="1">IFERROR(__xludf.DUMMYFUNCTION("""COMPUTED_VALUE"""),"J")</f>
        <v>J</v>
      </c>
      <c r="G674" s="118">
        <f ca="1">IFERROR(__xludf.DUMMYFUNCTION("""COMPUTED_VALUE"""),4)</f>
        <v>4</v>
      </c>
      <c r="H674" s="118" t="str">
        <f ca="1">IFERROR(__xludf.DUMMYFUNCTION("""COMPUTED_VALUE"""),"GF")</f>
        <v>GF</v>
      </c>
      <c r="I674" s="118">
        <f ca="1">IFERROR(__xludf.DUMMYFUNCTION("""COMPUTED_VALUE"""),4)</f>
        <v>4</v>
      </c>
      <c r="J674" s="118">
        <f ca="1">IFERROR(__xludf.DUMMYFUNCTION("""COMPUTED_VALUE"""),1)</f>
        <v>1</v>
      </c>
      <c r="K674" s="120">
        <f ca="1">IFERROR(__xludf.DUMMYFUNCTION("""COMPUTED_VALUE"""),23.2)</f>
        <v>23.2</v>
      </c>
      <c r="L674" s="121"/>
      <c r="M674" s="120"/>
      <c r="N674" s="121"/>
      <c r="O674" s="120"/>
      <c r="P674" s="122"/>
      <c r="Q674" s="123" t="str">
        <f ca="1">IFERROR(__xludf.DUMMYFUNCTION("""COMPUTED_VALUE"""),"Mara Albro")</f>
        <v>Mara Albro</v>
      </c>
      <c r="R674" s="123" t="str">
        <f ca="1">IFERROR(__xludf.DUMMYFUNCTION("""COMPUTED_VALUE"""),"Zachary Yen")</f>
        <v>Zachary Yen</v>
      </c>
      <c r="S674" s="123" t="str">
        <f ca="1">IFERROR(__xludf.DUMMYFUNCTION("""COMPUTED_VALUE"""),"Kaelyn Farrelly")</f>
        <v>Kaelyn Farrelly</v>
      </c>
      <c r="T674" s="123" t="str">
        <f ca="1">IFERROR(__xludf.DUMMYFUNCTION("""COMPUTED_VALUE"""),"Niko Klimek")</f>
        <v>Niko Klimek</v>
      </c>
    </row>
    <row r="675" spans="1:20" ht="13.8">
      <c r="A675" s="118" t="str">
        <f ca="1">IFERROR(__xludf.DUMMYFUNCTION("""COMPUTED_VALUE"""),"GF")</f>
        <v>GF</v>
      </c>
      <c r="B675" s="119" t="str">
        <f ca="1">IFERROR(__xludf.DUMMYFUNCTION("""COMPUTED_VALUE"""),"Charlotte Miller")</f>
        <v>Charlotte Miller</v>
      </c>
      <c r="C675" s="118">
        <f ca="1">IFERROR(__xludf.DUMMYFUNCTION("""COMPUTED_VALUE"""),9)</f>
        <v>9</v>
      </c>
      <c r="D675" s="118" t="str">
        <f ca="1">IFERROR(__xludf.DUMMYFUNCTION("""COMPUTED_VALUE"""),"G")</f>
        <v>G</v>
      </c>
      <c r="E675" s="118" t="str">
        <f ca="1">IFERROR(__xludf.DUMMYFUNCTION("""COMPUTED_VALUE"""),"F")</f>
        <v>F</v>
      </c>
      <c r="F675" s="118" t="str">
        <f ca="1">IFERROR(__xludf.DUMMYFUNCTION("""COMPUTED_VALUE"""),"J")</f>
        <v>J</v>
      </c>
      <c r="G675" s="118">
        <f ca="1">IFERROR(__xludf.DUMMYFUNCTION("""COMPUTED_VALUE"""),4)</f>
        <v>4</v>
      </c>
      <c r="H675" s="118" t="str">
        <f ca="1">IFERROR(__xludf.DUMMYFUNCTION("""COMPUTED_VALUE"""),"GF")</f>
        <v>GF</v>
      </c>
      <c r="I675" s="118">
        <f ca="1">IFERROR(__xludf.DUMMYFUNCTION("""COMPUTED_VALUE"""),4)</f>
        <v>4</v>
      </c>
      <c r="J675" s="118">
        <f ca="1">IFERROR(__xludf.DUMMYFUNCTION("""COMPUTED_VALUE"""),0)</f>
        <v>0</v>
      </c>
      <c r="K675" s="120"/>
      <c r="L675" s="121"/>
      <c r="M675" s="120"/>
      <c r="N675" s="121"/>
      <c r="O675" s="120"/>
      <c r="P675" s="122"/>
      <c r="Q675" s="123" t="str">
        <f ca="1">IFERROR(__xludf.DUMMYFUNCTION("""COMPUTED_VALUE"""),"Mara Fontanesi")</f>
        <v>Mara Fontanesi</v>
      </c>
      <c r="R675" s="123" t="str">
        <f ca="1">IFERROR(__xludf.DUMMYFUNCTION("""COMPUTED_VALUE"""),"Zack Moorehead")</f>
        <v>Zack Moorehead</v>
      </c>
      <c r="S675" s="123" t="str">
        <f ca="1">IFERROR(__xludf.DUMMYFUNCTION("""COMPUTED_VALUE"""),"Kaitlyn Kimmitt")</f>
        <v>Kaitlyn Kimmitt</v>
      </c>
      <c r="T675" s="123" t="str">
        <f ca="1">IFERROR(__xludf.DUMMYFUNCTION("""COMPUTED_VALUE"""),"Noah Buckman")</f>
        <v>Noah Buckman</v>
      </c>
    </row>
    <row r="676" spans="1:20" ht="13.8">
      <c r="A676" s="118" t="str">
        <f ca="1">IFERROR(__xludf.DUMMYFUNCTION("""COMPUTED_VALUE"""),"GF")</f>
        <v>GF</v>
      </c>
      <c r="B676" s="119" t="str">
        <f ca="1">IFERROR(__xludf.DUMMYFUNCTION("""COMPUTED_VALUE"""),"Charlotte Sandstrom")</f>
        <v>Charlotte Sandstrom</v>
      </c>
      <c r="C676" s="118">
        <f ca="1">IFERROR(__xludf.DUMMYFUNCTION("""COMPUTED_VALUE"""),5)</f>
        <v>5</v>
      </c>
      <c r="D676" s="118" t="str">
        <f ca="1">IFERROR(__xludf.DUMMYFUNCTION("""COMPUTED_VALUE"""),"G")</f>
        <v>G</v>
      </c>
      <c r="E676" s="118" t="str">
        <f ca="1">IFERROR(__xludf.DUMMYFUNCTION("""COMPUTED_VALUE"""),"F")</f>
        <v>F</v>
      </c>
      <c r="F676" s="118" t="str">
        <f ca="1">IFERROR(__xludf.DUMMYFUNCTION("""COMPUTED_VALUE"""),"J")</f>
        <v>J</v>
      </c>
      <c r="G676" s="118">
        <f ca="1">IFERROR(__xludf.DUMMYFUNCTION("""COMPUTED_VALUE"""),4)</f>
        <v>4</v>
      </c>
      <c r="H676" s="118" t="str">
        <f ca="1">IFERROR(__xludf.DUMMYFUNCTION("""COMPUTED_VALUE"""),"GF")</f>
        <v>GF</v>
      </c>
      <c r="I676" s="118">
        <f ca="1">IFERROR(__xludf.DUMMYFUNCTION("""COMPUTED_VALUE"""),4)</f>
        <v>4</v>
      </c>
      <c r="J676" s="118">
        <f ca="1">IFERROR(__xludf.DUMMYFUNCTION("""COMPUTED_VALUE"""),0)</f>
        <v>0</v>
      </c>
      <c r="K676" s="120"/>
      <c r="L676" s="121"/>
      <c r="M676" s="120"/>
      <c r="N676" s="121"/>
      <c r="O676" s="120"/>
      <c r="P676" s="122"/>
      <c r="Q676" s="123" t="str">
        <f ca="1">IFERROR(__xludf.DUMMYFUNCTION("""COMPUTED_VALUE"""),"Maren Lamkin")</f>
        <v>Maren Lamkin</v>
      </c>
      <c r="R676" s="123" t="str">
        <f ca="1">IFERROR(__xludf.DUMMYFUNCTION("""COMPUTED_VALUE"""),"Zaid Raheem")</f>
        <v>Zaid Raheem</v>
      </c>
      <c r="S676" s="123" t="str">
        <f ca="1">IFERROR(__xludf.DUMMYFUNCTION("""COMPUTED_VALUE"""),"Kalyn O'Hara")</f>
        <v>Kalyn O'Hara</v>
      </c>
      <c r="T676" s="123" t="str">
        <f ca="1">IFERROR(__xludf.DUMMYFUNCTION("""COMPUTED_VALUE"""),"Noah Collazo")</f>
        <v>Noah Collazo</v>
      </c>
    </row>
    <row r="677" spans="1:20" ht="13.8">
      <c r="A677" s="118" t="str">
        <f ca="1">IFERROR(__xludf.DUMMYFUNCTION("""COMPUTED_VALUE"""),"GF")</f>
        <v>GF</v>
      </c>
      <c r="B677" s="119" t="str">
        <f ca="1">IFERROR(__xludf.DUMMYFUNCTION("""COMPUTED_VALUE"""),"Dee Damjan")</f>
        <v>Dee Damjan</v>
      </c>
      <c r="C677" s="118">
        <f ca="1">IFERROR(__xludf.DUMMYFUNCTION("""COMPUTED_VALUE"""),10)</f>
        <v>10</v>
      </c>
      <c r="D677" s="118" t="str">
        <f ca="1">IFERROR(__xludf.DUMMYFUNCTION("""COMPUTED_VALUE"""),"G")</f>
        <v>G</v>
      </c>
      <c r="E677" s="118" t="str">
        <f ca="1">IFERROR(__xludf.DUMMYFUNCTION("""COMPUTED_VALUE"""),"F")</f>
        <v>F</v>
      </c>
      <c r="F677" s="118" t="str">
        <f ca="1">IFERROR(__xludf.DUMMYFUNCTION("""COMPUTED_VALUE"""),"J")</f>
        <v>J</v>
      </c>
      <c r="G677" s="118">
        <f ca="1">IFERROR(__xludf.DUMMYFUNCTION("""COMPUTED_VALUE"""),4)</f>
        <v>4</v>
      </c>
      <c r="H677" s="118" t="str">
        <f ca="1">IFERROR(__xludf.DUMMYFUNCTION("""COMPUTED_VALUE"""),"GF")</f>
        <v>GF</v>
      </c>
      <c r="I677" s="118">
        <f ca="1">IFERROR(__xludf.DUMMYFUNCTION("""COMPUTED_VALUE"""),4)</f>
        <v>4</v>
      </c>
      <c r="J677" s="118">
        <f ca="1">IFERROR(__xludf.DUMMYFUNCTION("""COMPUTED_VALUE"""),0)</f>
        <v>0</v>
      </c>
      <c r="K677" s="120"/>
      <c r="L677" s="121"/>
      <c r="M677" s="120"/>
      <c r="N677" s="121"/>
      <c r="O677" s="120"/>
      <c r="P677" s="122"/>
      <c r="Q677" s="123" t="str">
        <f ca="1">IFERROR(__xludf.DUMMYFUNCTION("""COMPUTED_VALUE"""),"Maren Randazzo")</f>
        <v>Maren Randazzo</v>
      </c>
      <c r="R677" s="123" t="str">
        <f ca="1">IFERROR(__xludf.DUMMYFUNCTION("""COMPUTED_VALUE"""),"Zak Kolonda")</f>
        <v>Zak Kolonda</v>
      </c>
      <c r="S677" s="123" t="str">
        <f ca="1">IFERROR(__xludf.DUMMYFUNCTION("""COMPUTED_VALUE"""),"Karie Egan")</f>
        <v>Karie Egan</v>
      </c>
      <c r="T677" s="123" t="str">
        <f ca="1">IFERROR(__xludf.DUMMYFUNCTION("""COMPUTED_VALUE"""),"Noah Gatewood")</f>
        <v>Noah Gatewood</v>
      </c>
    </row>
    <row r="678" spans="1:20" ht="13.8">
      <c r="A678" s="118" t="str">
        <f ca="1">IFERROR(__xludf.DUMMYFUNCTION("""COMPUTED_VALUE"""),"GF")</f>
        <v>GF</v>
      </c>
      <c r="B678" s="119" t="str">
        <f ca="1">IFERROR(__xludf.DUMMYFUNCTION("""COMPUTED_VALUE"""),"Hailey Walkenhorst")</f>
        <v>Hailey Walkenhorst</v>
      </c>
      <c r="C678" s="118">
        <f ca="1">IFERROR(__xludf.DUMMYFUNCTION("""COMPUTED_VALUE"""),10)</f>
        <v>10</v>
      </c>
      <c r="D678" s="118" t="str">
        <f ca="1">IFERROR(__xludf.DUMMYFUNCTION("""COMPUTED_VALUE"""),"G")</f>
        <v>G</v>
      </c>
      <c r="E678" s="118" t="str">
        <f ca="1">IFERROR(__xludf.DUMMYFUNCTION("""COMPUTED_VALUE"""),"F")</f>
        <v>F</v>
      </c>
      <c r="F678" s="118" t="str">
        <f ca="1">IFERROR(__xludf.DUMMYFUNCTION("""COMPUTED_VALUE"""),"J")</f>
        <v>J</v>
      </c>
      <c r="G678" s="118">
        <f ca="1">IFERROR(__xludf.DUMMYFUNCTION("""COMPUTED_VALUE"""),4)</f>
        <v>4</v>
      </c>
      <c r="H678" s="118" t="str">
        <f ca="1">IFERROR(__xludf.DUMMYFUNCTION("""COMPUTED_VALUE"""),"GF")</f>
        <v>GF</v>
      </c>
      <c r="I678" s="118">
        <f ca="1">IFERROR(__xludf.DUMMYFUNCTION("""COMPUTED_VALUE"""),4)</f>
        <v>4</v>
      </c>
      <c r="J678" s="118">
        <f ca="1">IFERROR(__xludf.DUMMYFUNCTION("""COMPUTED_VALUE"""),4)</f>
        <v>4</v>
      </c>
      <c r="K678" s="120">
        <f ca="1">IFERROR(__xludf.DUMMYFUNCTION("""COMPUTED_VALUE"""),59.05)</f>
        <v>59.05</v>
      </c>
      <c r="L678" s="121"/>
      <c r="M678" s="120">
        <f ca="1">IFERROR(__xludf.DUMMYFUNCTION("""COMPUTED_VALUE"""),55.05)</f>
        <v>55.05</v>
      </c>
      <c r="N678" s="121"/>
      <c r="O678" s="120">
        <f ca="1">IFERROR(__xludf.DUMMYFUNCTION("""COMPUTED_VALUE"""),57.35)</f>
        <v>57.35</v>
      </c>
      <c r="P678" s="122"/>
      <c r="Q678" s="123" t="str">
        <f ca="1">IFERROR(__xludf.DUMMYFUNCTION("""COMPUTED_VALUE"""),"Margaret Franker")</f>
        <v>Margaret Franker</v>
      </c>
      <c r="R678" s="123" t="str">
        <f ca="1">IFERROR(__xludf.DUMMYFUNCTION("""COMPUTED_VALUE"""),"Zane Pickenheim")</f>
        <v>Zane Pickenheim</v>
      </c>
      <c r="S678" s="123" t="str">
        <f ca="1">IFERROR(__xludf.DUMMYFUNCTION("""COMPUTED_VALUE"""),"Karolina Ramon")</f>
        <v>Karolina Ramon</v>
      </c>
      <c r="T678" s="123" t="str">
        <f ca="1">IFERROR(__xludf.DUMMYFUNCTION("""COMPUTED_VALUE"""),"Noah Hua")</f>
        <v>Noah Hua</v>
      </c>
    </row>
    <row r="679" spans="1:20" ht="13.8">
      <c r="A679" s="118" t="str">
        <f ca="1">IFERROR(__xludf.DUMMYFUNCTION("""COMPUTED_VALUE"""),"GF")</f>
        <v>GF</v>
      </c>
      <c r="B679" s="119" t="str">
        <f ca="1">IFERROR(__xludf.DUMMYFUNCTION("""COMPUTED_VALUE"""),"Hayes Hohmann")</f>
        <v>Hayes Hohmann</v>
      </c>
      <c r="C679" s="118">
        <f ca="1">IFERROR(__xludf.DUMMYFUNCTION("""COMPUTED_VALUE"""),8)</f>
        <v>8</v>
      </c>
      <c r="D679" s="118" t="str">
        <f ca="1">IFERROR(__xludf.DUMMYFUNCTION("""COMPUTED_VALUE"""),"G")</f>
        <v>G</v>
      </c>
      <c r="E679" s="118" t="str">
        <f ca="1">IFERROR(__xludf.DUMMYFUNCTION("""COMPUTED_VALUE"""),"F")</f>
        <v>F</v>
      </c>
      <c r="F679" s="118" t="str">
        <f ca="1">IFERROR(__xludf.DUMMYFUNCTION("""COMPUTED_VALUE"""),"J")</f>
        <v>J</v>
      </c>
      <c r="G679" s="118">
        <f ca="1">IFERROR(__xludf.DUMMYFUNCTION("""COMPUTED_VALUE"""),4)</f>
        <v>4</v>
      </c>
      <c r="H679" s="118" t="str">
        <f ca="1">IFERROR(__xludf.DUMMYFUNCTION("""COMPUTED_VALUE"""),"GF")</f>
        <v>GF</v>
      </c>
      <c r="I679" s="118">
        <f ca="1">IFERROR(__xludf.DUMMYFUNCTION("""COMPUTED_VALUE"""),4)</f>
        <v>4</v>
      </c>
      <c r="J679" s="118">
        <f ca="1">IFERROR(__xludf.DUMMYFUNCTION("""COMPUTED_VALUE"""),0)</f>
        <v>0</v>
      </c>
      <c r="K679" s="120"/>
      <c r="L679" s="121"/>
      <c r="M679" s="120"/>
      <c r="N679" s="121"/>
      <c r="O679" s="120"/>
      <c r="P679" s="122"/>
      <c r="Q679" s="123" t="str">
        <f ca="1">IFERROR(__xludf.DUMMYFUNCTION("""COMPUTED_VALUE"""),"Margaret Grogan")</f>
        <v>Margaret Grogan</v>
      </c>
      <c r="R679" s="123" t="str">
        <f ca="1">IFERROR(__xludf.DUMMYFUNCTION("""COMPUTED_VALUE"""),"Zavier Roberts")</f>
        <v>Zavier Roberts</v>
      </c>
      <c r="S679" s="123" t="str">
        <f ca="1">IFERROR(__xludf.DUMMYFUNCTION("""COMPUTED_VALUE"""),"Kate Blinstrub")</f>
        <v>Kate Blinstrub</v>
      </c>
      <c r="T679" s="123" t="str">
        <f ca="1">IFERROR(__xludf.DUMMYFUNCTION("""COMPUTED_VALUE"""),"Noah Laccone")</f>
        <v>Noah Laccone</v>
      </c>
    </row>
    <row r="680" spans="1:20" ht="13.8">
      <c r="A680" s="118" t="str">
        <f ca="1">IFERROR(__xludf.DUMMYFUNCTION("""COMPUTED_VALUE"""),"GF")</f>
        <v>GF</v>
      </c>
      <c r="B680" s="119" t="str">
        <f ca="1">IFERROR(__xludf.DUMMYFUNCTION("""COMPUTED_VALUE"""),"Julianne Sanders")</f>
        <v>Julianne Sanders</v>
      </c>
      <c r="C680" s="118">
        <f ca="1">IFERROR(__xludf.DUMMYFUNCTION("""COMPUTED_VALUE"""),6)</f>
        <v>6</v>
      </c>
      <c r="D680" s="118" t="str">
        <f ca="1">IFERROR(__xludf.DUMMYFUNCTION("""COMPUTED_VALUE"""),"G")</f>
        <v>G</v>
      </c>
      <c r="E680" s="118" t="str">
        <f ca="1">IFERROR(__xludf.DUMMYFUNCTION("""COMPUTED_VALUE"""),"F")</f>
        <v>F</v>
      </c>
      <c r="F680" s="118" t="str">
        <f ca="1">IFERROR(__xludf.DUMMYFUNCTION("""COMPUTED_VALUE"""),"J")</f>
        <v>J</v>
      </c>
      <c r="G680" s="118">
        <f ca="1">IFERROR(__xludf.DUMMYFUNCTION("""COMPUTED_VALUE"""),4)</f>
        <v>4</v>
      </c>
      <c r="H680" s="118" t="str">
        <f ca="1">IFERROR(__xludf.DUMMYFUNCTION("""COMPUTED_VALUE"""),"GF")</f>
        <v>GF</v>
      </c>
      <c r="I680" s="118">
        <f ca="1">IFERROR(__xludf.DUMMYFUNCTION("""COMPUTED_VALUE"""),4)</f>
        <v>4</v>
      </c>
      <c r="J680" s="118">
        <f ca="1">IFERROR(__xludf.DUMMYFUNCTION("""COMPUTED_VALUE"""),5)</f>
        <v>5</v>
      </c>
      <c r="K680" s="120">
        <f ca="1">IFERROR(__xludf.DUMMYFUNCTION("""COMPUTED_VALUE"""),38.85)</f>
        <v>38.85</v>
      </c>
      <c r="L680" s="121"/>
      <c r="M680" s="120">
        <f ca="1">IFERROR(__xludf.DUMMYFUNCTION("""COMPUTED_VALUE"""),12)</f>
        <v>12</v>
      </c>
      <c r="N680" s="121"/>
      <c r="O680" s="120">
        <f ca="1">IFERROR(__xludf.DUMMYFUNCTION("""COMPUTED_VALUE"""),19.75)</f>
        <v>19.75</v>
      </c>
      <c r="P680" s="122"/>
      <c r="Q680" s="123" t="str">
        <f ca="1">IFERROR(__xludf.DUMMYFUNCTION("""COMPUTED_VALUE"""),"Margaret Rider")</f>
        <v>Margaret Rider</v>
      </c>
      <c r="R680" s="123"/>
      <c r="S680" s="123" t="str">
        <f ca="1">IFERROR(__xludf.DUMMYFUNCTION("""COMPUTED_VALUE"""),"Kate Copes")</f>
        <v>Kate Copes</v>
      </c>
      <c r="T680" s="123" t="str">
        <f ca="1">IFERROR(__xludf.DUMMYFUNCTION("""COMPUTED_VALUE"""),"Noah Natnael")</f>
        <v>Noah Natnael</v>
      </c>
    </row>
    <row r="681" spans="1:20" ht="13.8">
      <c r="A681" s="118" t="str">
        <f ca="1">IFERROR(__xludf.DUMMYFUNCTION("""COMPUTED_VALUE"""),"GF")</f>
        <v>GF</v>
      </c>
      <c r="B681" s="119" t="str">
        <f ca="1">IFERROR(__xludf.DUMMYFUNCTION("""COMPUTED_VALUE"""),"Lexi Fowler")</f>
        <v>Lexi Fowler</v>
      </c>
      <c r="C681" s="118">
        <f ca="1">IFERROR(__xludf.DUMMYFUNCTION("""COMPUTED_VALUE"""),10)</f>
        <v>10</v>
      </c>
      <c r="D681" s="118" t="str">
        <f ca="1">IFERROR(__xludf.DUMMYFUNCTION("""COMPUTED_VALUE"""),"G")</f>
        <v>G</v>
      </c>
      <c r="E681" s="118" t="str">
        <f ca="1">IFERROR(__xludf.DUMMYFUNCTION("""COMPUTED_VALUE"""),"F")</f>
        <v>F</v>
      </c>
      <c r="F681" s="118" t="str">
        <f ca="1">IFERROR(__xludf.DUMMYFUNCTION("""COMPUTED_VALUE"""),"J")</f>
        <v>J</v>
      </c>
      <c r="G681" s="118">
        <f ca="1">IFERROR(__xludf.DUMMYFUNCTION("""COMPUTED_VALUE"""),4)</f>
        <v>4</v>
      </c>
      <c r="H681" s="118" t="str">
        <f ca="1">IFERROR(__xludf.DUMMYFUNCTION("""COMPUTED_VALUE"""),"GF")</f>
        <v>GF</v>
      </c>
      <c r="I681" s="118">
        <f ca="1">IFERROR(__xludf.DUMMYFUNCTION("""COMPUTED_VALUE"""),4)</f>
        <v>4</v>
      </c>
      <c r="J681" s="118">
        <f ca="1">IFERROR(__xludf.DUMMYFUNCTION("""COMPUTED_VALUE"""),5)</f>
        <v>5</v>
      </c>
      <c r="K681" s="120">
        <f ca="1">IFERROR(__xludf.DUMMYFUNCTION("""COMPUTED_VALUE"""),38.1)</f>
        <v>38.1</v>
      </c>
      <c r="L681" s="121"/>
      <c r="M681" s="120">
        <f ca="1">IFERROR(__xludf.DUMMYFUNCTION("""COMPUTED_VALUE"""),34.55)</f>
        <v>34.549999999999997</v>
      </c>
      <c r="N681" s="121"/>
      <c r="O681" s="120">
        <f ca="1">IFERROR(__xludf.DUMMYFUNCTION("""COMPUTED_VALUE"""),38.1)</f>
        <v>38.1</v>
      </c>
      <c r="P681" s="122"/>
      <c r="Q681" s="123" t="str">
        <f ca="1">IFERROR(__xludf.DUMMYFUNCTION("""COMPUTED_VALUE"""),"Margie Hammond")</f>
        <v>Margie Hammond</v>
      </c>
      <c r="R681" s="123"/>
      <c r="S681" s="123" t="str">
        <f ca="1">IFERROR(__xludf.DUMMYFUNCTION("""COMPUTED_VALUE"""),"Kate Edgerton")</f>
        <v>Kate Edgerton</v>
      </c>
      <c r="T681" s="123" t="str">
        <f ca="1">IFERROR(__xludf.DUMMYFUNCTION("""COMPUTED_VALUE"""),"Noah Pera")</f>
        <v>Noah Pera</v>
      </c>
    </row>
    <row r="682" spans="1:20" ht="13.8">
      <c r="A682" s="118" t="str">
        <f ca="1">IFERROR(__xludf.DUMMYFUNCTION("""COMPUTED_VALUE"""),"GF")</f>
        <v>GF</v>
      </c>
      <c r="B682" s="119" t="str">
        <f ca="1">IFERROR(__xludf.DUMMYFUNCTION("""COMPUTED_VALUE"""),"Lily Dhalla")</f>
        <v>Lily Dhalla</v>
      </c>
      <c r="C682" s="118">
        <f ca="1">IFERROR(__xludf.DUMMYFUNCTION("""COMPUTED_VALUE"""),7)</f>
        <v>7</v>
      </c>
      <c r="D682" s="118" t="str">
        <f ca="1">IFERROR(__xludf.DUMMYFUNCTION("""COMPUTED_VALUE"""),"G")</f>
        <v>G</v>
      </c>
      <c r="E682" s="118" t="str">
        <f ca="1">IFERROR(__xludf.DUMMYFUNCTION("""COMPUTED_VALUE"""),"F")</f>
        <v>F</v>
      </c>
      <c r="F682" s="118" t="str">
        <f ca="1">IFERROR(__xludf.DUMMYFUNCTION("""COMPUTED_VALUE"""),"J")</f>
        <v>J</v>
      </c>
      <c r="G682" s="118">
        <f ca="1">IFERROR(__xludf.DUMMYFUNCTION("""COMPUTED_VALUE"""),4)</f>
        <v>4</v>
      </c>
      <c r="H682" s="118" t="str">
        <f ca="1">IFERROR(__xludf.DUMMYFUNCTION("""COMPUTED_VALUE"""),"GF")</f>
        <v>GF</v>
      </c>
      <c r="I682" s="118">
        <f ca="1">IFERROR(__xludf.DUMMYFUNCTION("""COMPUTED_VALUE"""),4)</f>
        <v>4</v>
      </c>
      <c r="J682" s="118">
        <f ca="1">IFERROR(__xludf.DUMMYFUNCTION("""COMPUTED_VALUE"""),0)</f>
        <v>0</v>
      </c>
      <c r="K682" s="120"/>
      <c r="L682" s="121"/>
      <c r="M682" s="120"/>
      <c r="N682" s="121"/>
      <c r="O682" s="120"/>
      <c r="P682" s="122"/>
      <c r="Q682" s="123" t="str">
        <f ca="1">IFERROR(__xludf.DUMMYFUNCTION("""COMPUTED_VALUE"""),"Margot DeSorrento")</f>
        <v>Margot DeSorrento</v>
      </c>
      <c r="R682" s="123"/>
      <c r="S682" s="123" t="str">
        <f ca="1">IFERROR(__xludf.DUMMYFUNCTION("""COMPUTED_VALUE"""),"Kate Freeze")</f>
        <v>Kate Freeze</v>
      </c>
      <c r="T682" s="123" t="str">
        <f ca="1">IFERROR(__xludf.DUMMYFUNCTION("""COMPUTED_VALUE"""),"Noah Pierece")</f>
        <v>Noah Pierece</v>
      </c>
    </row>
    <row r="683" spans="1:20" ht="13.8">
      <c r="A683" s="118" t="str">
        <f ca="1">IFERROR(__xludf.DUMMYFUNCTION("""COMPUTED_VALUE"""),"GF")</f>
        <v>GF</v>
      </c>
      <c r="B683" s="119" t="str">
        <f ca="1">IFERROR(__xludf.DUMMYFUNCTION("""COMPUTED_VALUE"""),"Madinah McKimmy")</f>
        <v>Madinah McKimmy</v>
      </c>
      <c r="C683" s="118">
        <f ca="1">IFERROR(__xludf.DUMMYFUNCTION("""COMPUTED_VALUE"""),8)</f>
        <v>8</v>
      </c>
      <c r="D683" s="118" t="str">
        <f ca="1">IFERROR(__xludf.DUMMYFUNCTION("""COMPUTED_VALUE"""),"G")</f>
        <v>G</v>
      </c>
      <c r="E683" s="118" t="str">
        <f ca="1">IFERROR(__xludf.DUMMYFUNCTION("""COMPUTED_VALUE"""),"F")</f>
        <v>F</v>
      </c>
      <c r="F683" s="118" t="str">
        <f ca="1">IFERROR(__xludf.DUMMYFUNCTION("""COMPUTED_VALUE"""),"J")</f>
        <v>J</v>
      </c>
      <c r="G683" s="118">
        <f ca="1">IFERROR(__xludf.DUMMYFUNCTION("""COMPUTED_VALUE"""),4)</f>
        <v>4</v>
      </c>
      <c r="H683" s="118" t="str">
        <f ca="1">IFERROR(__xludf.DUMMYFUNCTION("""COMPUTED_VALUE"""),"GF")</f>
        <v>GF</v>
      </c>
      <c r="I683" s="118">
        <f ca="1">IFERROR(__xludf.DUMMYFUNCTION("""COMPUTED_VALUE"""),4)</f>
        <v>4</v>
      </c>
      <c r="J683" s="118">
        <f ca="1">IFERROR(__xludf.DUMMYFUNCTION("""COMPUTED_VALUE"""),2)</f>
        <v>2</v>
      </c>
      <c r="K683" s="120">
        <f ca="1">IFERROR(__xludf.DUMMYFUNCTION("""COMPUTED_VALUE"""),21.5)</f>
        <v>21.5</v>
      </c>
      <c r="L683" s="121"/>
      <c r="M683" s="120"/>
      <c r="N683" s="121"/>
      <c r="O683" s="120">
        <f ca="1">IFERROR(__xludf.DUMMYFUNCTION("""COMPUTED_VALUE"""),21.5)</f>
        <v>21.5</v>
      </c>
      <c r="P683" s="122"/>
      <c r="Q683" s="123" t="str">
        <f ca="1">IFERROR(__xludf.DUMMYFUNCTION("""COMPUTED_VALUE"""),"Margot Kelley")</f>
        <v>Margot Kelley</v>
      </c>
      <c r="R683" s="123"/>
      <c r="S683" s="123" t="str">
        <f ca="1">IFERROR(__xludf.DUMMYFUNCTION("""COMPUTED_VALUE"""),"Kate Gentry")</f>
        <v>Kate Gentry</v>
      </c>
      <c r="T683" s="123" t="str">
        <f ca="1">IFERROR(__xludf.DUMMYFUNCTION("""COMPUTED_VALUE"""),"Noah Wanzer")</f>
        <v>Noah Wanzer</v>
      </c>
    </row>
    <row r="684" spans="1:20" ht="13.8">
      <c r="A684" s="118" t="str">
        <f ca="1">IFERROR(__xludf.DUMMYFUNCTION("""COMPUTED_VALUE"""),"GF")</f>
        <v>GF</v>
      </c>
      <c r="B684" s="119" t="str">
        <f ca="1">IFERROR(__xludf.DUMMYFUNCTION("""COMPUTED_VALUE"""),"Sarah Avery")</f>
        <v>Sarah Avery</v>
      </c>
      <c r="C684" s="118">
        <f ca="1">IFERROR(__xludf.DUMMYFUNCTION("""COMPUTED_VALUE"""),9)</f>
        <v>9</v>
      </c>
      <c r="D684" s="118" t="str">
        <f ca="1">IFERROR(__xludf.DUMMYFUNCTION("""COMPUTED_VALUE"""),"G")</f>
        <v>G</v>
      </c>
      <c r="E684" s="118" t="str">
        <f ca="1">IFERROR(__xludf.DUMMYFUNCTION("""COMPUTED_VALUE"""),"F")</f>
        <v>F</v>
      </c>
      <c r="F684" s="118" t="str">
        <f ca="1">IFERROR(__xludf.DUMMYFUNCTION("""COMPUTED_VALUE"""),"J")</f>
        <v>J</v>
      </c>
      <c r="G684" s="118">
        <f ca="1">IFERROR(__xludf.DUMMYFUNCTION("""COMPUTED_VALUE"""),4)</f>
        <v>4</v>
      </c>
      <c r="H684" s="118" t="str">
        <f ca="1">IFERROR(__xludf.DUMMYFUNCTION("""COMPUTED_VALUE"""),"GF")</f>
        <v>GF</v>
      </c>
      <c r="I684" s="118">
        <f ca="1">IFERROR(__xludf.DUMMYFUNCTION("""COMPUTED_VALUE"""),4)</f>
        <v>4</v>
      </c>
      <c r="J684" s="118">
        <f ca="1">IFERROR(__xludf.DUMMYFUNCTION("""COMPUTED_VALUE"""),2)</f>
        <v>2</v>
      </c>
      <c r="K684" s="120">
        <f ca="1">IFERROR(__xludf.DUMMYFUNCTION("""COMPUTED_VALUE"""),45.1)</f>
        <v>45.1</v>
      </c>
      <c r="L684" s="121"/>
      <c r="M684" s="120">
        <f ca="1">IFERROR(__xludf.DUMMYFUNCTION("""COMPUTED_VALUE"""),45.1)</f>
        <v>45.1</v>
      </c>
      <c r="N684" s="121"/>
      <c r="O684" s="120"/>
      <c r="P684" s="122"/>
      <c r="Q684" s="123" t="str">
        <f ca="1">IFERROR(__xludf.DUMMYFUNCTION("""COMPUTED_VALUE"""),"Mari Tovar")</f>
        <v>Mari Tovar</v>
      </c>
      <c r="R684" s="123"/>
      <c r="S684" s="123" t="str">
        <f ca="1">IFERROR(__xludf.DUMMYFUNCTION("""COMPUTED_VALUE"""),"Kate Li")</f>
        <v>Kate Li</v>
      </c>
      <c r="T684" s="123" t="str">
        <f ca="1">IFERROR(__xludf.DUMMYFUNCTION("""COMPUTED_VALUE"""),"Nolan Cherryholmes-Wesley")</f>
        <v>Nolan Cherryholmes-Wesley</v>
      </c>
    </row>
    <row r="685" spans="1:20" ht="13.8">
      <c r="A685" s="118" t="str">
        <f ca="1">IFERROR(__xludf.DUMMYFUNCTION("""COMPUTED_VALUE"""),"GF")</f>
        <v>GF</v>
      </c>
      <c r="B685" s="119" t="str">
        <f ca="1">IFERROR(__xludf.DUMMYFUNCTION("""COMPUTED_VALUE"""),"Sophia Daniels")</f>
        <v>Sophia Daniels</v>
      </c>
      <c r="C685" s="118">
        <f ca="1">IFERROR(__xludf.DUMMYFUNCTION("""COMPUTED_VALUE"""),10)</f>
        <v>10</v>
      </c>
      <c r="D685" s="118" t="str">
        <f ca="1">IFERROR(__xludf.DUMMYFUNCTION("""COMPUTED_VALUE"""),"G")</f>
        <v>G</v>
      </c>
      <c r="E685" s="118" t="str">
        <f ca="1">IFERROR(__xludf.DUMMYFUNCTION("""COMPUTED_VALUE"""),"F")</f>
        <v>F</v>
      </c>
      <c r="F685" s="118" t="str">
        <f ca="1">IFERROR(__xludf.DUMMYFUNCTION("""COMPUTED_VALUE"""),"J")</f>
        <v>J</v>
      </c>
      <c r="G685" s="118">
        <f ca="1">IFERROR(__xludf.DUMMYFUNCTION("""COMPUTED_VALUE"""),4)</f>
        <v>4</v>
      </c>
      <c r="H685" s="118" t="str">
        <f ca="1">IFERROR(__xludf.DUMMYFUNCTION("""COMPUTED_VALUE"""),"GF")</f>
        <v>GF</v>
      </c>
      <c r="I685" s="118">
        <f ca="1">IFERROR(__xludf.DUMMYFUNCTION("""COMPUTED_VALUE"""),4)</f>
        <v>4</v>
      </c>
      <c r="J685" s="118">
        <f ca="1">IFERROR(__xludf.DUMMYFUNCTION("""COMPUTED_VALUE"""),0)</f>
        <v>0</v>
      </c>
      <c r="K685" s="120"/>
      <c r="L685" s="121"/>
      <c r="M685" s="120"/>
      <c r="N685" s="121"/>
      <c r="O685" s="120"/>
      <c r="P685" s="122"/>
      <c r="Q685" s="123" t="str">
        <f ca="1">IFERROR(__xludf.DUMMYFUNCTION("""COMPUTED_VALUE"""),"Maria Garcia-McIntire")</f>
        <v>Maria Garcia-McIntire</v>
      </c>
      <c r="R685" s="123"/>
      <c r="S685" s="123" t="str">
        <f ca="1">IFERROR(__xludf.DUMMYFUNCTION("""COMPUTED_VALUE"""),"Kate Matthews")</f>
        <v>Kate Matthews</v>
      </c>
      <c r="T685" s="123" t="str">
        <f ca="1">IFERROR(__xludf.DUMMYFUNCTION("""COMPUTED_VALUE"""),"Nolan Scott")</f>
        <v>Nolan Scott</v>
      </c>
    </row>
    <row r="686" spans="1:20" ht="13.8">
      <c r="A686" s="118" t="str">
        <f ca="1">IFERROR(__xludf.DUMMYFUNCTION("""COMPUTED_VALUE"""),"GF")</f>
        <v>GF</v>
      </c>
      <c r="B686" s="119" t="str">
        <f ca="1">IFERROR(__xludf.DUMMYFUNCTION("""COMPUTED_VALUE"""),"Tara Farid")</f>
        <v>Tara Farid</v>
      </c>
      <c r="C686" s="118">
        <f ca="1">IFERROR(__xludf.DUMMYFUNCTION("""COMPUTED_VALUE"""),7)</f>
        <v>7</v>
      </c>
      <c r="D686" s="118" t="str">
        <f ca="1">IFERROR(__xludf.DUMMYFUNCTION("""COMPUTED_VALUE"""),"G")</f>
        <v>G</v>
      </c>
      <c r="E686" s="118" t="str">
        <f ca="1">IFERROR(__xludf.DUMMYFUNCTION("""COMPUTED_VALUE"""),"F")</f>
        <v>F</v>
      </c>
      <c r="F686" s="118" t="str">
        <f ca="1">IFERROR(__xludf.DUMMYFUNCTION("""COMPUTED_VALUE"""),"J")</f>
        <v>J</v>
      </c>
      <c r="G686" s="118">
        <f ca="1">IFERROR(__xludf.DUMMYFUNCTION("""COMPUTED_VALUE"""),4)</f>
        <v>4</v>
      </c>
      <c r="H686" s="118" t="str">
        <f ca="1">IFERROR(__xludf.DUMMYFUNCTION("""COMPUTED_VALUE"""),"GF")</f>
        <v>GF</v>
      </c>
      <c r="I686" s="118">
        <f ca="1">IFERROR(__xludf.DUMMYFUNCTION("""COMPUTED_VALUE"""),4)</f>
        <v>4</v>
      </c>
      <c r="J686" s="118">
        <f ca="1">IFERROR(__xludf.DUMMYFUNCTION("""COMPUTED_VALUE"""),2)</f>
        <v>2</v>
      </c>
      <c r="K686" s="120">
        <f ca="1">IFERROR(__xludf.DUMMYFUNCTION("""COMPUTED_VALUE"""),19.5)</f>
        <v>19.5</v>
      </c>
      <c r="L686" s="121"/>
      <c r="M686" s="120">
        <f ca="1">IFERROR(__xludf.DUMMYFUNCTION("""COMPUTED_VALUE"""),17.75)</f>
        <v>17.75</v>
      </c>
      <c r="N686" s="121"/>
      <c r="O686" s="120">
        <f ca="1">IFERROR(__xludf.DUMMYFUNCTION("""COMPUTED_VALUE"""),19.5)</f>
        <v>19.5</v>
      </c>
      <c r="P686" s="122"/>
      <c r="Q686" s="123" t="str">
        <f ca="1">IFERROR(__xludf.DUMMYFUNCTION("""COMPUTED_VALUE"""),"Marianna McKinnon")</f>
        <v>Marianna McKinnon</v>
      </c>
      <c r="R686" s="123"/>
      <c r="S686" s="123" t="str">
        <f ca="1">IFERROR(__xludf.DUMMYFUNCTION("""COMPUTED_VALUE"""),"Katelyn Thackaberry")</f>
        <v>Katelyn Thackaberry</v>
      </c>
      <c r="T686" s="123" t="str">
        <f ca="1">IFERROR(__xludf.DUMMYFUNCTION("""COMPUTED_VALUE"""),"Nolan Walsh")</f>
        <v>Nolan Walsh</v>
      </c>
    </row>
    <row r="687" spans="1:20" ht="13.8">
      <c r="A687" s="118" t="str">
        <f ca="1">IFERROR(__xludf.DUMMYFUNCTION("""COMPUTED_VALUE"""),"GF")</f>
        <v>GF</v>
      </c>
      <c r="B687" s="119" t="str">
        <f ca="1">IFERROR(__xludf.DUMMYFUNCTION("""COMPUTED_VALUE"""),"Violet Daftari")</f>
        <v>Violet Daftari</v>
      </c>
      <c r="C687" s="118">
        <f ca="1">IFERROR(__xludf.DUMMYFUNCTION("""COMPUTED_VALUE"""),8)</f>
        <v>8</v>
      </c>
      <c r="D687" s="118" t="str">
        <f ca="1">IFERROR(__xludf.DUMMYFUNCTION("""COMPUTED_VALUE"""),"G")</f>
        <v>G</v>
      </c>
      <c r="E687" s="118" t="str">
        <f ca="1">IFERROR(__xludf.DUMMYFUNCTION("""COMPUTED_VALUE"""),"F")</f>
        <v>F</v>
      </c>
      <c r="F687" s="118" t="str">
        <f ca="1">IFERROR(__xludf.DUMMYFUNCTION("""COMPUTED_VALUE"""),"J")</f>
        <v>J</v>
      </c>
      <c r="G687" s="118">
        <f ca="1">IFERROR(__xludf.DUMMYFUNCTION("""COMPUTED_VALUE"""),4)</f>
        <v>4</v>
      </c>
      <c r="H687" s="118" t="str">
        <f ca="1">IFERROR(__xludf.DUMMYFUNCTION("""COMPUTED_VALUE"""),"GF")</f>
        <v>GF</v>
      </c>
      <c r="I687" s="118">
        <f ca="1">IFERROR(__xludf.DUMMYFUNCTION("""COMPUTED_VALUE"""),4)</f>
        <v>4</v>
      </c>
      <c r="J687" s="118">
        <f ca="1">IFERROR(__xludf.DUMMYFUNCTION("""COMPUTED_VALUE"""),0)</f>
        <v>0</v>
      </c>
      <c r="K687" s="120"/>
      <c r="L687" s="121"/>
      <c r="M687" s="120"/>
      <c r="N687" s="121"/>
      <c r="O687" s="120"/>
      <c r="P687" s="122"/>
      <c r="Q687" s="123" t="str">
        <f ca="1">IFERROR(__xludf.DUMMYFUNCTION("""COMPUTED_VALUE"""),"Marie Dorchak")</f>
        <v>Marie Dorchak</v>
      </c>
      <c r="R687" s="123"/>
      <c r="S687" s="123" t="str">
        <f ca="1">IFERROR(__xludf.DUMMYFUNCTION("""COMPUTED_VALUE"""),"Katherine Chen")</f>
        <v>Katherine Chen</v>
      </c>
      <c r="T687" s="123" t="str">
        <f ca="1">IFERROR(__xludf.DUMMYFUNCTION("""COMPUTED_VALUE"""),"Oli Waisberg")</f>
        <v>Oli Waisberg</v>
      </c>
    </row>
    <row r="688" spans="1:20" ht="13.8">
      <c r="A688" s="118" t="str">
        <f ca="1">IFERROR(__xludf.DUMMYFUNCTION("""COMPUTED_VALUE"""),"GF")</f>
        <v>GF</v>
      </c>
      <c r="B688" s="119" t="str">
        <f ca="1">IFERROR(__xludf.DUMMYFUNCTION("""COMPUTED_VALUE"""),"Vivienne Bergeron")</f>
        <v>Vivienne Bergeron</v>
      </c>
      <c r="C688" s="118">
        <f ca="1">IFERROR(__xludf.DUMMYFUNCTION("""COMPUTED_VALUE"""),9)</f>
        <v>9</v>
      </c>
      <c r="D688" s="118" t="str">
        <f ca="1">IFERROR(__xludf.DUMMYFUNCTION("""COMPUTED_VALUE"""),"G")</f>
        <v>G</v>
      </c>
      <c r="E688" s="118" t="str">
        <f ca="1">IFERROR(__xludf.DUMMYFUNCTION("""COMPUTED_VALUE"""),"F")</f>
        <v>F</v>
      </c>
      <c r="F688" s="118" t="str">
        <f ca="1">IFERROR(__xludf.DUMMYFUNCTION("""COMPUTED_VALUE"""),"J")</f>
        <v>J</v>
      </c>
      <c r="G688" s="118">
        <f ca="1">IFERROR(__xludf.DUMMYFUNCTION("""COMPUTED_VALUE"""),4)</f>
        <v>4</v>
      </c>
      <c r="H688" s="118" t="str">
        <f ca="1">IFERROR(__xludf.DUMMYFUNCTION("""COMPUTED_VALUE"""),"GF")</f>
        <v>GF</v>
      </c>
      <c r="I688" s="118">
        <f ca="1">IFERROR(__xludf.DUMMYFUNCTION("""COMPUTED_VALUE"""),4)</f>
        <v>4</v>
      </c>
      <c r="J688" s="118">
        <f ca="1">IFERROR(__xludf.DUMMYFUNCTION("""COMPUTED_VALUE"""),0)</f>
        <v>0</v>
      </c>
      <c r="K688" s="120"/>
      <c r="L688" s="121"/>
      <c r="M688" s="120"/>
      <c r="N688" s="121"/>
      <c r="O688" s="120"/>
      <c r="P688" s="122"/>
      <c r="Q688" s="123" t="str">
        <f ca="1">IFERROR(__xludf.DUMMYFUNCTION("""COMPUTED_VALUE"""),"Mariella Oelrich")</f>
        <v>Mariella Oelrich</v>
      </c>
      <c r="R688" s="123"/>
      <c r="S688" s="123" t="str">
        <f ca="1">IFERROR(__xludf.DUMMYFUNCTION("""COMPUTED_VALUE"""),"Katherine Emerick")</f>
        <v>Katherine Emerick</v>
      </c>
      <c r="T688" s="123" t="str">
        <f ca="1">IFERROR(__xludf.DUMMYFUNCTION("""COMPUTED_VALUE"""),"Oliver Conole")</f>
        <v>Oliver Conole</v>
      </c>
    </row>
    <row r="689" spans="1:20" ht="13.8">
      <c r="A689" s="118" t="str">
        <f ca="1">IFERROR(__xludf.DUMMYFUNCTION("""COMPUTED_VALUE"""),"GF")</f>
        <v>GF</v>
      </c>
      <c r="B689" s="119" t="str">
        <f ca="1">IFERROR(__xludf.DUMMYFUNCTION("""COMPUTED_VALUE"""),"Aiden Miller")</f>
        <v>Aiden Miller</v>
      </c>
      <c r="C689" s="118">
        <f ca="1">IFERROR(__xludf.DUMMYFUNCTION("""COMPUTED_VALUE"""),9)</f>
        <v>9</v>
      </c>
      <c r="D689" s="118" t="str">
        <f ca="1">IFERROR(__xludf.DUMMYFUNCTION("""COMPUTED_VALUE"""),"B")</f>
        <v>B</v>
      </c>
      <c r="E689" s="118" t="str">
        <f ca="1">IFERROR(__xludf.DUMMYFUNCTION("""COMPUTED_VALUE"""),"F")</f>
        <v>F</v>
      </c>
      <c r="F689" s="118" t="str">
        <f ca="1">IFERROR(__xludf.DUMMYFUNCTION("""COMPUTED_VALUE"""),"J")</f>
        <v>J</v>
      </c>
      <c r="G689" s="118">
        <f ca="1">IFERROR(__xludf.DUMMYFUNCTION("""COMPUTED_VALUE"""),4)</f>
        <v>4</v>
      </c>
      <c r="H689" s="118" t="str">
        <f ca="1">IFERROR(__xludf.DUMMYFUNCTION("""COMPUTED_VALUE"""),"GF")</f>
        <v>GF</v>
      </c>
      <c r="I689" s="118">
        <f ca="1">IFERROR(__xludf.DUMMYFUNCTION("""COMPUTED_VALUE"""),5)</f>
        <v>5</v>
      </c>
      <c r="J689" s="118">
        <f ca="1">IFERROR(__xludf.DUMMYFUNCTION("""COMPUTED_VALUE"""),0)</f>
        <v>0</v>
      </c>
      <c r="K689" s="120"/>
      <c r="L689" s="121"/>
      <c r="M689" s="120"/>
      <c r="N689" s="121"/>
      <c r="O689" s="120"/>
      <c r="P689" s="122"/>
      <c r="Q689" s="123" t="str">
        <f ca="1">IFERROR(__xludf.DUMMYFUNCTION("""COMPUTED_VALUE"""),"Marisa Torregroza")</f>
        <v>Marisa Torregroza</v>
      </c>
      <c r="R689" s="123"/>
      <c r="S689" s="123" t="str">
        <f ca="1">IFERROR(__xludf.DUMMYFUNCTION("""COMPUTED_VALUE"""),"Katherine Lazarus")</f>
        <v>Katherine Lazarus</v>
      </c>
      <c r="T689" s="123" t="str">
        <f ca="1">IFERROR(__xludf.DUMMYFUNCTION("""COMPUTED_VALUE"""),"Oliver Engle")</f>
        <v>Oliver Engle</v>
      </c>
    </row>
    <row r="690" spans="1:20" ht="13.8">
      <c r="A690" s="118" t="str">
        <f ca="1">IFERROR(__xludf.DUMMYFUNCTION("""COMPUTED_VALUE"""),"GF")</f>
        <v>GF</v>
      </c>
      <c r="B690" s="119" t="str">
        <f ca="1">IFERROR(__xludf.DUMMYFUNCTION("""COMPUTED_VALUE"""),"Alex Valmont")</f>
        <v>Alex Valmont</v>
      </c>
      <c r="C690" s="118">
        <f ca="1">IFERROR(__xludf.DUMMYFUNCTION("""COMPUTED_VALUE"""),6)</f>
        <v>6</v>
      </c>
      <c r="D690" s="118" t="str">
        <f ca="1">IFERROR(__xludf.DUMMYFUNCTION("""COMPUTED_VALUE"""),"B")</f>
        <v>B</v>
      </c>
      <c r="E690" s="118" t="str">
        <f ca="1">IFERROR(__xludf.DUMMYFUNCTION("""COMPUTED_VALUE"""),"F")</f>
        <v>F</v>
      </c>
      <c r="F690" s="118" t="str">
        <f ca="1">IFERROR(__xludf.DUMMYFUNCTION("""COMPUTED_VALUE"""),"J")</f>
        <v>J</v>
      </c>
      <c r="G690" s="118">
        <f ca="1">IFERROR(__xludf.DUMMYFUNCTION("""COMPUTED_VALUE"""),4)</f>
        <v>4</v>
      </c>
      <c r="H690" s="118" t="str">
        <f ca="1">IFERROR(__xludf.DUMMYFUNCTION("""COMPUTED_VALUE"""),"GF")</f>
        <v>GF</v>
      </c>
      <c r="I690" s="118">
        <f ca="1">IFERROR(__xludf.DUMMYFUNCTION("""COMPUTED_VALUE"""),5)</f>
        <v>5</v>
      </c>
      <c r="J690" s="118">
        <f ca="1">IFERROR(__xludf.DUMMYFUNCTION("""COMPUTED_VALUE"""),2)</f>
        <v>2</v>
      </c>
      <c r="K690" s="120">
        <f ca="1">IFERROR(__xludf.DUMMYFUNCTION("""COMPUTED_VALUE"""),16.5)</f>
        <v>16.5</v>
      </c>
      <c r="L690" s="121"/>
      <c r="M690" s="120"/>
      <c r="N690" s="121"/>
      <c r="O690" s="120"/>
      <c r="P690" s="122"/>
      <c r="Q690" s="123" t="str">
        <f ca="1">IFERROR(__xludf.DUMMYFUNCTION("""COMPUTED_VALUE"""),"Marissa Rubin")</f>
        <v>Marissa Rubin</v>
      </c>
      <c r="R690" s="123"/>
      <c r="S690" s="123" t="str">
        <f ca="1">IFERROR(__xludf.DUMMYFUNCTION("""COMPUTED_VALUE"""),"Katherine Oswald")</f>
        <v>Katherine Oswald</v>
      </c>
      <c r="T690" s="123" t="str">
        <f ca="1">IFERROR(__xludf.DUMMYFUNCTION("""COMPUTED_VALUE"""),"Oliver Jarvis")</f>
        <v>Oliver Jarvis</v>
      </c>
    </row>
    <row r="691" spans="1:20" ht="13.8">
      <c r="A691" s="118" t="str">
        <f ca="1">IFERROR(__xludf.DUMMYFUNCTION("""COMPUTED_VALUE"""),"GF")</f>
        <v>GF</v>
      </c>
      <c r="B691" s="119" t="str">
        <f ca="1">IFERROR(__xludf.DUMMYFUNCTION("""COMPUTED_VALUE"""),"Amadeus Gudauskas")</f>
        <v>Amadeus Gudauskas</v>
      </c>
      <c r="C691" s="118">
        <f ca="1">IFERROR(__xludf.DUMMYFUNCTION("""COMPUTED_VALUE"""),8)</f>
        <v>8</v>
      </c>
      <c r="D691" s="118" t="str">
        <f ca="1">IFERROR(__xludf.DUMMYFUNCTION("""COMPUTED_VALUE"""),"B")</f>
        <v>B</v>
      </c>
      <c r="E691" s="118" t="str">
        <f ca="1">IFERROR(__xludf.DUMMYFUNCTION("""COMPUTED_VALUE"""),"F")</f>
        <v>F</v>
      </c>
      <c r="F691" s="118" t="str">
        <f ca="1">IFERROR(__xludf.DUMMYFUNCTION("""COMPUTED_VALUE"""),"J")</f>
        <v>J</v>
      </c>
      <c r="G691" s="118">
        <f ca="1">IFERROR(__xludf.DUMMYFUNCTION("""COMPUTED_VALUE"""),4)</f>
        <v>4</v>
      </c>
      <c r="H691" s="118" t="str">
        <f ca="1">IFERROR(__xludf.DUMMYFUNCTION("""COMPUTED_VALUE"""),"GF")</f>
        <v>GF</v>
      </c>
      <c r="I691" s="118">
        <f ca="1">IFERROR(__xludf.DUMMYFUNCTION("""COMPUTED_VALUE"""),5)</f>
        <v>5</v>
      </c>
      <c r="J691" s="118">
        <f ca="1">IFERROR(__xludf.DUMMYFUNCTION("""COMPUTED_VALUE"""),1)</f>
        <v>1</v>
      </c>
      <c r="K691" s="120">
        <f ca="1">IFERROR(__xludf.DUMMYFUNCTION("""COMPUTED_VALUE"""),36.4)</f>
        <v>36.4</v>
      </c>
      <c r="L691" s="121"/>
      <c r="M691" s="120"/>
      <c r="N691" s="121"/>
      <c r="O691" s="120">
        <f ca="1">IFERROR(__xludf.DUMMYFUNCTION("""COMPUTED_VALUE"""),36.4)</f>
        <v>36.4</v>
      </c>
      <c r="P691" s="122"/>
      <c r="Q691" s="123" t="str">
        <f ca="1">IFERROR(__xludf.DUMMYFUNCTION("""COMPUTED_VALUE"""),"Martha Bryan")</f>
        <v>Martha Bryan</v>
      </c>
      <c r="R691" s="123"/>
      <c r="S691" s="123" t="str">
        <f ca="1">IFERROR(__xludf.DUMMYFUNCTION("""COMPUTED_VALUE"""),"Katherine Walsh")</f>
        <v>Katherine Walsh</v>
      </c>
      <c r="T691" s="123" t="str">
        <f ca="1">IFERROR(__xludf.DUMMYFUNCTION("""COMPUTED_VALUE"""),"Oliver Katz")</f>
        <v>Oliver Katz</v>
      </c>
    </row>
    <row r="692" spans="1:20" ht="13.8">
      <c r="A692" s="118" t="str">
        <f ca="1">IFERROR(__xludf.DUMMYFUNCTION("""COMPUTED_VALUE"""),"GF")</f>
        <v>GF</v>
      </c>
      <c r="B692" s="119" t="str">
        <f ca="1">IFERROR(__xludf.DUMMYFUNCTION("""COMPUTED_VALUE"""),"Ben Baker")</f>
        <v>Ben Baker</v>
      </c>
      <c r="C692" s="118">
        <f ca="1">IFERROR(__xludf.DUMMYFUNCTION("""COMPUTED_VALUE"""),8)</f>
        <v>8</v>
      </c>
      <c r="D692" s="118" t="str">
        <f ca="1">IFERROR(__xludf.DUMMYFUNCTION("""COMPUTED_VALUE"""),"B")</f>
        <v>B</v>
      </c>
      <c r="E692" s="118" t="str">
        <f ca="1">IFERROR(__xludf.DUMMYFUNCTION("""COMPUTED_VALUE"""),"F")</f>
        <v>F</v>
      </c>
      <c r="F692" s="118" t="str">
        <f ca="1">IFERROR(__xludf.DUMMYFUNCTION("""COMPUTED_VALUE"""),"J")</f>
        <v>J</v>
      </c>
      <c r="G692" s="118">
        <f ca="1">IFERROR(__xludf.DUMMYFUNCTION("""COMPUTED_VALUE"""),4)</f>
        <v>4</v>
      </c>
      <c r="H692" s="118" t="str">
        <f ca="1">IFERROR(__xludf.DUMMYFUNCTION("""COMPUTED_VALUE"""),"GF")</f>
        <v>GF</v>
      </c>
      <c r="I692" s="118">
        <f ca="1">IFERROR(__xludf.DUMMYFUNCTION("""COMPUTED_VALUE"""),5)</f>
        <v>5</v>
      </c>
      <c r="J692" s="118">
        <f ca="1">IFERROR(__xludf.DUMMYFUNCTION("""COMPUTED_VALUE"""),1)</f>
        <v>1</v>
      </c>
      <c r="K692" s="120">
        <f ca="1">IFERROR(__xludf.DUMMYFUNCTION("""COMPUTED_VALUE"""),14.5)</f>
        <v>14.5</v>
      </c>
      <c r="L692" s="121"/>
      <c r="M692" s="120">
        <f ca="1">IFERROR(__xludf.DUMMYFUNCTION("""COMPUTED_VALUE"""),14.5)</f>
        <v>14.5</v>
      </c>
      <c r="N692" s="121"/>
      <c r="O692" s="120"/>
      <c r="P692" s="122"/>
      <c r="Q692" s="123" t="str">
        <f ca="1">IFERROR(__xludf.DUMMYFUNCTION("""COMPUTED_VALUE"""),"Mary Bairstow")</f>
        <v>Mary Bairstow</v>
      </c>
      <c r="R692" s="123"/>
      <c r="S692" s="123" t="str">
        <f ca="1">IFERROR(__xludf.DUMMYFUNCTION("""COMPUTED_VALUE"""),"Kathleen Ferguson")</f>
        <v>Kathleen Ferguson</v>
      </c>
      <c r="T692" s="123" t="str">
        <f ca="1">IFERROR(__xludf.DUMMYFUNCTION("""COMPUTED_VALUE"""),"Oliver Long")</f>
        <v>Oliver Long</v>
      </c>
    </row>
    <row r="693" spans="1:20" ht="13.8">
      <c r="A693" s="118" t="str">
        <f ca="1">IFERROR(__xludf.DUMMYFUNCTION("""COMPUTED_VALUE"""),"GF")</f>
        <v>GF</v>
      </c>
      <c r="B693" s="119" t="str">
        <f ca="1">IFERROR(__xludf.DUMMYFUNCTION("""COMPUTED_VALUE"""),"Charlie Bennett")</f>
        <v>Charlie Bennett</v>
      </c>
      <c r="C693" s="118">
        <f ca="1">IFERROR(__xludf.DUMMYFUNCTION("""COMPUTED_VALUE"""),6)</f>
        <v>6</v>
      </c>
      <c r="D693" s="118" t="str">
        <f ca="1">IFERROR(__xludf.DUMMYFUNCTION("""COMPUTED_VALUE"""),"B")</f>
        <v>B</v>
      </c>
      <c r="E693" s="118" t="str">
        <f ca="1">IFERROR(__xludf.DUMMYFUNCTION("""COMPUTED_VALUE"""),"F")</f>
        <v>F</v>
      </c>
      <c r="F693" s="118" t="str">
        <f ca="1">IFERROR(__xludf.DUMMYFUNCTION("""COMPUTED_VALUE"""),"J")</f>
        <v>J</v>
      </c>
      <c r="G693" s="118">
        <f ca="1">IFERROR(__xludf.DUMMYFUNCTION("""COMPUTED_VALUE"""),4)</f>
        <v>4</v>
      </c>
      <c r="H693" s="118" t="str">
        <f ca="1">IFERROR(__xludf.DUMMYFUNCTION("""COMPUTED_VALUE"""),"GF")</f>
        <v>GF</v>
      </c>
      <c r="I693" s="118">
        <f ca="1">IFERROR(__xludf.DUMMYFUNCTION("""COMPUTED_VALUE"""),5)</f>
        <v>5</v>
      </c>
      <c r="J693" s="118">
        <f ca="1">IFERROR(__xludf.DUMMYFUNCTION("""COMPUTED_VALUE"""),2)</f>
        <v>2</v>
      </c>
      <c r="K693" s="120">
        <f ca="1">IFERROR(__xludf.DUMMYFUNCTION("""COMPUTED_VALUE"""),24.9)</f>
        <v>24.9</v>
      </c>
      <c r="L693" s="121"/>
      <c r="M693" s="120">
        <f ca="1">IFERROR(__xludf.DUMMYFUNCTION("""COMPUTED_VALUE"""),19.25)</f>
        <v>19.25</v>
      </c>
      <c r="N693" s="121"/>
      <c r="O693" s="120"/>
      <c r="P693" s="122"/>
      <c r="Q693" s="123" t="str">
        <f ca="1">IFERROR(__xludf.DUMMYFUNCTION("""COMPUTED_VALUE"""),"Mary Brooks Simoneaux")</f>
        <v>Mary Brooks Simoneaux</v>
      </c>
      <c r="R693" s="123"/>
      <c r="S693" s="123" t="str">
        <f ca="1">IFERROR(__xludf.DUMMYFUNCTION("""COMPUTED_VALUE"""),"Kathryn Fegan")</f>
        <v>Kathryn Fegan</v>
      </c>
      <c r="T693" s="123" t="str">
        <f ca="1">IFERROR(__xludf.DUMMYFUNCTION("""COMPUTED_VALUE"""),"Oliver Matthews")</f>
        <v>Oliver Matthews</v>
      </c>
    </row>
    <row r="694" spans="1:20" ht="13.8">
      <c r="A694" s="118" t="str">
        <f ca="1">IFERROR(__xludf.DUMMYFUNCTION("""COMPUTED_VALUE"""),"GF")</f>
        <v>GF</v>
      </c>
      <c r="B694" s="119" t="str">
        <f ca="1">IFERROR(__xludf.DUMMYFUNCTION("""COMPUTED_VALUE"""),"Charlie Lake")</f>
        <v>Charlie Lake</v>
      </c>
      <c r="C694" s="118">
        <f ca="1">IFERROR(__xludf.DUMMYFUNCTION("""COMPUTED_VALUE"""),6)</f>
        <v>6</v>
      </c>
      <c r="D694" s="118" t="str">
        <f ca="1">IFERROR(__xludf.DUMMYFUNCTION("""COMPUTED_VALUE"""),"B")</f>
        <v>B</v>
      </c>
      <c r="E694" s="118" t="str">
        <f ca="1">IFERROR(__xludf.DUMMYFUNCTION("""COMPUTED_VALUE"""),"F")</f>
        <v>F</v>
      </c>
      <c r="F694" s="118" t="str">
        <f ca="1">IFERROR(__xludf.DUMMYFUNCTION("""COMPUTED_VALUE"""),"J")</f>
        <v>J</v>
      </c>
      <c r="G694" s="118">
        <f ca="1">IFERROR(__xludf.DUMMYFUNCTION("""COMPUTED_VALUE"""),4)</f>
        <v>4</v>
      </c>
      <c r="H694" s="118" t="str">
        <f ca="1">IFERROR(__xludf.DUMMYFUNCTION("""COMPUTED_VALUE"""),"GF")</f>
        <v>GF</v>
      </c>
      <c r="I694" s="118">
        <f ca="1">IFERROR(__xludf.DUMMYFUNCTION("""COMPUTED_VALUE"""),5)</f>
        <v>5</v>
      </c>
      <c r="J694" s="118">
        <f ca="1">IFERROR(__xludf.DUMMYFUNCTION("""COMPUTED_VALUE"""),3)</f>
        <v>3</v>
      </c>
      <c r="K694" s="120">
        <f ca="1">IFERROR(__xludf.DUMMYFUNCTION("""COMPUTED_VALUE"""),49.15)</f>
        <v>49.15</v>
      </c>
      <c r="L694" s="121"/>
      <c r="M694" s="120">
        <f ca="1">IFERROR(__xludf.DUMMYFUNCTION("""COMPUTED_VALUE"""),36.1)</f>
        <v>36.1</v>
      </c>
      <c r="N694" s="121"/>
      <c r="O694" s="120">
        <f ca="1">IFERROR(__xludf.DUMMYFUNCTION("""COMPUTED_VALUE"""),49.15)</f>
        <v>49.15</v>
      </c>
      <c r="P694" s="122"/>
      <c r="Q694" s="123" t="str">
        <f ca="1">IFERROR(__xludf.DUMMYFUNCTION("""COMPUTED_VALUE"""),"Matilda Balzer")</f>
        <v>Matilda Balzer</v>
      </c>
      <c r="R694" s="123"/>
      <c r="S694" s="123" t="str">
        <f ca="1">IFERROR(__xludf.DUMMYFUNCTION("""COMPUTED_VALUE"""),"Kathryn Miller")</f>
        <v>Kathryn Miller</v>
      </c>
      <c r="T694" s="123" t="str">
        <f ca="1">IFERROR(__xludf.DUMMYFUNCTION("""COMPUTED_VALUE"""),"Oliver Roques")</f>
        <v>Oliver Roques</v>
      </c>
    </row>
    <row r="695" spans="1:20" ht="13.8">
      <c r="A695" s="118" t="str">
        <f ca="1">IFERROR(__xludf.DUMMYFUNCTION("""COMPUTED_VALUE"""),"GF")</f>
        <v>GF</v>
      </c>
      <c r="B695" s="119" t="str">
        <f ca="1">IFERROR(__xludf.DUMMYFUNCTION("""COMPUTED_VALUE"""),"Deven Todman")</f>
        <v>Deven Todman</v>
      </c>
      <c r="C695" s="118">
        <f ca="1">IFERROR(__xludf.DUMMYFUNCTION("""COMPUTED_VALUE"""),9)</f>
        <v>9</v>
      </c>
      <c r="D695" s="118" t="str">
        <f ca="1">IFERROR(__xludf.DUMMYFUNCTION("""COMPUTED_VALUE"""),"B")</f>
        <v>B</v>
      </c>
      <c r="E695" s="118" t="str">
        <f ca="1">IFERROR(__xludf.DUMMYFUNCTION("""COMPUTED_VALUE"""),"F")</f>
        <v>F</v>
      </c>
      <c r="F695" s="118" t="str">
        <f ca="1">IFERROR(__xludf.DUMMYFUNCTION("""COMPUTED_VALUE"""),"J")</f>
        <v>J</v>
      </c>
      <c r="G695" s="118">
        <f ca="1">IFERROR(__xludf.DUMMYFUNCTION("""COMPUTED_VALUE"""),4)</f>
        <v>4</v>
      </c>
      <c r="H695" s="118" t="str">
        <f ca="1">IFERROR(__xludf.DUMMYFUNCTION("""COMPUTED_VALUE"""),"GF")</f>
        <v>GF</v>
      </c>
      <c r="I695" s="118">
        <f ca="1">IFERROR(__xludf.DUMMYFUNCTION("""COMPUTED_VALUE"""),5)</f>
        <v>5</v>
      </c>
      <c r="J695" s="118">
        <f ca="1">IFERROR(__xludf.DUMMYFUNCTION("""COMPUTED_VALUE"""),3)</f>
        <v>3</v>
      </c>
      <c r="K695" s="120">
        <f ca="1">IFERROR(__xludf.DUMMYFUNCTION("""COMPUTED_VALUE"""),52.85)</f>
        <v>52.85</v>
      </c>
      <c r="L695" s="121"/>
      <c r="M695" s="120">
        <f ca="1">IFERROR(__xludf.DUMMYFUNCTION("""COMPUTED_VALUE"""),44.85)</f>
        <v>44.85</v>
      </c>
      <c r="N695" s="121"/>
      <c r="O695" s="120">
        <f ca="1">IFERROR(__xludf.DUMMYFUNCTION("""COMPUTED_VALUE"""),52.85)</f>
        <v>52.85</v>
      </c>
      <c r="P695" s="122"/>
      <c r="Q695" s="123" t="str">
        <f ca="1">IFERROR(__xludf.DUMMYFUNCTION("""COMPUTED_VALUE"""),"Matilda Duffy")</f>
        <v>Matilda Duffy</v>
      </c>
      <c r="R695" s="123"/>
      <c r="S695" s="123" t="str">
        <f ca="1">IFERROR(__xludf.DUMMYFUNCTION("""COMPUTED_VALUE"""),"Katie Clague")</f>
        <v>Katie Clague</v>
      </c>
      <c r="T695" s="123" t="str">
        <f ca="1">IFERROR(__xludf.DUMMYFUNCTION("""COMPUTED_VALUE"""),"Oliver Rosenberg")</f>
        <v>Oliver Rosenberg</v>
      </c>
    </row>
    <row r="696" spans="1:20" ht="13.8">
      <c r="A696" s="118" t="str">
        <f ca="1">IFERROR(__xludf.DUMMYFUNCTION("""COMPUTED_VALUE"""),"GF")</f>
        <v>GF</v>
      </c>
      <c r="B696" s="119" t="str">
        <f ca="1">IFERROR(__xludf.DUMMYFUNCTION("""COMPUTED_VALUE"""),"Gianluca Bucelli")</f>
        <v>Gianluca Bucelli</v>
      </c>
      <c r="C696" s="118">
        <f ca="1">IFERROR(__xludf.DUMMYFUNCTION("""COMPUTED_VALUE"""),8)</f>
        <v>8</v>
      </c>
      <c r="D696" s="118" t="str">
        <f ca="1">IFERROR(__xludf.DUMMYFUNCTION("""COMPUTED_VALUE"""),"B")</f>
        <v>B</v>
      </c>
      <c r="E696" s="118" t="str">
        <f ca="1">IFERROR(__xludf.DUMMYFUNCTION("""COMPUTED_VALUE"""),"F")</f>
        <v>F</v>
      </c>
      <c r="F696" s="118" t="str">
        <f ca="1">IFERROR(__xludf.DUMMYFUNCTION("""COMPUTED_VALUE"""),"J")</f>
        <v>J</v>
      </c>
      <c r="G696" s="118">
        <f ca="1">IFERROR(__xludf.DUMMYFUNCTION("""COMPUTED_VALUE"""),4)</f>
        <v>4</v>
      </c>
      <c r="H696" s="118" t="str">
        <f ca="1">IFERROR(__xludf.DUMMYFUNCTION("""COMPUTED_VALUE"""),"GF")</f>
        <v>GF</v>
      </c>
      <c r="I696" s="118">
        <f ca="1">IFERROR(__xludf.DUMMYFUNCTION("""COMPUTED_VALUE"""),5)</f>
        <v>5</v>
      </c>
      <c r="J696" s="118">
        <f ca="1">IFERROR(__xludf.DUMMYFUNCTION("""COMPUTED_VALUE"""),0)</f>
        <v>0</v>
      </c>
      <c r="K696" s="120"/>
      <c r="L696" s="121"/>
      <c r="M696" s="120"/>
      <c r="N696" s="121"/>
      <c r="O696" s="120"/>
      <c r="P696" s="122"/>
      <c r="Q696" s="123" t="str">
        <f ca="1">IFERROR(__xludf.DUMMYFUNCTION("""COMPUTED_VALUE"""),"Matilda Kotania")</f>
        <v>Matilda Kotania</v>
      </c>
      <c r="R696" s="123"/>
      <c r="S696" s="123" t="str">
        <f ca="1">IFERROR(__xludf.DUMMYFUNCTION("""COMPUTED_VALUE"""),"Katie Gallegos")</f>
        <v>Katie Gallegos</v>
      </c>
      <c r="T696" s="123" t="str">
        <f ca="1">IFERROR(__xludf.DUMMYFUNCTION("""COMPUTED_VALUE"""),"Oliver Shum-Sanders")</f>
        <v>Oliver Shum-Sanders</v>
      </c>
    </row>
    <row r="697" spans="1:20" ht="13.8">
      <c r="A697" s="118" t="str">
        <f ca="1">IFERROR(__xludf.DUMMYFUNCTION("""COMPUTED_VALUE"""),"GF")</f>
        <v>GF</v>
      </c>
      <c r="B697" s="119" t="str">
        <f ca="1">IFERROR(__xludf.DUMMYFUNCTION("""COMPUTED_VALUE"""),"Holden Johnson")</f>
        <v>Holden Johnson</v>
      </c>
      <c r="C697" s="118">
        <f ca="1">IFERROR(__xludf.DUMMYFUNCTION("""COMPUTED_VALUE"""),7)</f>
        <v>7</v>
      </c>
      <c r="D697" s="118" t="str">
        <f ca="1">IFERROR(__xludf.DUMMYFUNCTION("""COMPUTED_VALUE"""),"B")</f>
        <v>B</v>
      </c>
      <c r="E697" s="118" t="str">
        <f ca="1">IFERROR(__xludf.DUMMYFUNCTION("""COMPUTED_VALUE"""),"F")</f>
        <v>F</v>
      </c>
      <c r="F697" s="118" t="str">
        <f ca="1">IFERROR(__xludf.DUMMYFUNCTION("""COMPUTED_VALUE"""),"J")</f>
        <v>J</v>
      </c>
      <c r="G697" s="118">
        <f ca="1">IFERROR(__xludf.DUMMYFUNCTION("""COMPUTED_VALUE"""),4)</f>
        <v>4</v>
      </c>
      <c r="H697" s="118" t="str">
        <f ca="1">IFERROR(__xludf.DUMMYFUNCTION("""COMPUTED_VALUE"""),"GF")</f>
        <v>GF</v>
      </c>
      <c r="I697" s="118">
        <f ca="1">IFERROR(__xludf.DUMMYFUNCTION("""COMPUTED_VALUE"""),5)</f>
        <v>5</v>
      </c>
      <c r="J697" s="118">
        <f ca="1">IFERROR(__xludf.DUMMYFUNCTION("""COMPUTED_VALUE"""),0)</f>
        <v>0</v>
      </c>
      <c r="K697" s="120"/>
      <c r="L697" s="121"/>
      <c r="M697" s="120"/>
      <c r="N697" s="121"/>
      <c r="O697" s="120"/>
      <c r="P697" s="122"/>
      <c r="Q697" s="123" t="str">
        <f ca="1">IFERROR(__xludf.DUMMYFUNCTION("""COMPUTED_VALUE"""),"Mattie Lechtman")</f>
        <v>Mattie Lechtman</v>
      </c>
      <c r="R697" s="123"/>
      <c r="S697" s="123" t="str">
        <f ca="1">IFERROR(__xludf.DUMMYFUNCTION("""COMPUTED_VALUE"""),"Katie Weaver")</f>
        <v>Katie Weaver</v>
      </c>
      <c r="T697" s="123" t="str">
        <f ca="1">IFERROR(__xludf.DUMMYFUNCTION("""COMPUTED_VALUE"""),"Optimus Bigby")</f>
        <v>Optimus Bigby</v>
      </c>
    </row>
    <row r="698" spans="1:20" ht="13.8">
      <c r="A698" s="118" t="str">
        <f ca="1">IFERROR(__xludf.DUMMYFUNCTION("""COMPUTED_VALUE"""),"GF")</f>
        <v>GF</v>
      </c>
      <c r="B698" s="119" t="str">
        <f ca="1">IFERROR(__xludf.DUMMYFUNCTION("""COMPUTED_VALUE"""),"Hugo Kroely")</f>
        <v>Hugo Kroely</v>
      </c>
      <c r="C698" s="118">
        <f ca="1">IFERROR(__xludf.DUMMYFUNCTION("""COMPUTED_VALUE"""),6)</f>
        <v>6</v>
      </c>
      <c r="D698" s="118" t="str">
        <f ca="1">IFERROR(__xludf.DUMMYFUNCTION("""COMPUTED_VALUE"""),"B")</f>
        <v>B</v>
      </c>
      <c r="E698" s="118" t="str">
        <f ca="1">IFERROR(__xludf.DUMMYFUNCTION("""COMPUTED_VALUE"""),"F")</f>
        <v>F</v>
      </c>
      <c r="F698" s="118" t="str">
        <f ca="1">IFERROR(__xludf.DUMMYFUNCTION("""COMPUTED_VALUE"""),"J")</f>
        <v>J</v>
      </c>
      <c r="G698" s="118">
        <f ca="1">IFERROR(__xludf.DUMMYFUNCTION("""COMPUTED_VALUE"""),4)</f>
        <v>4</v>
      </c>
      <c r="H698" s="118" t="str">
        <f ca="1">IFERROR(__xludf.DUMMYFUNCTION("""COMPUTED_VALUE"""),"GF")</f>
        <v>GF</v>
      </c>
      <c r="I698" s="118">
        <f ca="1">IFERROR(__xludf.DUMMYFUNCTION("""COMPUTED_VALUE"""),5)</f>
        <v>5</v>
      </c>
      <c r="J698" s="118">
        <f ca="1">IFERROR(__xludf.DUMMYFUNCTION("""COMPUTED_VALUE"""),4)</f>
        <v>4</v>
      </c>
      <c r="K698" s="120">
        <f ca="1">IFERROR(__xludf.DUMMYFUNCTION("""COMPUTED_VALUE"""),31.6)</f>
        <v>31.6</v>
      </c>
      <c r="L698" s="121"/>
      <c r="M698" s="120">
        <f ca="1">IFERROR(__xludf.DUMMYFUNCTION("""COMPUTED_VALUE"""),31.6)</f>
        <v>31.6</v>
      </c>
      <c r="N698" s="121"/>
      <c r="O698" s="120">
        <f ca="1">IFERROR(__xludf.DUMMYFUNCTION("""COMPUTED_VALUE"""),25.2)</f>
        <v>25.2</v>
      </c>
      <c r="P698" s="122"/>
      <c r="Q698" s="123" t="str">
        <f ca="1">IFERROR(__xludf.DUMMYFUNCTION("""COMPUTED_VALUE"""),"Maya Fritz")</f>
        <v>Maya Fritz</v>
      </c>
      <c r="R698" s="123"/>
      <c r="S698" s="123" t="str">
        <f ca="1">IFERROR(__xludf.DUMMYFUNCTION("""COMPUTED_VALUE"""),"Kayla Knight")</f>
        <v>Kayla Knight</v>
      </c>
      <c r="T698" s="123" t="str">
        <f ca="1">IFERROR(__xludf.DUMMYFUNCTION("""COMPUTED_VALUE"""),"Orion Albers")</f>
        <v>Orion Albers</v>
      </c>
    </row>
    <row r="699" spans="1:20" ht="13.8">
      <c r="A699" s="118" t="str">
        <f ca="1">IFERROR(__xludf.DUMMYFUNCTION("""COMPUTED_VALUE"""),"GF")</f>
        <v>GF</v>
      </c>
      <c r="B699" s="119" t="str">
        <f ca="1">IFERROR(__xludf.DUMMYFUNCTION("""COMPUTED_VALUE"""),"James Lake")</f>
        <v>James Lake</v>
      </c>
      <c r="C699" s="118">
        <f ca="1">IFERROR(__xludf.DUMMYFUNCTION("""COMPUTED_VALUE"""),7)</f>
        <v>7</v>
      </c>
      <c r="D699" s="118" t="str">
        <f ca="1">IFERROR(__xludf.DUMMYFUNCTION("""COMPUTED_VALUE"""),"B")</f>
        <v>B</v>
      </c>
      <c r="E699" s="118" t="str">
        <f ca="1">IFERROR(__xludf.DUMMYFUNCTION("""COMPUTED_VALUE"""),"F")</f>
        <v>F</v>
      </c>
      <c r="F699" s="118" t="str">
        <f ca="1">IFERROR(__xludf.DUMMYFUNCTION("""COMPUTED_VALUE"""),"J")</f>
        <v>J</v>
      </c>
      <c r="G699" s="118">
        <f ca="1">IFERROR(__xludf.DUMMYFUNCTION("""COMPUTED_VALUE"""),4)</f>
        <v>4</v>
      </c>
      <c r="H699" s="118" t="str">
        <f ca="1">IFERROR(__xludf.DUMMYFUNCTION("""COMPUTED_VALUE"""),"GF")</f>
        <v>GF</v>
      </c>
      <c r="I699" s="118">
        <f ca="1">IFERROR(__xludf.DUMMYFUNCTION("""COMPUTED_VALUE"""),5)</f>
        <v>5</v>
      </c>
      <c r="J699" s="118">
        <f ca="1">IFERROR(__xludf.DUMMYFUNCTION("""COMPUTED_VALUE"""),3)</f>
        <v>3</v>
      </c>
      <c r="K699" s="120">
        <f ca="1">IFERROR(__xludf.DUMMYFUNCTION("""COMPUTED_VALUE"""),45.8)</f>
        <v>45.8</v>
      </c>
      <c r="L699" s="121"/>
      <c r="M699" s="120">
        <f ca="1">IFERROR(__xludf.DUMMYFUNCTION("""COMPUTED_VALUE"""),42.9)</f>
        <v>42.9</v>
      </c>
      <c r="N699" s="121"/>
      <c r="O699" s="120">
        <f ca="1">IFERROR(__xludf.DUMMYFUNCTION("""COMPUTED_VALUE"""),41.05)</f>
        <v>41.05</v>
      </c>
      <c r="P699" s="122"/>
      <c r="Q699" s="123" t="str">
        <f ca="1">IFERROR(__xludf.DUMMYFUNCTION("""COMPUTED_VALUE"""),"Maya Orlova")</f>
        <v>Maya Orlova</v>
      </c>
      <c r="R699" s="123"/>
      <c r="S699" s="123" t="str">
        <f ca="1">IFERROR(__xludf.DUMMYFUNCTION("""COMPUTED_VALUE"""),"Keigan Hickey")</f>
        <v>Keigan Hickey</v>
      </c>
      <c r="T699" s="123" t="str">
        <f ca="1">IFERROR(__xludf.DUMMYFUNCTION("""COMPUTED_VALUE"""),"Orion Bigby")</f>
        <v>Orion Bigby</v>
      </c>
    </row>
    <row r="700" spans="1:20" ht="13.8">
      <c r="A700" s="118" t="str">
        <f ca="1">IFERROR(__xludf.DUMMYFUNCTION("""COMPUTED_VALUE"""),"GF")</f>
        <v>GF</v>
      </c>
      <c r="B700" s="119" t="str">
        <f ca="1">IFERROR(__xludf.DUMMYFUNCTION("""COMPUTED_VALUE"""),"Landon Lucey")</f>
        <v>Landon Lucey</v>
      </c>
      <c r="C700" s="118">
        <f ca="1">IFERROR(__xludf.DUMMYFUNCTION("""COMPUTED_VALUE"""),9)</f>
        <v>9</v>
      </c>
      <c r="D700" s="118" t="str">
        <f ca="1">IFERROR(__xludf.DUMMYFUNCTION("""COMPUTED_VALUE"""),"B")</f>
        <v>B</v>
      </c>
      <c r="E700" s="118" t="str">
        <f ca="1">IFERROR(__xludf.DUMMYFUNCTION("""COMPUTED_VALUE"""),"F")</f>
        <v>F</v>
      </c>
      <c r="F700" s="118" t="str">
        <f ca="1">IFERROR(__xludf.DUMMYFUNCTION("""COMPUTED_VALUE"""),"J")</f>
        <v>J</v>
      </c>
      <c r="G700" s="118">
        <f ca="1">IFERROR(__xludf.DUMMYFUNCTION("""COMPUTED_VALUE"""),4)</f>
        <v>4</v>
      </c>
      <c r="H700" s="118" t="str">
        <f ca="1">IFERROR(__xludf.DUMMYFUNCTION("""COMPUTED_VALUE"""),"GF")</f>
        <v>GF</v>
      </c>
      <c r="I700" s="118">
        <f ca="1">IFERROR(__xludf.DUMMYFUNCTION("""COMPUTED_VALUE"""),5)</f>
        <v>5</v>
      </c>
      <c r="J700" s="118">
        <f ca="1">IFERROR(__xludf.DUMMYFUNCTION("""COMPUTED_VALUE"""),1)</f>
        <v>1</v>
      </c>
      <c r="K700" s="120">
        <f ca="1">IFERROR(__xludf.DUMMYFUNCTION("""COMPUTED_VALUE"""),23.35)</f>
        <v>23.35</v>
      </c>
      <c r="L700" s="121"/>
      <c r="M700" s="120"/>
      <c r="N700" s="121"/>
      <c r="O700" s="120">
        <f ca="1">IFERROR(__xludf.DUMMYFUNCTION("""COMPUTED_VALUE"""),23.35)</f>
        <v>23.35</v>
      </c>
      <c r="P700" s="122"/>
      <c r="Q700" s="123" t="str">
        <f ca="1">IFERROR(__xludf.DUMMYFUNCTION("""COMPUTED_VALUE"""),"Maya Robertson")</f>
        <v>Maya Robertson</v>
      </c>
      <c r="R700" s="123"/>
      <c r="S700" s="123" t="str">
        <f ca="1">IFERROR(__xludf.DUMMYFUNCTION("""COMPUTED_VALUE"""),"Keira Chaney")</f>
        <v>Keira Chaney</v>
      </c>
      <c r="T700" s="123" t="str">
        <f ca="1">IFERROR(__xludf.DUMMYFUNCTION("""COMPUTED_VALUE"""),"Oscar Turatbekov")</f>
        <v>Oscar Turatbekov</v>
      </c>
    </row>
    <row r="701" spans="1:20" ht="13.8">
      <c r="A701" s="118" t="str">
        <f ca="1">IFERROR(__xludf.DUMMYFUNCTION("""COMPUTED_VALUE"""),"GF")</f>
        <v>GF</v>
      </c>
      <c r="B701" s="119" t="str">
        <f ca="1">IFERROR(__xludf.DUMMYFUNCTION("""COMPUTED_VALUE"""),"Landon Stang")</f>
        <v>Landon Stang</v>
      </c>
      <c r="C701" s="118">
        <f ca="1">IFERROR(__xludf.DUMMYFUNCTION("""COMPUTED_VALUE"""),8)</f>
        <v>8</v>
      </c>
      <c r="D701" s="118" t="str">
        <f ca="1">IFERROR(__xludf.DUMMYFUNCTION("""COMPUTED_VALUE"""),"B")</f>
        <v>B</v>
      </c>
      <c r="E701" s="118" t="str">
        <f ca="1">IFERROR(__xludf.DUMMYFUNCTION("""COMPUTED_VALUE"""),"F")</f>
        <v>F</v>
      </c>
      <c r="F701" s="118" t="str">
        <f ca="1">IFERROR(__xludf.DUMMYFUNCTION("""COMPUTED_VALUE"""),"J")</f>
        <v>J</v>
      </c>
      <c r="G701" s="118">
        <f ca="1">IFERROR(__xludf.DUMMYFUNCTION("""COMPUTED_VALUE"""),4)</f>
        <v>4</v>
      </c>
      <c r="H701" s="118" t="str">
        <f ca="1">IFERROR(__xludf.DUMMYFUNCTION("""COMPUTED_VALUE"""),"GF")</f>
        <v>GF</v>
      </c>
      <c r="I701" s="118">
        <f ca="1">IFERROR(__xludf.DUMMYFUNCTION("""COMPUTED_VALUE"""),5)</f>
        <v>5</v>
      </c>
      <c r="J701" s="118">
        <f ca="1">IFERROR(__xludf.DUMMYFUNCTION("""COMPUTED_VALUE"""),0)</f>
        <v>0</v>
      </c>
      <c r="K701" s="120"/>
      <c r="L701" s="121"/>
      <c r="M701" s="120"/>
      <c r="N701" s="121"/>
      <c r="O701" s="120"/>
      <c r="P701" s="122"/>
      <c r="Q701" s="123" t="str">
        <f ca="1">IFERROR(__xludf.DUMMYFUNCTION("""COMPUTED_VALUE"""),"Maya Truitt")</f>
        <v>Maya Truitt</v>
      </c>
      <c r="R701" s="123"/>
      <c r="S701" s="123" t="str">
        <f ca="1">IFERROR(__xludf.DUMMYFUNCTION("""COMPUTED_VALUE"""),"Keira Dalrymple")</f>
        <v>Keira Dalrymple</v>
      </c>
      <c r="T701" s="123" t="str">
        <f ca="1">IFERROR(__xludf.DUMMYFUNCTION("""COMPUTED_VALUE"""),"Otto Imer")</f>
        <v>Otto Imer</v>
      </c>
    </row>
    <row r="702" spans="1:20" ht="13.8">
      <c r="A702" s="118" t="str">
        <f ca="1">IFERROR(__xludf.DUMMYFUNCTION("""COMPUTED_VALUE"""),"GF")</f>
        <v>GF</v>
      </c>
      <c r="B702" s="119" t="str">
        <f ca="1">IFERROR(__xludf.DUMMYFUNCTION("""COMPUTED_VALUE"""),"Luke Bergeron")</f>
        <v>Luke Bergeron</v>
      </c>
      <c r="C702" s="118">
        <f ca="1">IFERROR(__xludf.DUMMYFUNCTION("""COMPUTED_VALUE"""),7)</f>
        <v>7</v>
      </c>
      <c r="D702" s="118" t="str">
        <f ca="1">IFERROR(__xludf.DUMMYFUNCTION("""COMPUTED_VALUE"""),"B")</f>
        <v>B</v>
      </c>
      <c r="E702" s="118" t="str">
        <f ca="1">IFERROR(__xludf.DUMMYFUNCTION("""COMPUTED_VALUE"""),"F")</f>
        <v>F</v>
      </c>
      <c r="F702" s="118" t="str">
        <f ca="1">IFERROR(__xludf.DUMMYFUNCTION("""COMPUTED_VALUE"""),"J")</f>
        <v>J</v>
      </c>
      <c r="G702" s="118">
        <f ca="1">IFERROR(__xludf.DUMMYFUNCTION("""COMPUTED_VALUE"""),4)</f>
        <v>4</v>
      </c>
      <c r="H702" s="118" t="str">
        <f ca="1">IFERROR(__xludf.DUMMYFUNCTION("""COMPUTED_VALUE"""),"GF")</f>
        <v>GF</v>
      </c>
      <c r="I702" s="118">
        <f ca="1">IFERROR(__xludf.DUMMYFUNCTION("""COMPUTED_VALUE"""),5)</f>
        <v>5</v>
      </c>
      <c r="J702" s="118">
        <f ca="1">IFERROR(__xludf.DUMMYFUNCTION("""COMPUTED_VALUE"""),0)</f>
        <v>0</v>
      </c>
      <c r="K702" s="120"/>
      <c r="L702" s="121"/>
      <c r="M702" s="120"/>
      <c r="N702" s="121"/>
      <c r="O702" s="120"/>
      <c r="P702" s="122"/>
      <c r="Q702" s="123" t="str">
        <f ca="1">IFERROR(__xludf.DUMMYFUNCTION("""COMPUTED_VALUE"""),"Maya Weidner")</f>
        <v>Maya Weidner</v>
      </c>
      <c r="R702" s="123"/>
      <c r="S702" s="123" t="str">
        <f ca="1">IFERROR(__xludf.DUMMYFUNCTION("""COMPUTED_VALUE"""),"Kelly Keough")</f>
        <v>Kelly Keough</v>
      </c>
      <c r="T702" s="123" t="str">
        <f ca="1">IFERROR(__xludf.DUMMYFUNCTION("""COMPUTED_VALUE"""),"Owen Bassett")</f>
        <v>Owen Bassett</v>
      </c>
    </row>
    <row r="703" spans="1:20" ht="13.8">
      <c r="A703" s="118" t="str">
        <f ca="1">IFERROR(__xludf.DUMMYFUNCTION("""COMPUTED_VALUE"""),"GF")</f>
        <v>GF</v>
      </c>
      <c r="B703" s="119" t="str">
        <f ca="1">IFERROR(__xludf.DUMMYFUNCTION("""COMPUTED_VALUE"""),"Max Damjan")</f>
        <v>Max Damjan</v>
      </c>
      <c r="C703" s="118">
        <f ca="1">IFERROR(__xludf.DUMMYFUNCTION("""COMPUTED_VALUE"""),10)</f>
        <v>10</v>
      </c>
      <c r="D703" s="118" t="str">
        <f ca="1">IFERROR(__xludf.DUMMYFUNCTION("""COMPUTED_VALUE"""),"B")</f>
        <v>B</v>
      </c>
      <c r="E703" s="118" t="str">
        <f ca="1">IFERROR(__xludf.DUMMYFUNCTION("""COMPUTED_VALUE"""),"F")</f>
        <v>F</v>
      </c>
      <c r="F703" s="118" t="str">
        <f ca="1">IFERROR(__xludf.DUMMYFUNCTION("""COMPUTED_VALUE"""),"J")</f>
        <v>J</v>
      </c>
      <c r="G703" s="118">
        <f ca="1">IFERROR(__xludf.DUMMYFUNCTION("""COMPUTED_VALUE"""),4)</f>
        <v>4</v>
      </c>
      <c r="H703" s="118" t="str">
        <f ca="1">IFERROR(__xludf.DUMMYFUNCTION("""COMPUTED_VALUE"""),"GF")</f>
        <v>GF</v>
      </c>
      <c r="I703" s="118">
        <f ca="1">IFERROR(__xludf.DUMMYFUNCTION("""COMPUTED_VALUE"""),5)</f>
        <v>5</v>
      </c>
      <c r="J703" s="118">
        <f ca="1">IFERROR(__xludf.DUMMYFUNCTION("""COMPUTED_VALUE"""),5)</f>
        <v>5</v>
      </c>
      <c r="K703" s="120">
        <f ca="1">IFERROR(__xludf.DUMMYFUNCTION("""COMPUTED_VALUE"""),51.2)</f>
        <v>51.2</v>
      </c>
      <c r="L703" s="121"/>
      <c r="M703" s="120">
        <f ca="1">IFERROR(__xludf.DUMMYFUNCTION("""COMPUTED_VALUE"""),37.8)</f>
        <v>37.799999999999997</v>
      </c>
      <c r="N703" s="121"/>
      <c r="O703" s="120">
        <f ca="1">IFERROR(__xludf.DUMMYFUNCTION("""COMPUTED_VALUE"""),51.2)</f>
        <v>51.2</v>
      </c>
      <c r="P703" s="122"/>
      <c r="Q703" s="123" t="str">
        <f ca="1">IFERROR(__xludf.DUMMYFUNCTION("""COMPUTED_VALUE"""),"McKay Deegan")</f>
        <v>McKay Deegan</v>
      </c>
      <c r="R703" s="123"/>
      <c r="S703" s="123" t="str">
        <f ca="1">IFERROR(__xludf.DUMMYFUNCTION("""COMPUTED_VALUE"""),"Kelsie Trieu")</f>
        <v>Kelsie Trieu</v>
      </c>
      <c r="T703" s="123" t="str">
        <f ca="1">IFERROR(__xludf.DUMMYFUNCTION("""COMPUTED_VALUE"""),"Owen Constantine")</f>
        <v>Owen Constantine</v>
      </c>
    </row>
    <row r="704" spans="1:20" ht="13.8">
      <c r="A704" s="118" t="str">
        <f ca="1">IFERROR(__xludf.DUMMYFUNCTION("""COMPUTED_VALUE"""),"GF")</f>
        <v>GF</v>
      </c>
      <c r="B704" s="119" t="str">
        <f ca="1">IFERROR(__xludf.DUMMYFUNCTION("""COMPUTED_VALUE"""),"Max McKnight")</f>
        <v>Max McKnight</v>
      </c>
      <c r="C704" s="118">
        <f ca="1">IFERROR(__xludf.DUMMYFUNCTION("""COMPUTED_VALUE"""),8)</f>
        <v>8</v>
      </c>
      <c r="D704" s="118" t="str">
        <f ca="1">IFERROR(__xludf.DUMMYFUNCTION("""COMPUTED_VALUE"""),"B")</f>
        <v>B</v>
      </c>
      <c r="E704" s="118" t="str">
        <f ca="1">IFERROR(__xludf.DUMMYFUNCTION("""COMPUTED_VALUE"""),"F")</f>
        <v>F</v>
      </c>
      <c r="F704" s="118" t="str">
        <f ca="1">IFERROR(__xludf.DUMMYFUNCTION("""COMPUTED_VALUE"""),"J")</f>
        <v>J</v>
      </c>
      <c r="G704" s="118">
        <f ca="1">IFERROR(__xludf.DUMMYFUNCTION("""COMPUTED_VALUE"""),4)</f>
        <v>4</v>
      </c>
      <c r="H704" s="118" t="str">
        <f ca="1">IFERROR(__xludf.DUMMYFUNCTION("""COMPUTED_VALUE"""),"GF")</f>
        <v>GF</v>
      </c>
      <c r="I704" s="118">
        <f ca="1">IFERROR(__xludf.DUMMYFUNCTION("""COMPUTED_VALUE"""),5)</f>
        <v>5</v>
      </c>
      <c r="J704" s="118">
        <f ca="1">IFERROR(__xludf.DUMMYFUNCTION("""COMPUTED_VALUE"""),5)</f>
        <v>5</v>
      </c>
      <c r="K704" s="120">
        <f ca="1">IFERROR(__xludf.DUMMYFUNCTION("""COMPUTED_VALUE"""),31.4)</f>
        <v>31.4</v>
      </c>
      <c r="L704" s="121"/>
      <c r="M704" s="120">
        <f ca="1">IFERROR(__xludf.DUMMYFUNCTION("""COMPUTED_VALUE"""),26.2)</f>
        <v>26.2</v>
      </c>
      <c r="N704" s="121"/>
      <c r="O704" s="120">
        <f ca="1">IFERROR(__xludf.DUMMYFUNCTION("""COMPUTED_VALUE"""),31.4)</f>
        <v>31.4</v>
      </c>
      <c r="P704" s="122"/>
      <c r="Q704" s="123" t="str">
        <f ca="1">IFERROR(__xludf.DUMMYFUNCTION("""COMPUTED_VALUE"""),"McKenna Dicke")</f>
        <v>McKenna Dicke</v>
      </c>
      <c r="R704" s="123"/>
      <c r="S704" s="123" t="str">
        <f ca="1">IFERROR(__xludf.DUMMYFUNCTION("""COMPUTED_VALUE"""),"Kendall Arnz")</f>
        <v>Kendall Arnz</v>
      </c>
      <c r="T704" s="123" t="str">
        <f ca="1">IFERROR(__xludf.DUMMYFUNCTION("""COMPUTED_VALUE"""),"Owen Glasser")</f>
        <v>Owen Glasser</v>
      </c>
    </row>
    <row r="705" spans="1:20" ht="13.8">
      <c r="A705" s="118" t="str">
        <f ca="1">IFERROR(__xludf.DUMMYFUNCTION("""COMPUTED_VALUE"""),"GF")</f>
        <v>GF</v>
      </c>
      <c r="B705" s="119" t="str">
        <f ca="1">IFERROR(__xludf.DUMMYFUNCTION("""COMPUTED_VALUE"""),"Pierre Kroely")</f>
        <v>Pierre Kroely</v>
      </c>
      <c r="C705" s="118">
        <f ca="1">IFERROR(__xludf.DUMMYFUNCTION("""COMPUTED_VALUE"""),9)</f>
        <v>9</v>
      </c>
      <c r="D705" s="118" t="str">
        <f ca="1">IFERROR(__xludf.DUMMYFUNCTION("""COMPUTED_VALUE"""),"B")</f>
        <v>B</v>
      </c>
      <c r="E705" s="118" t="str">
        <f ca="1">IFERROR(__xludf.DUMMYFUNCTION("""COMPUTED_VALUE"""),"F")</f>
        <v>F</v>
      </c>
      <c r="F705" s="118" t="str">
        <f ca="1">IFERROR(__xludf.DUMMYFUNCTION("""COMPUTED_VALUE"""),"J")</f>
        <v>J</v>
      </c>
      <c r="G705" s="118">
        <f ca="1">IFERROR(__xludf.DUMMYFUNCTION("""COMPUTED_VALUE"""),4)</f>
        <v>4</v>
      </c>
      <c r="H705" s="118" t="str">
        <f ca="1">IFERROR(__xludf.DUMMYFUNCTION("""COMPUTED_VALUE"""),"GF")</f>
        <v>GF</v>
      </c>
      <c r="I705" s="118">
        <f ca="1">IFERROR(__xludf.DUMMYFUNCTION("""COMPUTED_VALUE"""),5)</f>
        <v>5</v>
      </c>
      <c r="J705" s="118">
        <f ca="1">IFERROR(__xludf.DUMMYFUNCTION("""COMPUTED_VALUE"""),5)</f>
        <v>5</v>
      </c>
      <c r="K705" s="120">
        <f ca="1">IFERROR(__xludf.DUMMYFUNCTION("""COMPUTED_VALUE"""),64.6)</f>
        <v>64.599999999999994</v>
      </c>
      <c r="L705" s="121"/>
      <c r="M705" s="120">
        <f ca="1">IFERROR(__xludf.DUMMYFUNCTION("""COMPUTED_VALUE"""),-60.45)</f>
        <v>-60.45</v>
      </c>
      <c r="N705" s="121"/>
      <c r="O705" s="120">
        <f ca="1">IFERROR(__xludf.DUMMYFUNCTION("""COMPUTED_VALUE"""),64.6)</f>
        <v>64.599999999999994</v>
      </c>
      <c r="P705" s="122"/>
      <c r="Q705" s="123" t="str">
        <f ca="1">IFERROR(__xludf.DUMMYFUNCTION("""COMPUTED_VALUE"""),"McKinley Cervenak")</f>
        <v>McKinley Cervenak</v>
      </c>
      <c r="R705" s="123"/>
      <c r="S705" s="123" t="str">
        <f ca="1">IFERROR(__xludf.DUMMYFUNCTION("""COMPUTED_VALUE"""),"Kendall Looney")</f>
        <v>Kendall Looney</v>
      </c>
      <c r="T705" s="123" t="str">
        <f ca="1">IFERROR(__xludf.DUMMYFUNCTION("""COMPUTED_VALUE"""),"Owen Henderson")</f>
        <v>Owen Henderson</v>
      </c>
    </row>
    <row r="706" spans="1:20" ht="13.8">
      <c r="A706" s="118" t="str">
        <f ca="1">IFERROR(__xludf.DUMMYFUNCTION("""COMPUTED_VALUE"""),"GF")</f>
        <v>GF</v>
      </c>
      <c r="B706" s="119" t="str">
        <f ca="1">IFERROR(__xludf.DUMMYFUNCTION("""COMPUTED_VALUE"""),"Sasha Gilstrap")</f>
        <v>Sasha Gilstrap</v>
      </c>
      <c r="C706" s="118">
        <f ca="1">IFERROR(__xludf.DUMMYFUNCTION("""COMPUTED_VALUE"""),10)</f>
        <v>10</v>
      </c>
      <c r="D706" s="118" t="str">
        <f ca="1">IFERROR(__xludf.DUMMYFUNCTION("""COMPUTED_VALUE"""),"B")</f>
        <v>B</v>
      </c>
      <c r="E706" s="118" t="str">
        <f ca="1">IFERROR(__xludf.DUMMYFUNCTION("""COMPUTED_VALUE"""),"F")</f>
        <v>F</v>
      </c>
      <c r="F706" s="118" t="str">
        <f ca="1">IFERROR(__xludf.DUMMYFUNCTION("""COMPUTED_VALUE"""),"J")</f>
        <v>J</v>
      </c>
      <c r="G706" s="118">
        <f ca="1">IFERROR(__xludf.DUMMYFUNCTION("""COMPUTED_VALUE"""),4)</f>
        <v>4</v>
      </c>
      <c r="H706" s="118" t="str">
        <f ca="1">IFERROR(__xludf.DUMMYFUNCTION("""COMPUTED_VALUE"""),"GF")</f>
        <v>GF</v>
      </c>
      <c r="I706" s="118">
        <f ca="1">IFERROR(__xludf.DUMMYFUNCTION("""COMPUTED_VALUE"""),5)</f>
        <v>5</v>
      </c>
      <c r="J706" s="118">
        <f ca="1">IFERROR(__xludf.DUMMYFUNCTION("""COMPUTED_VALUE"""),2)</f>
        <v>2</v>
      </c>
      <c r="K706" s="120">
        <f ca="1">IFERROR(__xludf.DUMMYFUNCTION("""COMPUTED_VALUE"""),48.9)</f>
        <v>48.9</v>
      </c>
      <c r="L706" s="121"/>
      <c r="M706" s="120"/>
      <c r="N706" s="121"/>
      <c r="O706" s="120"/>
      <c r="P706" s="122"/>
      <c r="Q706" s="123" t="str">
        <f ca="1">IFERROR(__xludf.DUMMYFUNCTION("""COMPUTED_VALUE"""),"Meera Bansal")</f>
        <v>Meera Bansal</v>
      </c>
      <c r="R706" s="123"/>
      <c r="S706" s="123" t="str">
        <f ca="1">IFERROR(__xludf.DUMMYFUNCTION("""COMPUTED_VALUE"""),"Kendall Wilson")</f>
        <v>Kendall Wilson</v>
      </c>
      <c r="T706" s="123" t="str">
        <f ca="1">IFERROR(__xludf.DUMMYFUNCTION("""COMPUTED_VALUE"""),"Owen Herbert")</f>
        <v>Owen Herbert</v>
      </c>
    </row>
    <row r="707" spans="1:20" ht="13.8">
      <c r="A707" s="118" t="str">
        <f ca="1">IFERROR(__xludf.DUMMYFUNCTION("""COMPUTED_VALUE"""),"GF")</f>
        <v>GF</v>
      </c>
      <c r="B707" s="119" t="str">
        <f ca="1">IFERROR(__xludf.DUMMYFUNCTION("""COMPUTED_VALUE"""),"Aletheia Wiley-Jimenez")</f>
        <v>Aletheia Wiley-Jimenez</v>
      </c>
      <c r="C707" s="118">
        <f ca="1">IFERROR(__xludf.DUMMYFUNCTION("""COMPUTED_VALUE"""),11)</f>
        <v>11</v>
      </c>
      <c r="D707" s="118" t="str">
        <f ca="1">IFERROR(__xludf.DUMMYFUNCTION("""COMPUTED_VALUE"""),"G")</f>
        <v>G</v>
      </c>
      <c r="E707" s="118" t="str">
        <f ca="1">IFERROR(__xludf.DUMMYFUNCTION("""COMPUTED_VALUE"""),"J")</f>
        <v>J</v>
      </c>
      <c r="F707" s="118" t="str">
        <f ca="1">IFERROR(__xludf.DUMMYFUNCTION("""COMPUTED_VALUE"""),"I")</f>
        <v>I</v>
      </c>
      <c r="G707" s="118">
        <f ca="1">IFERROR(__xludf.DUMMYFUNCTION("""COMPUTED_VALUE"""),4)</f>
        <v>4</v>
      </c>
      <c r="H707" s="118" t="str">
        <f ca="1">IFERROR(__xludf.DUMMYFUNCTION("""COMPUTED_VALUE"""),"GF")</f>
        <v>GF</v>
      </c>
      <c r="I707" s="118">
        <f ca="1">IFERROR(__xludf.DUMMYFUNCTION("""COMPUTED_VALUE"""),6)</f>
        <v>6</v>
      </c>
      <c r="J707" s="118">
        <f ca="1">IFERROR(__xludf.DUMMYFUNCTION("""COMPUTED_VALUE"""),5)</f>
        <v>5</v>
      </c>
      <c r="K707" s="120">
        <f ca="1">IFERROR(__xludf.DUMMYFUNCTION("""COMPUTED_VALUE"""),71.75)</f>
        <v>71.75</v>
      </c>
      <c r="L707" s="121"/>
      <c r="M707" s="120">
        <f ca="1">IFERROR(__xludf.DUMMYFUNCTION("""COMPUTED_VALUE"""),65.75)</f>
        <v>65.75</v>
      </c>
      <c r="N707" s="121"/>
      <c r="O707" s="120">
        <f ca="1">IFERROR(__xludf.DUMMYFUNCTION("""COMPUTED_VALUE"""),-98.2)</f>
        <v>-98.2</v>
      </c>
      <c r="P707" s="122"/>
      <c r="Q707" s="123" t="str">
        <f ca="1">IFERROR(__xludf.DUMMYFUNCTION("""COMPUTED_VALUE"""),"Megan Hurt")</f>
        <v>Megan Hurt</v>
      </c>
      <c r="R707" s="123"/>
      <c r="S707" s="123" t="str">
        <f ca="1">IFERROR(__xludf.DUMMYFUNCTION("""COMPUTED_VALUE"""),"Kenly McAllister")</f>
        <v>Kenly McAllister</v>
      </c>
      <c r="T707" s="123" t="str">
        <f ca="1">IFERROR(__xludf.DUMMYFUNCTION("""COMPUTED_VALUE"""),"Owen McLenahan")</f>
        <v>Owen McLenahan</v>
      </c>
    </row>
    <row r="708" spans="1:20" ht="13.8">
      <c r="A708" s="118" t="str">
        <f ca="1">IFERROR(__xludf.DUMMYFUNCTION("""COMPUTED_VALUE"""),"GF")</f>
        <v>GF</v>
      </c>
      <c r="B708" s="119" t="str">
        <f ca="1">IFERROR(__xludf.DUMMYFUNCTION("""COMPUTED_VALUE"""),"Ari Wiley-Jimenez")</f>
        <v>Ari Wiley-Jimenez</v>
      </c>
      <c r="C708" s="118">
        <f ca="1">IFERROR(__xludf.DUMMYFUNCTION("""COMPUTED_VALUE"""),11)</f>
        <v>11</v>
      </c>
      <c r="D708" s="118" t="str">
        <f ca="1">IFERROR(__xludf.DUMMYFUNCTION("""COMPUTED_VALUE"""),"G")</f>
        <v>G</v>
      </c>
      <c r="E708" s="118" t="str">
        <f ca="1">IFERROR(__xludf.DUMMYFUNCTION("""COMPUTED_VALUE"""),"J")</f>
        <v>J</v>
      </c>
      <c r="F708" s="118" t="str">
        <f ca="1">IFERROR(__xludf.DUMMYFUNCTION("""COMPUTED_VALUE"""),"I")</f>
        <v>I</v>
      </c>
      <c r="G708" s="118">
        <f ca="1">IFERROR(__xludf.DUMMYFUNCTION("""COMPUTED_VALUE"""),4)</f>
        <v>4</v>
      </c>
      <c r="H708" s="118" t="str">
        <f ca="1">IFERROR(__xludf.DUMMYFUNCTION("""COMPUTED_VALUE"""),"GF")</f>
        <v>GF</v>
      </c>
      <c r="I708" s="118">
        <f ca="1">IFERROR(__xludf.DUMMYFUNCTION("""COMPUTED_VALUE"""),6)</f>
        <v>6</v>
      </c>
      <c r="J708" s="118">
        <f ca="1">IFERROR(__xludf.DUMMYFUNCTION("""COMPUTED_VALUE"""),5)</f>
        <v>5</v>
      </c>
      <c r="K708" s="120">
        <f ca="1">IFERROR(__xludf.DUMMYFUNCTION("""COMPUTED_VALUE"""),89.85)</f>
        <v>89.85</v>
      </c>
      <c r="L708" s="121"/>
      <c r="M708" s="120">
        <f ca="1">IFERROR(__xludf.DUMMYFUNCTION("""COMPUTED_VALUE"""),72.4)</f>
        <v>72.400000000000006</v>
      </c>
      <c r="N708" s="121"/>
      <c r="O708" s="120">
        <f ca="1">IFERROR(__xludf.DUMMYFUNCTION("""COMPUTED_VALUE"""),84.95)</f>
        <v>84.95</v>
      </c>
      <c r="P708" s="122"/>
      <c r="Q708" s="123" t="str">
        <f ca="1">IFERROR(__xludf.DUMMYFUNCTION("""COMPUTED_VALUE"""),"Megan Lam")</f>
        <v>Megan Lam</v>
      </c>
      <c r="R708" s="123"/>
      <c r="S708" s="123" t="str">
        <f ca="1">IFERROR(__xludf.DUMMYFUNCTION("""COMPUTED_VALUE"""),"Kennedy Anderson")</f>
        <v>Kennedy Anderson</v>
      </c>
      <c r="T708" s="123" t="str">
        <f ca="1">IFERROR(__xludf.DUMMYFUNCTION("""COMPUTED_VALUE"""),"Owen Molina-Weir")</f>
        <v>Owen Molina-Weir</v>
      </c>
    </row>
    <row r="709" spans="1:20" ht="13.8">
      <c r="A709" s="118" t="str">
        <f ca="1">IFERROR(__xludf.DUMMYFUNCTION("""COMPUTED_VALUE"""),"GF")</f>
        <v>GF</v>
      </c>
      <c r="B709" s="119" t="str">
        <f ca="1">IFERROR(__xludf.DUMMYFUNCTION("""COMPUTED_VALUE"""),"Bennett Barletta")</f>
        <v>Bennett Barletta</v>
      </c>
      <c r="C709" s="118">
        <f ca="1">IFERROR(__xludf.DUMMYFUNCTION("""COMPUTED_VALUE"""),12)</f>
        <v>12</v>
      </c>
      <c r="D709" s="118" t="str">
        <f ca="1">IFERROR(__xludf.DUMMYFUNCTION("""COMPUTED_VALUE"""),"G")</f>
        <v>G</v>
      </c>
      <c r="E709" s="118" t="str">
        <f ca="1">IFERROR(__xludf.DUMMYFUNCTION("""COMPUTED_VALUE"""),"J")</f>
        <v>J</v>
      </c>
      <c r="F709" s="118" t="str">
        <f ca="1">IFERROR(__xludf.DUMMYFUNCTION("""COMPUTED_VALUE"""),"I")</f>
        <v>I</v>
      </c>
      <c r="G709" s="118">
        <f ca="1">IFERROR(__xludf.DUMMYFUNCTION("""COMPUTED_VALUE"""),4)</f>
        <v>4</v>
      </c>
      <c r="H709" s="118" t="str">
        <f ca="1">IFERROR(__xludf.DUMMYFUNCTION("""COMPUTED_VALUE"""),"GF")</f>
        <v>GF</v>
      </c>
      <c r="I709" s="118">
        <f ca="1">IFERROR(__xludf.DUMMYFUNCTION("""COMPUTED_VALUE"""),6)</f>
        <v>6</v>
      </c>
      <c r="J709" s="118">
        <f ca="1">IFERROR(__xludf.DUMMYFUNCTION("""COMPUTED_VALUE"""),4)</f>
        <v>4</v>
      </c>
      <c r="K709" s="120">
        <f ca="1">IFERROR(__xludf.DUMMYFUNCTION("""COMPUTED_VALUE"""),74.25)</f>
        <v>74.25</v>
      </c>
      <c r="L709" s="121"/>
      <c r="M709" s="120">
        <f ca="1">IFERROR(__xludf.DUMMYFUNCTION("""COMPUTED_VALUE"""),48.3)</f>
        <v>48.3</v>
      </c>
      <c r="N709" s="121"/>
      <c r="O709" s="120">
        <f ca="1">IFERROR(__xludf.DUMMYFUNCTION("""COMPUTED_VALUE"""),74.25)</f>
        <v>74.25</v>
      </c>
      <c r="P709" s="122"/>
      <c r="Q709" s="123" t="str">
        <f ca="1">IFERROR(__xludf.DUMMYFUNCTION("""COMPUTED_VALUE"""),"Meghan Hetmanski")</f>
        <v>Meghan Hetmanski</v>
      </c>
      <c r="R709" s="123"/>
      <c r="S709" s="123" t="str">
        <f ca="1">IFERROR(__xludf.DUMMYFUNCTION("""COMPUTED_VALUE"""),"Kennedy Lorah")</f>
        <v>Kennedy Lorah</v>
      </c>
      <c r="T709" s="123" t="str">
        <f ca="1">IFERROR(__xludf.DUMMYFUNCTION("""COMPUTED_VALUE"""),"Owen Reese")</f>
        <v>Owen Reese</v>
      </c>
    </row>
    <row r="710" spans="1:20" ht="13.8">
      <c r="A710" s="118" t="str">
        <f ca="1">IFERROR(__xludf.DUMMYFUNCTION("""COMPUTED_VALUE"""),"GF")</f>
        <v>GF</v>
      </c>
      <c r="B710" s="119" t="str">
        <f ca="1">IFERROR(__xludf.DUMMYFUNCTION("""COMPUTED_VALUE"""),"Evelyn Sanders")</f>
        <v>Evelyn Sanders</v>
      </c>
      <c r="C710" s="118">
        <f ca="1">IFERROR(__xludf.DUMMYFUNCTION("""COMPUTED_VALUE"""),12)</f>
        <v>12</v>
      </c>
      <c r="D710" s="118" t="str">
        <f ca="1">IFERROR(__xludf.DUMMYFUNCTION("""COMPUTED_VALUE"""),"G")</f>
        <v>G</v>
      </c>
      <c r="E710" s="118" t="str">
        <f ca="1">IFERROR(__xludf.DUMMYFUNCTION("""COMPUTED_VALUE"""),"J")</f>
        <v>J</v>
      </c>
      <c r="F710" s="118" t="str">
        <f ca="1">IFERROR(__xludf.DUMMYFUNCTION("""COMPUTED_VALUE"""),"I")</f>
        <v>I</v>
      </c>
      <c r="G710" s="118">
        <f ca="1">IFERROR(__xludf.DUMMYFUNCTION("""COMPUTED_VALUE"""),4)</f>
        <v>4</v>
      </c>
      <c r="H710" s="118" t="str">
        <f ca="1">IFERROR(__xludf.DUMMYFUNCTION("""COMPUTED_VALUE"""),"GF")</f>
        <v>GF</v>
      </c>
      <c r="I710" s="118">
        <f ca="1">IFERROR(__xludf.DUMMYFUNCTION("""COMPUTED_VALUE"""),6)</f>
        <v>6</v>
      </c>
      <c r="J710" s="118">
        <f ca="1">IFERROR(__xludf.DUMMYFUNCTION("""COMPUTED_VALUE"""),5)</f>
        <v>5</v>
      </c>
      <c r="K710" s="120">
        <f ca="1">IFERROR(__xludf.DUMMYFUNCTION("""COMPUTED_VALUE"""),86.55)</f>
        <v>86.55</v>
      </c>
      <c r="L710" s="121"/>
      <c r="M710" s="120">
        <f ca="1">IFERROR(__xludf.DUMMYFUNCTION("""COMPUTED_VALUE"""),64.95)</f>
        <v>64.95</v>
      </c>
      <c r="N710" s="121"/>
      <c r="O710" s="120">
        <f ca="1">IFERROR(__xludf.DUMMYFUNCTION("""COMPUTED_VALUE"""),-112.35)</f>
        <v>-112.35</v>
      </c>
      <c r="P710" s="122"/>
      <c r="Q710" s="123" t="str">
        <f ca="1">IFERROR(__xludf.DUMMYFUNCTION("""COMPUTED_VALUE"""),"Meghan Murphy")</f>
        <v>Meghan Murphy</v>
      </c>
      <c r="R710" s="123"/>
      <c r="S710" s="123" t="str">
        <f ca="1">IFERROR(__xludf.DUMMYFUNCTION("""COMPUTED_VALUE"""),"Kenzie Doss")</f>
        <v>Kenzie Doss</v>
      </c>
      <c r="T710" s="123" t="str">
        <f ca="1">IFERROR(__xludf.DUMMYFUNCTION("""COMPUTED_VALUE"""),"Owen Schulz")</f>
        <v>Owen Schulz</v>
      </c>
    </row>
    <row r="711" spans="1:20" ht="13.8">
      <c r="A711" s="118" t="str">
        <f ca="1">IFERROR(__xludf.DUMMYFUNCTION("""COMPUTED_VALUE"""),"GF")</f>
        <v>GF</v>
      </c>
      <c r="B711" s="119" t="str">
        <f ca="1">IFERROR(__xludf.DUMMYFUNCTION("""COMPUTED_VALUE"""),"Hannah Trimble")</f>
        <v>Hannah Trimble</v>
      </c>
      <c r="C711" s="118">
        <f ca="1">IFERROR(__xludf.DUMMYFUNCTION("""COMPUTED_VALUE"""),12)</f>
        <v>12</v>
      </c>
      <c r="D711" s="118" t="str">
        <f ca="1">IFERROR(__xludf.DUMMYFUNCTION("""COMPUTED_VALUE"""),"G")</f>
        <v>G</v>
      </c>
      <c r="E711" s="118" t="str">
        <f ca="1">IFERROR(__xludf.DUMMYFUNCTION("""COMPUTED_VALUE"""),"J")</f>
        <v>J</v>
      </c>
      <c r="F711" s="118" t="str">
        <f ca="1">IFERROR(__xludf.DUMMYFUNCTION("""COMPUTED_VALUE"""),"I")</f>
        <v>I</v>
      </c>
      <c r="G711" s="118">
        <f ca="1">IFERROR(__xludf.DUMMYFUNCTION("""COMPUTED_VALUE"""),4)</f>
        <v>4</v>
      </c>
      <c r="H711" s="118" t="str">
        <f ca="1">IFERROR(__xludf.DUMMYFUNCTION("""COMPUTED_VALUE"""),"GF")</f>
        <v>GF</v>
      </c>
      <c r="I711" s="118">
        <f ca="1">IFERROR(__xludf.DUMMYFUNCTION("""COMPUTED_VALUE"""),6)</f>
        <v>6</v>
      </c>
      <c r="J711" s="118">
        <f ca="1">IFERROR(__xludf.DUMMYFUNCTION("""COMPUTED_VALUE"""),3)</f>
        <v>3</v>
      </c>
      <c r="K711" s="120">
        <f ca="1">IFERROR(__xludf.DUMMYFUNCTION("""COMPUTED_VALUE"""),79)</f>
        <v>79</v>
      </c>
      <c r="L711" s="121"/>
      <c r="M711" s="120"/>
      <c r="N711" s="121"/>
      <c r="O711" s="120">
        <f ca="1">IFERROR(__xludf.DUMMYFUNCTION("""COMPUTED_VALUE"""),79)</f>
        <v>79</v>
      </c>
      <c r="P711" s="122"/>
      <c r="Q711" s="123" t="str">
        <f ca="1">IFERROR(__xludf.DUMMYFUNCTION("""COMPUTED_VALUE"""),"Mei Leung")</f>
        <v>Mei Leung</v>
      </c>
      <c r="R711" s="123"/>
      <c r="S711" s="123" t="str">
        <f ca="1">IFERROR(__xludf.DUMMYFUNCTION("""COMPUTED_VALUE"""),"Kerrington Supple")</f>
        <v>Kerrington Supple</v>
      </c>
      <c r="T711" s="123" t="str">
        <f ca="1">IFERROR(__xludf.DUMMYFUNCTION("""COMPUTED_VALUE"""),"Owen Thomas")</f>
        <v>Owen Thomas</v>
      </c>
    </row>
    <row r="712" spans="1:20" ht="13.8">
      <c r="A712" s="118" t="str">
        <f ca="1">IFERROR(__xludf.DUMMYFUNCTION("""COMPUTED_VALUE"""),"GF")</f>
        <v>GF</v>
      </c>
      <c r="B712" s="119" t="str">
        <f ca="1">IFERROR(__xludf.DUMMYFUNCTION("""COMPUTED_VALUE"""),"Josie Griffith")</f>
        <v>Josie Griffith</v>
      </c>
      <c r="C712" s="118">
        <f ca="1">IFERROR(__xludf.DUMMYFUNCTION("""COMPUTED_VALUE"""),11)</f>
        <v>11</v>
      </c>
      <c r="D712" s="118" t="str">
        <f ca="1">IFERROR(__xludf.DUMMYFUNCTION("""COMPUTED_VALUE"""),"G")</f>
        <v>G</v>
      </c>
      <c r="E712" s="118" t="str">
        <f ca="1">IFERROR(__xludf.DUMMYFUNCTION("""COMPUTED_VALUE"""),"J")</f>
        <v>J</v>
      </c>
      <c r="F712" s="118" t="str">
        <f ca="1">IFERROR(__xludf.DUMMYFUNCTION("""COMPUTED_VALUE"""),"I")</f>
        <v>I</v>
      </c>
      <c r="G712" s="118">
        <f ca="1">IFERROR(__xludf.DUMMYFUNCTION("""COMPUTED_VALUE"""),4)</f>
        <v>4</v>
      </c>
      <c r="H712" s="118" t="str">
        <f ca="1">IFERROR(__xludf.DUMMYFUNCTION("""COMPUTED_VALUE"""),"GF")</f>
        <v>GF</v>
      </c>
      <c r="I712" s="118">
        <f ca="1">IFERROR(__xludf.DUMMYFUNCTION("""COMPUTED_VALUE"""),6)</f>
        <v>6</v>
      </c>
      <c r="J712" s="118">
        <f ca="1">IFERROR(__xludf.DUMMYFUNCTION("""COMPUTED_VALUE"""),0)</f>
        <v>0</v>
      </c>
      <c r="K712" s="120"/>
      <c r="L712" s="121"/>
      <c r="M712" s="120"/>
      <c r="N712" s="121"/>
      <c r="O712" s="120"/>
      <c r="P712" s="122"/>
      <c r="Q712" s="123" t="str">
        <f ca="1">IFERROR(__xludf.DUMMYFUNCTION("""COMPUTED_VALUE"""),"Melody MacGarvey")</f>
        <v>Melody MacGarvey</v>
      </c>
      <c r="R712" s="123"/>
      <c r="S712" s="123" t="str">
        <f ca="1">IFERROR(__xludf.DUMMYFUNCTION("""COMPUTED_VALUE"""),"Kiera Carpenter")</f>
        <v>Kiera Carpenter</v>
      </c>
      <c r="T712" s="123" t="str">
        <f ca="1">IFERROR(__xludf.DUMMYFUNCTION("""COMPUTED_VALUE"""),"P.D. Lips")</f>
        <v>P.D. Lips</v>
      </c>
    </row>
    <row r="713" spans="1:20" ht="13.8">
      <c r="A713" s="118" t="str">
        <f ca="1">IFERROR(__xludf.DUMMYFUNCTION("""COMPUTED_VALUE"""),"GF")</f>
        <v>GF</v>
      </c>
      <c r="B713" s="119" t="str">
        <f ca="1">IFERROR(__xludf.DUMMYFUNCTION("""COMPUTED_VALUE"""),"Lily Kissinger")</f>
        <v>Lily Kissinger</v>
      </c>
      <c r="C713" s="118">
        <f ca="1">IFERROR(__xludf.DUMMYFUNCTION("""COMPUTED_VALUE"""),11)</f>
        <v>11</v>
      </c>
      <c r="D713" s="118" t="str">
        <f ca="1">IFERROR(__xludf.DUMMYFUNCTION("""COMPUTED_VALUE"""),"G")</f>
        <v>G</v>
      </c>
      <c r="E713" s="118" t="str">
        <f ca="1">IFERROR(__xludf.DUMMYFUNCTION("""COMPUTED_VALUE"""),"J")</f>
        <v>J</v>
      </c>
      <c r="F713" s="118" t="str">
        <f ca="1">IFERROR(__xludf.DUMMYFUNCTION("""COMPUTED_VALUE"""),"I")</f>
        <v>I</v>
      </c>
      <c r="G713" s="118">
        <f ca="1">IFERROR(__xludf.DUMMYFUNCTION("""COMPUTED_VALUE"""),4)</f>
        <v>4</v>
      </c>
      <c r="H713" s="118" t="str">
        <f ca="1">IFERROR(__xludf.DUMMYFUNCTION("""COMPUTED_VALUE"""),"GF")</f>
        <v>GF</v>
      </c>
      <c r="I713" s="118">
        <f ca="1">IFERROR(__xludf.DUMMYFUNCTION("""COMPUTED_VALUE"""),6)</f>
        <v>6</v>
      </c>
      <c r="J713" s="118">
        <f ca="1">IFERROR(__xludf.DUMMYFUNCTION("""COMPUTED_VALUE"""),0)</f>
        <v>0</v>
      </c>
      <c r="K713" s="120"/>
      <c r="L713" s="121"/>
      <c r="M713" s="120"/>
      <c r="N713" s="121"/>
      <c r="O713" s="120"/>
      <c r="P713" s="122"/>
      <c r="Q713" s="123" t="str">
        <f ca="1">IFERROR(__xludf.DUMMYFUNCTION("""COMPUTED_VALUE"""),"Meora Allsbrook")</f>
        <v>Meora Allsbrook</v>
      </c>
      <c r="R713" s="123"/>
      <c r="S713" s="123" t="str">
        <f ca="1">IFERROR(__xludf.DUMMYFUNCTION("""COMPUTED_VALUE"""),"Kiki Smythe")</f>
        <v>Kiki Smythe</v>
      </c>
      <c r="T713" s="123" t="str">
        <f ca="1">IFERROR(__xludf.DUMMYFUNCTION("""COMPUTED_VALUE"""),"Park Hoffmann")</f>
        <v>Park Hoffmann</v>
      </c>
    </row>
    <row r="714" spans="1:20" ht="13.8">
      <c r="A714" s="118" t="str">
        <f ca="1">IFERROR(__xludf.DUMMYFUNCTION("""COMPUTED_VALUE"""),"GF")</f>
        <v>GF</v>
      </c>
      <c r="B714" s="119" t="str">
        <f ca="1">IFERROR(__xludf.DUMMYFUNCTION("""COMPUTED_VALUE"""),"Lydia Johnson")</f>
        <v>Lydia Johnson</v>
      </c>
      <c r="C714" s="118">
        <f ca="1">IFERROR(__xludf.DUMMYFUNCTION("""COMPUTED_VALUE"""),11)</f>
        <v>11</v>
      </c>
      <c r="D714" s="118" t="str">
        <f ca="1">IFERROR(__xludf.DUMMYFUNCTION("""COMPUTED_VALUE"""),"G")</f>
        <v>G</v>
      </c>
      <c r="E714" s="118" t="str">
        <f ca="1">IFERROR(__xludf.DUMMYFUNCTION("""COMPUTED_VALUE"""),"J")</f>
        <v>J</v>
      </c>
      <c r="F714" s="118" t="str">
        <f ca="1">IFERROR(__xludf.DUMMYFUNCTION("""COMPUTED_VALUE"""),"I")</f>
        <v>I</v>
      </c>
      <c r="G714" s="118">
        <f ca="1">IFERROR(__xludf.DUMMYFUNCTION("""COMPUTED_VALUE"""),4)</f>
        <v>4</v>
      </c>
      <c r="H714" s="118" t="str">
        <f ca="1">IFERROR(__xludf.DUMMYFUNCTION("""COMPUTED_VALUE"""),"GF")</f>
        <v>GF</v>
      </c>
      <c r="I714" s="118">
        <f ca="1">IFERROR(__xludf.DUMMYFUNCTION("""COMPUTED_VALUE"""),6)</f>
        <v>6</v>
      </c>
      <c r="J714" s="118">
        <f ca="1">IFERROR(__xludf.DUMMYFUNCTION("""COMPUTED_VALUE"""),3)</f>
        <v>3</v>
      </c>
      <c r="K714" s="120">
        <f ca="1">IFERROR(__xludf.DUMMYFUNCTION("""COMPUTED_VALUE"""),71.75)</f>
        <v>71.75</v>
      </c>
      <c r="L714" s="121"/>
      <c r="M714" s="120">
        <f ca="1">IFERROR(__xludf.DUMMYFUNCTION("""COMPUTED_VALUE"""),22.85)</f>
        <v>22.85</v>
      </c>
      <c r="N714" s="121"/>
      <c r="O714" s="120">
        <f ca="1">IFERROR(__xludf.DUMMYFUNCTION("""COMPUTED_VALUE"""),71.75)</f>
        <v>71.75</v>
      </c>
      <c r="P714" s="122"/>
      <c r="Q714" s="123" t="str">
        <f ca="1">IFERROR(__xludf.DUMMYFUNCTION("""COMPUTED_VALUE"""),"Meredith Turkstra")</f>
        <v>Meredith Turkstra</v>
      </c>
      <c r="R714" s="123"/>
      <c r="S714" s="123" t="str">
        <f ca="1">IFERROR(__xludf.DUMMYFUNCTION("""COMPUTED_VALUE"""),"Kimberly Kobus")</f>
        <v>Kimberly Kobus</v>
      </c>
      <c r="T714" s="123" t="str">
        <f ca="1">IFERROR(__xludf.DUMMYFUNCTION("""COMPUTED_VALUE"""),"Parker Englerth")</f>
        <v>Parker Englerth</v>
      </c>
    </row>
    <row r="715" spans="1:20" ht="13.8">
      <c r="A715" s="118" t="str">
        <f ca="1">IFERROR(__xludf.DUMMYFUNCTION("""COMPUTED_VALUE"""),"GF")</f>
        <v>GF</v>
      </c>
      <c r="B715" s="119" t="str">
        <f ca="1">IFERROR(__xludf.DUMMYFUNCTION("""COMPUTED_VALUE"""),"Phoebe Jeffery")</f>
        <v>Phoebe Jeffery</v>
      </c>
      <c r="C715" s="118">
        <f ca="1">IFERROR(__xludf.DUMMYFUNCTION("""COMPUTED_VALUE"""),11)</f>
        <v>11</v>
      </c>
      <c r="D715" s="118" t="str">
        <f ca="1">IFERROR(__xludf.DUMMYFUNCTION("""COMPUTED_VALUE"""),"G")</f>
        <v>G</v>
      </c>
      <c r="E715" s="118" t="str">
        <f ca="1">IFERROR(__xludf.DUMMYFUNCTION("""COMPUTED_VALUE"""),"J")</f>
        <v>J</v>
      </c>
      <c r="F715" s="118" t="str">
        <f ca="1">IFERROR(__xludf.DUMMYFUNCTION("""COMPUTED_VALUE"""),"I")</f>
        <v>I</v>
      </c>
      <c r="G715" s="118">
        <f ca="1">IFERROR(__xludf.DUMMYFUNCTION("""COMPUTED_VALUE"""),4)</f>
        <v>4</v>
      </c>
      <c r="H715" s="118" t="str">
        <f ca="1">IFERROR(__xludf.DUMMYFUNCTION("""COMPUTED_VALUE"""),"GF")</f>
        <v>GF</v>
      </c>
      <c r="I715" s="118">
        <f ca="1">IFERROR(__xludf.DUMMYFUNCTION("""COMPUTED_VALUE"""),6)</f>
        <v>6</v>
      </c>
      <c r="J715" s="118">
        <f ca="1">IFERROR(__xludf.DUMMYFUNCTION("""COMPUTED_VALUE"""),3)</f>
        <v>3</v>
      </c>
      <c r="K715" s="120">
        <f ca="1">IFERROR(__xludf.DUMMYFUNCTION("""COMPUTED_VALUE"""),71.3)</f>
        <v>71.3</v>
      </c>
      <c r="L715" s="121"/>
      <c r="M715" s="120"/>
      <c r="N715" s="121"/>
      <c r="O715" s="120">
        <f ca="1">IFERROR(__xludf.DUMMYFUNCTION("""COMPUTED_VALUE"""),71.3)</f>
        <v>71.3</v>
      </c>
      <c r="P715" s="122"/>
      <c r="Q715" s="123" t="str">
        <f ca="1">IFERROR(__xludf.DUMMYFUNCTION("""COMPUTED_VALUE"""),"Mia Borlinghaus")</f>
        <v>Mia Borlinghaus</v>
      </c>
      <c r="R715" s="123"/>
      <c r="S715" s="123" t="str">
        <f ca="1">IFERROR(__xludf.DUMMYFUNCTION("""COMPUTED_VALUE"""),"Kira Bhasin")</f>
        <v>Kira Bhasin</v>
      </c>
      <c r="T715" s="123" t="str">
        <f ca="1">IFERROR(__xludf.DUMMYFUNCTION("""COMPUTED_VALUE"""),"Parker Jaskot")</f>
        <v>Parker Jaskot</v>
      </c>
    </row>
    <row r="716" spans="1:20" ht="13.8">
      <c r="A716" s="118" t="str">
        <f ca="1">IFERROR(__xludf.DUMMYFUNCTION("""COMPUTED_VALUE"""),"GF")</f>
        <v>GF</v>
      </c>
      <c r="B716" s="119" t="str">
        <f ca="1">IFERROR(__xludf.DUMMYFUNCTION("""COMPUTED_VALUE"""),"Riyah McKimmy")</f>
        <v>Riyah McKimmy</v>
      </c>
      <c r="C716" s="118">
        <f ca="1">IFERROR(__xludf.DUMMYFUNCTION("""COMPUTED_VALUE"""),12)</f>
        <v>12</v>
      </c>
      <c r="D716" s="118" t="str">
        <f ca="1">IFERROR(__xludf.DUMMYFUNCTION("""COMPUTED_VALUE"""),"G")</f>
        <v>G</v>
      </c>
      <c r="E716" s="118" t="str">
        <f ca="1">IFERROR(__xludf.DUMMYFUNCTION("""COMPUTED_VALUE"""),"J")</f>
        <v>J</v>
      </c>
      <c r="F716" s="118" t="str">
        <f ca="1">IFERROR(__xludf.DUMMYFUNCTION("""COMPUTED_VALUE"""),"I")</f>
        <v>I</v>
      </c>
      <c r="G716" s="118">
        <f ca="1">IFERROR(__xludf.DUMMYFUNCTION("""COMPUTED_VALUE"""),4)</f>
        <v>4</v>
      </c>
      <c r="H716" s="118" t="str">
        <f ca="1">IFERROR(__xludf.DUMMYFUNCTION("""COMPUTED_VALUE"""),"GF")</f>
        <v>GF</v>
      </c>
      <c r="I716" s="118">
        <f ca="1">IFERROR(__xludf.DUMMYFUNCTION("""COMPUTED_VALUE"""),6)</f>
        <v>6</v>
      </c>
      <c r="J716" s="118">
        <f ca="1">IFERROR(__xludf.DUMMYFUNCTION("""COMPUTED_VALUE"""),0)</f>
        <v>0</v>
      </c>
      <c r="K716" s="120"/>
      <c r="L716" s="121"/>
      <c r="M716" s="120"/>
      <c r="N716" s="121"/>
      <c r="O716" s="120"/>
      <c r="P716" s="122"/>
      <c r="Q716" s="123" t="str">
        <f ca="1">IFERROR(__xludf.DUMMYFUNCTION("""COMPUTED_VALUE"""),"Mia Cusner")</f>
        <v>Mia Cusner</v>
      </c>
      <c r="R716" s="123"/>
      <c r="S716" s="123" t="str">
        <f ca="1">IFERROR(__xludf.DUMMYFUNCTION("""COMPUTED_VALUE"""),"Kira Harrison")</f>
        <v>Kira Harrison</v>
      </c>
      <c r="T716" s="123" t="str">
        <f ca="1">IFERROR(__xludf.DUMMYFUNCTION("""COMPUTED_VALUE"""),"Parker Joshi")</f>
        <v>Parker Joshi</v>
      </c>
    </row>
    <row r="717" spans="1:20" ht="13.8">
      <c r="A717" s="118" t="str">
        <f ca="1">IFERROR(__xludf.DUMMYFUNCTION("""COMPUTED_VALUE"""),"GF")</f>
        <v>GF</v>
      </c>
      <c r="B717" s="119" t="str">
        <f ca="1">IFERROR(__xludf.DUMMYFUNCTION("""COMPUTED_VALUE"""),"Taylor Smith")</f>
        <v>Taylor Smith</v>
      </c>
      <c r="C717" s="118">
        <f ca="1">IFERROR(__xludf.DUMMYFUNCTION("""COMPUTED_VALUE"""),11)</f>
        <v>11</v>
      </c>
      <c r="D717" s="118" t="str">
        <f ca="1">IFERROR(__xludf.DUMMYFUNCTION("""COMPUTED_VALUE"""),"G")</f>
        <v>G</v>
      </c>
      <c r="E717" s="118" t="str">
        <f ca="1">IFERROR(__xludf.DUMMYFUNCTION("""COMPUTED_VALUE"""),"J")</f>
        <v>J</v>
      </c>
      <c r="F717" s="118" t="str">
        <f ca="1">IFERROR(__xludf.DUMMYFUNCTION("""COMPUTED_VALUE"""),"I")</f>
        <v>I</v>
      </c>
      <c r="G717" s="118">
        <f ca="1">IFERROR(__xludf.DUMMYFUNCTION("""COMPUTED_VALUE"""),4)</f>
        <v>4</v>
      </c>
      <c r="H717" s="118" t="str">
        <f ca="1">IFERROR(__xludf.DUMMYFUNCTION("""COMPUTED_VALUE"""),"GF")</f>
        <v>GF</v>
      </c>
      <c r="I717" s="118">
        <f ca="1">IFERROR(__xludf.DUMMYFUNCTION("""COMPUTED_VALUE"""),6)</f>
        <v>6</v>
      </c>
      <c r="J717" s="118">
        <f ca="1">IFERROR(__xludf.DUMMYFUNCTION("""COMPUTED_VALUE"""),0)</f>
        <v>0</v>
      </c>
      <c r="K717" s="120"/>
      <c r="L717" s="121"/>
      <c r="M717" s="120"/>
      <c r="N717" s="121"/>
      <c r="O717" s="120"/>
      <c r="P717" s="122"/>
      <c r="Q717" s="123" t="str">
        <f ca="1">IFERROR(__xludf.DUMMYFUNCTION("""COMPUTED_VALUE"""),"Mia Harbeck")</f>
        <v>Mia Harbeck</v>
      </c>
      <c r="R717" s="123"/>
      <c r="S717" s="123" t="str">
        <f ca="1">IFERROR(__xludf.DUMMYFUNCTION("""COMPUTED_VALUE"""),"Kiran Vasudevan")</f>
        <v>Kiran Vasudevan</v>
      </c>
      <c r="T717" s="123" t="str">
        <f ca="1">IFERROR(__xludf.DUMMYFUNCTION("""COMPUTED_VALUE"""),"Parker Rice")</f>
        <v>Parker Rice</v>
      </c>
    </row>
    <row r="718" spans="1:20" ht="13.8">
      <c r="A718" s="118" t="str">
        <f ca="1">IFERROR(__xludf.DUMMYFUNCTION("""COMPUTED_VALUE"""),"GF")</f>
        <v>GF</v>
      </c>
      <c r="B718" s="119" t="str">
        <f ca="1">IFERROR(__xludf.DUMMYFUNCTION("""COMPUTED_VALUE"""),"Alex Kroely")</f>
        <v>Alex Kroely</v>
      </c>
      <c r="C718" s="118">
        <f ca="1">IFERROR(__xludf.DUMMYFUNCTION("""COMPUTED_VALUE"""),12)</f>
        <v>12</v>
      </c>
      <c r="D718" s="118" t="str">
        <f ca="1">IFERROR(__xludf.DUMMYFUNCTION("""COMPUTED_VALUE"""),"B")</f>
        <v>B</v>
      </c>
      <c r="E718" s="118" t="str">
        <f ca="1">IFERROR(__xludf.DUMMYFUNCTION("""COMPUTED_VALUE"""),"J")</f>
        <v>J</v>
      </c>
      <c r="F718" s="118" t="str">
        <f ca="1">IFERROR(__xludf.DUMMYFUNCTION("""COMPUTED_VALUE"""),"I")</f>
        <v>I</v>
      </c>
      <c r="G718" s="118">
        <f ca="1">IFERROR(__xludf.DUMMYFUNCTION("""COMPUTED_VALUE"""),4)</f>
        <v>4</v>
      </c>
      <c r="H718" s="118" t="str">
        <f ca="1">IFERROR(__xludf.DUMMYFUNCTION("""COMPUTED_VALUE"""),"GF")</f>
        <v>GF</v>
      </c>
      <c r="I718" s="118">
        <f ca="1">IFERROR(__xludf.DUMMYFUNCTION("""COMPUTED_VALUE"""),7)</f>
        <v>7</v>
      </c>
      <c r="J718" s="118">
        <f ca="1">IFERROR(__xludf.DUMMYFUNCTION("""COMPUTED_VALUE"""),5)</f>
        <v>5</v>
      </c>
      <c r="K718" s="120">
        <f ca="1">IFERROR(__xludf.DUMMYFUNCTION("""COMPUTED_VALUE"""),86.6)</f>
        <v>86.6</v>
      </c>
      <c r="L718" s="121"/>
      <c r="M718" s="120">
        <f ca="1">IFERROR(__xludf.DUMMYFUNCTION("""COMPUTED_VALUE"""),68.4)</f>
        <v>68.400000000000006</v>
      </c>
      <c r="N718" s="121"/>
      <c r="O718" s="120">
        <f ca="1">IFERROR(__xludf.DUMMYFUNCTION("""COMPUTED_VALUE"""),86.6)</f>
        <v>86.6</v>
      </c>
      <c r="P718" s="122"/>
      <c r="Q718" s="123" t="str">
        <f ca="1">IFERROR(__xludf.DUMMYFUNCTION("""COMPUTED_VALUE"""),"Mia Khuc")</f>
        <v>Mia Khuc</v>
      </c>
      <c r="R718" s="123"/>
      <c r="S718" s="123" t="str">
        <f ca="1">IFERROR(__xludf.DUMMYFUNCTION("""COMPUTED_VALUE"""),"Kisma Sarsour")</f>
        <v>Kisma Sarsour</v>
      </c>
      <c r="T718" s="123" t="str">
        <f ca="1">IFERROR(__xludf.DUMMYFUNCTION("""COMPUTED_VALUE"""),"Parker Smith")</f>
        <v>Parker Smith</v>
      </c>
    </row>
    <row r="719" spans="1:20" ht="13.8">
      <c r="A719" s="118" t="str">
        <f ca="1">IFERROR(__xludf.DUMMYFUNCTION("""COMPUTED_VALUE"""),"GF")</f>
        <v>GF</v>
      </c>
      <c r="B719" s="119" t="str">
        <f ca="1">IFERROR(__xludf.DUMMYFUNCTION("""COMPUTED_VALUE"""),"Camden Daftari")</f>
        <v>Camden Daftari</v>
      </c>
      <c r="C719" s="118">
        <f ca="1">IFERROR(__xludf.DUMMYFUNCTION("""COMPUTED_VALUE"""),11)</f>
        <v>11</v>
      </c>
      <c r="D719" s="118" t="str">
        <f ca="1">IFERROR(__xludf.DUMMYFUNCTION("""COMPUTED_VALUE"""),"B")</f>
        <v>B</v>
      </c>
      <c r="E719" s="118" t="str">
        <f ca="1">IFERROR(__xludf.DUMMYFUNCTION("""COMPUTED_VALUE"""),"J")</f>
        <v>J</v>
      </c>
      <c r="F719" s="118" t="str">
        <f ca="1">IFERROR(__xludf.DUMMYFUNCTION("""COMPUTED_VALUE"""),"I")</f>
        <v>I</v>
      </c>
      <c r="G719" s="118">
        <f ca="1">IFERROR(__xludf.DUMMYFUNCTION("""COMPUTED_VALUE"""),4)</f>
        <v>4</v>
      </c>
      <c r="H719" s="118" t="str">
        <f ca="1">IFERROR(__xludf.DUMMYFUNCTION("""COMPUTED_VALUE"""),"GF")</f>
        <v>GF</v>
      </c>
      <c r="I719" s="118">
        <f ca="1">IFERROR(__xludf.DUMMYFUNCTION("""COMPUTED_VALUE"""),7)</f>
        <v>7</v>
      </c>
      <c r="J719" s="118">
        <f ca="1">IFERROR(__xludf.DUMMYFUNCTION("""COMPUTED_VALUE"""),0)</f>
        <v>0</v>
      </c>
      <c r="K719" s="120"/>
      <c r="L719" s="121"/>
      <c r="M719" s="120"/>
      <c r="N719" s="121"/>
      <c r="O719" s="120"/>
      <c r="P719" s="122"/>
      <c r="Q719" s="123" t="str">
        <f ca="1">IFERROR(__xludf.DUMMYFUNCTION("""COMPUTED_VALUE"""),"Mia Mroz")</f>
        <v>Mia Mroz</v>
      </c>
      <c r="R719" s="123"/>
      <c r="S719" s="123" t="str">
        <f ca="1">IFERROR(__xludf.DUMMYFUNCTION("""COMPUTED_VALUE"""),"Kollins Badlam")</f>
        <v>Kollins Badlam</v>
      </c>
      <c r="T719" s="123" t="str">
        <f ca="1">IFERROR(__xludf.DUMMYFUNCTION("""COMPUTED_VALUE"""),"Parsa Tavakol")</f>
        <v>Parsa Tavakol</v>
      </c>
    </row>
    <row r="720" spans="1:20" ht="13.8">
      <c r="A720" s="118" t="str">
        <f ca="1">IFERROR(__xludf.DUMMYFUNCTION("""COMPUTED_VALUE"""),"GF")</f>
        <v>GF</v>
      </c>
      <c r="B720" s="119" t="str">
        <f ca="1">IFERROR(__xludf.DUMMYFUNCTION("""COMPUTED_VALUE"""),"Dylan Lake")</f>
        <v>Dylan Lake</v>
      </c>
      <c r="C720" s="118">
        <f ca="1">IFERROR(__xludf.DUMMYFUNCTION("""COMPUTED_VALUE"""),11)</f>
        <v>11</v>
      </c>
      <c r="D720" s="118" t="str">
        <f ca="1">IFERROR(__xludf.DUMMYFUNCTION("""COMPUTED_VALUE"""),"B")</f>
        <v>B</v>
      </c>
      <c r="E720" s="118" t="str">
        <f ca="1">IFERROR(__xludf.DUMMYFUNCTION("""COMPUTED_VALUE"""),"J")</f>
        <v>J</v>
      </c>
      <c r="F720" s="118" t="str">
        <f ca="1">IFERROR(__xludf.DUMMYFUNCTION("""COMPUTED_VALUE"""),"I")</f>
        <v>I</v>
      </c>
      <c r="G720" s="118">
        <f ca="1">IFERROR(__xludf.DUMMYFUNCTION("""COMPUTED_VALUE"""),4)</f>
        <v>4</v>
      </c>
      <c r="H720" s="118" t="str">
        <f ca="1">IFERROR(__xludf.DUMMYFUNCTION("""COMPUTED_VALUE"""),"GF")</f>
        <v>GF</v>
      </c>
      <c r="I720" s="118">
        <f ca="1">IFERROR(__xludf.DUMMYFUNCTION("""COMPUTED_VALUE"""),7)</f>
        <v>7</v>
      </c>
      <c r="J720" s="118">
        <f ca="1">IFERROR(__xludf.DUMMYFUNCTION("""COMPUTED_VALUE"""),2)</f>
        <v>2</v>
      </c>
      <c r="K720" s="120">
        <f ca="1">IFERROR(__xludf.DUMMYFUNCTION("""COMPUTED_VALUE"""),55.7)</f>
        <v>55.7</v>
      </c>
      <c r="L720" s="121"/>
      <c r="M720" s="120"/>
      <c r="N720" s="121"/>
      <c r="O720" s="120">
        <f ca="1">IFERROR(__xludf.DUMMYFUNCTION("""COMPUTED_VALUE"""),55.7)</f>
        <v>55.7</v>
      </c>
      <c r="P720" s="122"/>
      <c r="Q720" s="123" t="str">
        <f ca="1">IFERROR(__xludf.DUMMYFUNCTION("""COMPUTED_VALUE"""),"Mia Tabrizi")</f>
        <v>Mia Tabrizi</v>
      </c>
      <c r="R720" s="123"/>
      <c r="S720" s="123" t="str">
        <f ca="1">IFERROR(__xludf.DUMMYFUNCTION("""COMPUTED_VALUE"""),"Kris Walters")</f>
        <v>Kris Walters</v>
      </c>
      <c r="T720" s="123" t="str">
        <f ca="1">IFERROR(__xludf.DUMMYFUNCTION("""COMPUTED_VALUE"""),"Patrick Coyne")</f>
        <v>Patrick Coyne</v>
      </c>
    </row>
    <row r="721" spans="1:20" ht="13.8">
      <c r="A721" s="118" t="str">
        <f ca="1">IFERROR(__xludf.DUMMYFUNCTION("""COMPUTED_VALUE"""),"GF")</f>
        <v>GF</v>
      </c>
      <c r="B721" s="119" t="str">
        <f ca="1">IFERROR(__xludf.DUMMYFUNCTION("""COMPUTED_VALUE"""),"Eli Bockman")</f>
        <v>Eli Bockman</v>
      </c>
      <c r="C721" s="118">
        <f ca="1">IFERROR(__xludf.DUMMYFUNCTION("""COMPUTED_VALUE"""),12)</f>
        <v>12</v>
      </c>
      <c r="D721" s="118" t="str">
        <f ca="1">IFERROR(__xludf.DUMMYFUNCTION("""COMPUTED_VALUE"""),"B")</f>
        <v>B</v>
      </c>
      <c r="E721" s="118" t="str">
        <f ca="1">IFERROR(__xludf.DUMMYFUNCTION("""COMPUTED_VALUE"""),"J")</f>
        <v>J</v>
      </c>
      <c r="F721" s="118" t="str">
        <f ca="1">IFERROR(__xludf.DUMMYFUNCTION("""COMPUTED_VALUE"""),"I")</f>
        <v>I</v>
      </c>
      <c r="G721" s="118">
        <f ca="1">IFERROR(__xludf.DUMMYFUNCTION("""COMPUTED_VALUE"""),4)</f>
        <v>4</v>
      </c>
      <c r="H721" s="118" t="str">
        <f ca="1">IFERROR(__xludf.DUMMYFUNCTION("""COMPUTED_VALUE"""),"GF")</f>
        <v>GF</v>
      </c>
      <c r="I721" s="118">
        <f ca="1">IFERROR(__xludf.DUMMYFUNCTION("""COMPUTED_VALUE"""),7)</f>
        <v>7</v>
      </c>
      <c r="J721" s="118">
        <f ca="1">IFERROR(__xludf.DUMMYFUNCTION("""COMPUTED_VALUE"""),4)</f>
        <v>4</v>
      </c>
      <c r="K721" s="120">
        <f ca="1">IFERROR(__xludf.DUMMYFUNCTION("""COMPUTED_VALUE"""),102.9)</f>
        <v>102.9</v>
      </c>
      <c r="L721" s="121"/>
      <c r="M721" s="120"/>
      <c r="N721" s="121"/>
      <c r="O721" s="120">
        <f ca="1">IFERROR(__xludf.DUMMYFUNCTION("""COMPUTED_VALUE"""),102.9)</f>
        <v>102.9</v>
      </c>
      <c r="P721" s="122"/>
      <c r="Q721" s="123" t="str">
        <f ca="1">IFERROR(__xludf.DUMMYFUNCTION("""COMPUTED_VALUE"""),"Michaela Swartz")</f>
        <v>Michaela Swartz</v>
      </c>
      <c r="R721" s="123"/>
      <c r="S721" s="123" t="str">
        <f ca="1">IFERROR(__xludf.DUMMYFUNCTION("""COMPUTED_VALUE"""),"Kyla Calkins")</f>
        <v>Kyla Calkins</v>
      </c>
      <c r="T721" s="123" t="str">
        <f ca="1">IFERROR(__xludf.DUMMYFUNCTION("""COMPUTED_VALUE"""),"Patrick Donovan")</f>
        <v>Patrick Donovan</v>
      </c>
    </row>
    <row r="722" spans="1:20" ht="13.8">
      <c r="A722" s="118" t="str">
        <f ca="1">IFERROR(__xludf.DUMMYFUNCTION("""COMPUTED_VALUE"""),"GF")</f>
        <v>GF</v>
      </c>
      <c r="B722" s="119" t="str">
        <f ca="1">IFERROR(__xludf.DUMMYFUNCTION("""COMPUTED_VALUE"""),"JP Kissinger")</f>
        <v>JP Kissinger</v>
      </c>
      <c r="C722" s="118">
        <f ca="1">IFERROR(__xludf.DUMMYFUNCTION("""COMPUTED_VALUE"""),12)</f>
        <v>12</v>
      </c>
      <c r="D722" s="118" t="str">
        <f ca="1">IFERROR(__xludf.DUMMYFUNCTION("""COMPUTED_VALUE"""),"B")</f>
        <v>B</v>
      </c>
      <c r="E722" s="118" t="str">
        <f ca="1">IFERROR(__xludf.DUMMYFUNCTION("""COMPUTED_VALUE"""),"J")</f>
        <v>J</v>
      </c>
      <c r="F722" s="118" t="str">
        <f ca="1">IFERROR(__xludf.DUMMYFUNCTION("""COMPUTED_VALUE"""),"I")</f>
        <v>I</v>
      </c>
      <c r="G722" s="118">
        <f ca="1">IFERROR(__xludf.DUMMYFUNCTION("""COMPUTED_VALUE"""),4)</f>
        <v>4</v>
      </c>
      <c r="H722" s="118" t="str">
        <f ca="1">IFERROR(__xludf.DUMMYFUNCTION("""COMPUTED_VALUE"""),"GF")</f>
        <v>GF</v>
      </c>
      <c r="I722" s="118">
        <f ca="1">IFERROR(__xludf.DUMMYFUNCTION("""COMPUTED_VALUE"""),7)</f>
        <v>7</v>
      </c>
      <c r="J722" s="118">
        <f ca="1">IFERROR(__xludf.DUMMYFUNCTION("""COMPUTED_VALUE"""),4)</f>
        <v>4</v>
      </c>
      <c r="K722" s="120">
        <f ca="1">IFERROR(__xludf.DUMMYFUNCTION("""COMPUTED_VALUE"""),75.3)</f>
        <v>75.3</v>
      </c>
      <c r="L722" s="121"/>
      <c r="M722" s="120">
        <f ca="1">IFERROR(__xludf.DUMMYFUNCTION("""COMPUTED_VALUE"""),75.3)</f>
        <v>75.3</v>
      </c>
      <c r="N722" s="121"/>
      <c r="O722" s="120"/>
      <c r="P722" s="122"/>
      <c r="Q722" s="123" t="str">
        <f ca="1">IFERROR(__xludf.DUMMYFUNCTION("""COMPUTED_VALUE"""),"Michelle Pietras")</f>
        <v>Michelle Pietras</v>
      </c>
      <c r="R722" s="123"/>
      <c r="S722" s="123" t="str">
        <f ca="1">IFERROR(__xludf.DUMMYFUNCTION("""COMPUTED_VALUE"""),"Kylie O'Brien")</f>
        <v>Kylie O'Brien</v>
      </c>
      <c r="T722" s="123" t="str">
        <f ca="1">IFERROR(__xludf.DUMMYFUNCTION("""COMPUTED_VALUE"""),"Patrick Mulholland")</f>
        <v>Patrick Mulholland</v>
      </c>
    </row>
    <row r="723" spans="1:20" ht="13.8">
      <c r="A723" s="118" t="str">
        <f ca="1">IFERROR(__xludf.DUMMYFUNCTION("""COMPUTED_VALUE"""),"GF")</f>
        <v>GF</v>
      </c>
      <c r="B723" s="119" t="str">
        <f ca="1">IFERROR(__xludf.DUMMYFUNCTION("""COMPUTED_VALUE"""),"Daliyah McKimmy")</f>
        <v>Daliyah McKimmy</v>
      </c>
      <c r="C723" s="118">
        <f ca="1">IFERROR(__xludf.DUMMYFUNCTION("""COMPUTED_VALUE"""),13)</f>
        <v>13</v>
      </c>
      <c r="D723" s="118" t="str">
        <f ca="1">IFERROR(__xludf.DUMMYFUNCTION("""COMPUTED_VALUE"""),"G")</f>
        <v>G</v>
      </c>
      <c r="E723" s="118" t="str">
        <f ca="1">IFERROR(__xludf.DUMMYFUNCTION("""COMPUTED_VALUE"""),"I")</f>
        <v>I</v>
      </c>
      <c r="F723" s="118" t="str">
        <f ca="1">IFERROR(__xludf.DUMMYFUNCTION("""COMPUTED_VALUE"""),"S")</f>
        <v>S</v>
      </c>
      <c r="G723" s="118">
        <f ca="1">IFERROR(__xludf.DUMMYFUNCTION("""COMPUTED_VALUE"""),4)</f>
        <v>4</v>
      </c>
      <c r="H723" s="118" t="str">
        <f ca="1">IFERROR(__xludf.DUMMYFUNCTION("""COMPUTED_VALUE"""),"GF")</f>
        <v>GF</v>
      </c>
      <c r="I723" s="118">
        <f ca="1">IFERROR(__xludf.DUMMYFUNCTION("""COMPUTED_VALUE"""),8)</f>
        <v>8</v>
      </c>
      <c r="J723" s="118">
        <f ca="1">IFERROR(__xludf.DUMMYFUNCTION("""COMPUTED_VALUE"""),0)</f>
        <v>0</v>
      </c>
      <c r="K723" s="120"/>
      <c r="L723" s="121"/>
      <c r="M723" s="120"/>
      <c r="N723" s="121"/>
      <c r="O723" s="120"/>
      <c r="P723" s="122"/>
      <c r="Q723" s="123" t="str">
        <f ca="1">IFERROR(__xludf.DUMMYFUNCTION("""COMPUTED_VALUE"""),"Mila Farahi")</f>
        <v>Mila Farahi</v>
      </c>
      <c r="R723" s="123"/>
      <c r="S723" s="123" t="str">
        <f ca="1">IFERROR(__xludf.DUMMYFUNCTION("""COMPUTED_VALUE"""),"Lacey Niedzialek")</f>
        <v>Lacey Niedzialek</v>
      </c>
      <c r="T723" s="123" t="str">
        <f ca="1">IFERROR(__xludf.DUMMYFUNCTION("""COMPUTED_VALUE"""),"Patrick Smith")</f>
        <v>Patrick Smith</v>
      </c>
    </row>
    <row r="724" spans="1:20" ht="13.8">
      <c r="A724" s="118" t="str">
        <f ca="1">IFERROR(__xludf.DUMMYFUNCTION("""COMPUTED_VALUE"""),"GF")</f>
        <v>GF</v>
      </c>
      <c r="B724" s="119" t="str">
        <f ca="1">IFERROR(__xludf.DUMMYFUNCTION("""COMPUTED_VALUE"""),"Halia Ochieng")</f>
        <v>Halia Ochieng</v>
      </c>
      <c r="C724" s="118">
        <f ca="1">IFERROR(__xludf.DUMMYFUNCTION("""COMPUTED_VALUE"""),13)</f>
        <v>13</v>
      </c>
      <c r="D724" s="118" t="str">
        <f ca="1">IFERROR(__xludf.DUMMYFUNCTION("""COMPUTED_VALUE"""),"G")</f>
        <v>G</v>
      </c>
      <c r="E724" s="118" t="str">
        <f ca="1">IFERROR(__xludf.DUMMYFUNCTION("""COMPUTED_VALUE"""),"I")</f>
        <v>I</v>
      </c>
      <c r="F724" s="118" t="str">
        <f ca="1">IFERROR(__xludf.DUMMYFUNCTION("""COMPUTED_VALUE"""),"S")</f>
        <v>S</v>
      </c>
      <c r="G724" s="118">
        <f ca="1">IFERROR(__xludf.DUMMYFUNCTION("""COMPUTED_VALUE"""),4)</f>
        <v>4</v>
      </c>
      <c r="H724" s="118" t="str">
        <f ca="1">IFERROR(__xludf.DUMMYFUNCTION("""COMPUTED_VALUE"""),"GF")</f>
        <v>GF</v>
      </c>
      <c r="I724" s="118">
        <f ca="1">IFERROR(__xludf.DUMMYFUNCTION("""COMPUTED_VALUE"""),8)</f>
        <v>8</v>
      </c>
      <c r="J724" s="118">
        <f ca="1">IFERROR(__xludf.DUMMYFUNCTION("""COMPUTED_VALUE"""),0)</f>
        <v>0</v>
      </c>
      <c r="K724" s="120"/>
      <c r="L724" s="121"/>
      <c r="M724" s="120"/>
      <c r="N724" s="121"/>
      <c r="O724" s="120"/>
      <c r="P724" s="122"/>
      <c r="Q724" s="123" t="str">
        <f ca="1">IFERROR(__xludf.DUMMYFUNCTION("""COMPUTED_VALUE"""),"Mila Garcia")</f>
        <v>Mila Garcia</v>
      </c>
      <c r="R724" s="123"/>
      <c r="S724" s="123" t="str">
        <f ca="1">IFERROR(__xludf.DUMMYFUNCTION("""COMPUTED_VALUE"""),"Lacey Slone")</f>
        <v>Lacey Slone</v>
      </c>
      <c r="T724" s="123" t="str">
        <f ca="1">IFERROR(__xludf.DUMMYFUNCTION("""COMPUTED_VALUE"""),"Patrick Swatt")</f>
        <v>Patrick Swatt</v>
      </c>
    </row>
    <row r="725" spans="1:20" ht="13.8">
      <c r="A725" s="118" t="str">
        <f ca="1">IFERROR(__xludf.DUMMYFUNCTION("""COMPUTED_VALUE"""),"GF")</f>
        <v>GF</v>
      </c>
      <c r="B725" s="119" t="str">
        <f ca="1">IFERROR(__xludf.DUMMYFUNCTION("""COMPUTED_VALUE"""),"Lexa Landi")</f>
        <v>Lexa Landi</v>
      </c>
      <c r="C725" s="118">
        <f ca="1">IFERROR(__xludf.DUMMYFUNCTION("""COMPUTED_VALUE"""),13)</f>
        <v>13</v>
      </c>
      <c r="D725" s="118" t="str">
        <f ca="1">IFERROR(__xludf.DUMMYFUNCTION("""COMPUTED_VALUE"""),"G")</f>
        <v>G</v>
      </c>
      <c r="E725" s="118" t="str">
        <f ca="1">IFERROR(__xludf.DUMMYFUNCTION("""COMPUTED_VALUE"""),"I")</f>
        <v>I</v>
      </c>
      <c r="F725" s="118" t="str">
        <f ca="1">IFERROR(__xludf.DUMMYFUNCTION("""COMPUTED_VALUE"""),"S")</f>
        <v>S</v>
      </c>
      <c r="G725" s="118">
        <f ca="1">IFERROR(__xludf.DUMMYFUNCTION("""COMPUTED_VALUE"""),4)</f>
        <v>4</v>
      </c>
      <c r="H725" s="118" t="str">
        <f ca="1">IFERROR(__xludf.DUMMYFUNCTION("""COMPUTED_VALUE"""),"GF")</f>
        <v>GF</v>
      </c>
      <c r="I725" s="118">
        <f ca="1">IFERROR(__xludf.DUMMYFUNCTION("""COMPUTED_VALUE"""),8)</f>
        <v>8</v>
      </c>
      <c r="J725" s="118">
        <f ca="1">IFERROR(__xludf.DUMMYFUNCTION("""COMPUTED_VALUE"""),4)</f>
        <v>4</v>
      </c>
      <c r="K725" s="120">
        <f ca="1">IFERROR(__xludf.DUMMYFUNCTION("""COMPUTED_VALUE"""),88.3)</f>
        <v>88.3</v>
      </c>
      <c r="L725" s="121"/>
      <c r="M725" s="120"/>
      <c r="N725" s="121"/>
      <c r="O725" s="120"/>
      <c r="P725" s="122"/>
      <c r="Q725" s="123" t="str">
        <f ca="1">IFERROR(__xludf.DUMMYFUNCTION("""COMPUTED_VALUE"""),"Mila Gonzales")</f>
        <v>Mila Gonzales</v>
      </c>
      <c r="R725" s="123"/>
      <c r="S725" s="123" t="str">
        <f ca="1">IFERROR(__xludf.DUMMYFUNCTION("""COMPUTED_VALUE"""),"Laila Kolonda")</f>
        <v>Laila Kolonda</v>
      </c>
      <c r="T725" s="123" t="str">
        <f ca="1">IFERROR(__xludf.DUMMYFUNCTION("""COMPUTED_VALUE"""),"Patrick Verasin")</f>
        <v>Patrick Verasin</v>
      </c>
    </row>
    <row r="726" spans="1:20" ht="13.8">
      <c r="A726" s="118" t="str">
        <f ca="1">IFERROR(__xludf.DUMMYFUNCTION("""COMPUTED_VALUE"""),"GF")</f>
        <v>GF</v>
      </c>
      <c r="B726" s="119" t="str">
        <f ca="1">IFERROR(__xludf.DUMMYFUNCTION("""COMPUTED_VALUE"""),"Meri Fowler")</f>
        <v>Meri Fowler</v>
      </c>
      <c r="C726" s="118">
        <f ca="1">IFERROR(__xludf.DUMMYFUNCTION("""COMPUTED_VALUE"""),13)</f>
        <v>13</v>
      </c>
      <c r="D726" s="118" t="str">
        <f ca="1">IFERROR(__xludf.DUMMYFUNCTION("""COMPUTED_VALUE"""),"G")</f>
        <v>G</v>
      </c>
      <c r="E726" s="118" t="str">
        <f ca="1">IFERROR(__xludf.DUMMYFUNCTION("""COMPUTED_VALUE"""),"I")</f>
        <v>I</v>
      </c>
      <c r="F726" s="118" t="str">
        <f ca="1">IFERROR(__xludf.DUMMYFUNCTION("""COMPUTED_VALUE"""),"S")</f>
        <v>S</v>
      </c>
      <c r="G726" s="118">
        <f ca="1">IFERROR(__xludf.DUMMYFUNCTION("""COMPUTED_VALUE"""),4)</f>
        <v>4</v>
      </c>
      <c r="H726" s="118" t="str">
        <f ca="1">IFERROR(__xludf.DUMMYFUNCTION("""COMPUTED_VALUE"""),"GF")</f>
        <v>GF</v>
      </c>
      <c r="I726" s="118">
        <f ca="1">IFERROR(__xludf.DUMMYFUNCTION("""COMPUTED_VALUE"""),8)</f>
        <v>8</v>
      </c>
      <c r="J726" s="118">
        <f ca="1">IFERROR(__xludf.DUMMYFUNCTION("""COMPUTED_VALUE"""),5)</f>
        <v>5</v>
      </c>
      <c r="K726" s="120">
        <f ca="1">IFERROR(__xludf.DUMMYFUNCTION("""COMPUTED_VALUE"""),123.4)</f>
        <v>123.4</v>
      </c>
      <c r="L726" s="121"/>
      <c r="M726" s="120">
        <f ca="1">IFERROR(__xludf.DUMMYFUNCTION("""COMPUTED_VALUE"""),101.75)</f>
        <v>101.75</v>
      </c>
      <c r="N726" s="121"/>
      <c r="O726" s="120">
        <f ca="1">IFERROR(__xludf.DUMMYFUNCTION("""COMPUTED_VALUE"""),123.4)</f>
        <v>123.4</v>
      </c>
      <c r="P726" s="122"/>
      <c r="Q726" s="123" t="str">
        <f ca="1">IFERROR(__xludf.DUMMYFUNCTION("""COMPUTED_VALUE"""),"Mila Gonzalez")</f>
        <v>Mila Gonzalez</v>
      </c>
      <c r="R726" s="123"/>
      <c r="S726" s="123" t="str">
        <f ca="1">IFERROR(__xludf.DUMMYFUNCTION("""COMPUTED_VALUE"""),"Lainey Cestaro")</f>
        <v>Lainey Cestaro</v>
      </c>
      <c r="T726" s="123" t="str">
        <f ca="1">IFERROR(__xludf.DUMMYFUNCTION("""COMPUTED_VALUE"""),"Patrick Walsh")</f>
        <v>Patrick Walsh</v>
      </c>
    </row>
    <row r="727" spans="1:20" ht="13.8">
      <c r="A727" s="118" t="str">
        <f ca="1">IFERROR(__xludf.DUMMYFUNCTION("""COMPUTED_VALUE"""),"GF")</f>
        <v>GF</v>
      </c>
      <c r="B727" s="119" t="str">
        <f ca="1">IFERROR(__xludf.DUMMYFUNCTION("""COMPUTED_VALUE"""),"Christopher Daniels")</f>
        <v>Christopher Daniels</v>
      </c>
      <c r="C727" s="118">
        <f ca="1">IFERROR(__xludf.DUMMYFUNCTION("""COMPUTED_VALUE"""),13)</f>
        <v>13</v>
      </c>
      <c r="D727" s="118" t="str">
        <f ca="1">IFERROR(__xludf.DUMMYFUNCTION("""COMPUTED_VALUE"""),"B")</f>
        <v>B</v>
      </c>
      <c r="E727" s="118" t="str">
        <f ca="1">IFERROR(__xludf.DUMMYFUNCTION("""COMPUTED_VALUE"""),"I")</f>
        <v>I</v>
      </c>
      <c r="F727" s="118" t="str">
        <f ca="1">IFERROR(__xludf.DUMMYFUNCTION("""COMPUTED_VALUE"""),"S")</f>
        <v>S</v>
      </c>
      <c r="G727" s="118">
        <f ca="1">IFERROR(__xludf.DUMMYFUNCTION("""COMPUTED_VALUE"""),4)</f>
        <v>4</v>
      </c>
      <c r="H727" s="118" t="str">
        <f ca="1">IFERROR(__xludf.DUMMYFUNCTION("""COMPUTED_VALUE"""),"GF")</f>
        <v>GF</v>
      </c>
      <c r="I727" s="118">
        <f ca="1">IFERROR(__xludf.DUMMYFUNCTION("""COMPUTED_VALUE"""),9)</f>
        <v>9</v>
      </c>
      <c r="J727" s="118">
        <f ca="1">IFERROR(__xludf.DUMMYFUNCTION("""COMPUTED_VALUE"""),0)</f>
        <v>0</v>
      </c>
      <c r="K727" s="120"/>
      <c r="L727" s="121"/>
      <c r="M727" s="120"/>
      <c r="N727" s="121"/>
      <c r="O727" s="120"/>
      <c r="P727" s="122"/>
      <c r="Q727" s="123" t="str">
        <f ca="1">IFERROR(__xludf.DUMMYFUNCTION("""COMPUTED_VALUE"""),"Mila Mazahery")</f>
        <v>Mila Mazahery</v>
      </c>
      <c r="R727" s="123"/>
      <c r="S727" s="123" t="str">
        <f ca="1">IFERROR(__xludf.DUMMYFUNCTION("""COMPUTED_VALUE"""),"Laura Krumins")</f>
        <v>Laura Krumins</v>
      </c>
      <c r="T727" s="123" t="str">
        <f ca="1">IFERROR(__xludf.DUMMYFUNCTION("""COMPUTED_VALUE"""),"Paul DiCola")</f>
        <v>Paul DiCola</v>
      </c>
    </row>
    <row r="728" spans="1:20" ht="13.8">
      <c r="A728" s="118" t="str">
        <f ca="1">IFERROR(__xludf.DUMMYFUNCTION("""COMPUTED_VALUE"""),"GF")</f>
        <v>GF</v>
      </c>
      <c r="B728" s="119" t="str">
        <f ca="1">IFERROR(__xludf.DUMMYFUNCTION("""COMPUTED_VALUE"""),"Vin Landi")</f>
        <v>Vin Landi</v>
      </c>
      <c r="C728" s="118">
        <f ca="1">IFERROR(__xludf.DUMMYFUNCTION("""COMPUTED_VALUE"""),14)</f>
        <v>14</v>
      </c>
      <c r="D728" s="118" t="str">
        <f ca="1">IFERROR(__xludf.DUMMYFUNCTION("""COMPUTED_VALUE"""),"B")</f>
        <v>B</v>
      </c>
      <c r="E728" s="118" t="str">
        <f ca="1">IFERROR(__xludf.DUMMYFUNCTION("""COMPUTED_VALUE"""),"I")</f>
        <v>I</v>
      </c>
      <c r="F728" s="118" t="str">
        <f ca="1">IFERROR(__xludf.DUMMYFUNCTION("""COMPUTED_VALUE"""),"S")</f>
        <v>S</v>
      </c>
      <c r="G728" s="118">
        <f ca="1">IFERROR(__xludf.DUMMYFUNCTION("""COMPUTED_VALUE"""),4)</f>
        <v>4</v>
      </c>
      <c r="H728" s="118" t="str">
        <f ca="1">IFERROR(__xludf.DUMMYFUNCTION("""COMPUTED_VALUE"""),"GF")</f>
        <v>GF</v>
      </c>
      <c r="I728" s="118">
        <f ca="1">IFERROR(__xludf.DUMMYFUNCTION("""COMPUTED_VALUE"""),9)</f>
        <v>9</v>
      </c>
      <c r="J728" s="118">
        <f ca="1">IFERROR(__xludf.DUMMYFUNCTION("""COMPUTED_VALUE"""),4)</f>
        <v>4</v>
      </c>
      <c r="K728" s="120">
        <f ca="1">IFERROR(__xludf.DUMMYFUNCTION("""COMPUTED_VALUE"""),114.7)</f>
        <v>114.7</v>
      </c>
      <c r="L728" s="121"/>
      <c r="M728" s="120">
        <f ca="1">IFERROR(__xludf.DUMMYFUNCTION("""COMPUTED_VALUE"""),89.75)</f>
        <v>89.75</v>
      </c>
      <c r="N728" s="121"/>
      <c r="O728" s="120">
        <f ca="1">IFERROR(__xludf.DUMMYFUNCTION("""COMPUTED_VALUE"""),114.7)</f>
        <v>114.7</v>
      </c>
      <c r="P728" s="122"/>
      <c r="Q728" s="123" t="str">
        <f ca="1">IFERROR(__xludf.DUMMYFUNCTION("""COMPUTED_VALUE"""),"Milla Schymanski")</f>
        <v>Milla Schymanski</v>
      </c>
      <c r="R728" s="123"/>
      <c r="S728" s="123" t="str">
        <f ca="1">IFERROR(__xludf.DUMMYFUNCTION("""COMPUTED_VALUE"""),"Lauren Emerick")</f>
        <v>Lauren Emerick</v>
      </c>
      <c r="T728" s="123" t="str">
        <f ca="1">IFERROR(__xludf.DUMMYFUNCTION("""COMPUTED_VALUE"""),"Paxton Martinez")</f>
        <v>Paxton Martinez</v>
      </c>
    </row>
    <row r="729" spans="1:20" ht="13.8">
      <c r="A729" s="118" t="str">
        <f ca="1">IFERROR(__xludf.DUMMYFUNCTION("""COMPUTED_VALUE"""),"GF")</f>
        <v>GF</v>
      </c>
      <c r="B729" s="119" t="str">
        <f ca="1">IFERROR(__xludf.DUMMYFUNCTION("""COMPUTED_VALUE"""),"Mary Abela")</f>
        <v>Mary Abela</v>
      </c>
      <c r="C729" s="118">
        <f ca="1">IFERROR(__xludf.DUMMYFUNCTION("""COMPUTED_VALUE"""),15)</f>
        <v>15</v>
      </c>
      <c r="D729" s="118" t="str">
        <f ca="1">IFERROR(__xludf.DUMMYFUNCTION("""COMPUTED_VALUE"""),"G")</f>
        <v>G</v>
      </c>
      <c r="E729" s="118" t="str">
        <f ca="1">IFERROR(__xludf.DUMMYFUNCTION("""COMPUTED_VALUE"""),"S")</f>
        <v>S</v>
      </c>
      <c r="F729" s="118" t="str">
        <f ca="1">IFERROR(__xludf.DUMMYFUNCTION("""COMPUTED_VALUE"""),"S")</f>
        <v>S</v>
      </c>
      <c r="G729" s="118">
        <f ca="1">IFERROR(__xludf.DUMMYFUNCTION("""COMPUTED_VALUE"""),4)</f>
        <v>4</v>
      </c>
      <c r="H729" s="118" t="str">
        <f ca="1">IFERROR(__xludf.DUMMYFUNCTION("""COMPUTED_VALUE"""),"GF")</f>
        <v>GF</v>
      </c>
      <c r="I729" s="118">
        <f ca="1">IFERROR(__xludf.DUMMYFUNCTION("""COMPUTED_VALUE"""),10)</f>
        <v>10</v>
      </c>
      <c r="J729" s="118">
        <f ca="1">IFERROR(__xludf.DUMMYFUNCTION("""COMPUTED_VALUE"""),4)</f>
        <v>4</v>
      </c>
      <c r="K729" s="120">
        <f ca="1">IFERROR(__xludf.DUMMYFUNCTION("""COMPUTED_VALUE"""),142.7)</f>
        <v>142.69999999999999</v>
      </c>
      <c r="L729" s="121"/>
      <c r="M729" s="120">
        <f ca="1">IFERROR(__xludf.DUMMYFUNCTION("""COMPUTED_VALUE"""),135.2)</f>
        <v>135.19999999999999</v>
      </c>
      <c r="N729" s="121"/>
      <c r="O729" s="120"/>
      <c r="P729" s="122"/>
      <c r="Q729" s="123" t="str">
        <f ca="1">IFERROR(__xludf.DUMMYFUNCTION("""COMPUTED_VALUE"""),"Millie Bardolf")</f>
        <v>Millie Bardolf</v>
      </c>
      <c r="R729" s="123"/>
      <c r="S729" s="123" t="str">
        <f ca="1">IFERROR(__xludf.DUMMYFUNCTION("""COMPUTED_VALUE"""),"Lauren Hefferan")</f>
        <v>Lauren Hefferan</v>
      </c>
      <c r="T729" s="123" t="str">
        <f ca="1">IFERROR(__xludf.DUMMYFUNCTION("""COMPUTED_VALUE"""),"Peter Baird")</f>
        <v>Peter Baird</v>
      </c>
    </row>
    <row r="730" spans="1:20" ht="13.8">
      <c r="A730" s="118" t="str">
        <f ca="1">IFERROR(__xludf.DUMMYFUNCTION("""COMPUTED_VALUE"""),"GF")</f>
        <v>GF</v>
      </c>
      <c r="B730" s="119" t="str">
        <f ca="1">IFERROR(__xludf.DUMMYFUNCTION("""COMPUTED_VALUE"""),"Norah Kissinger")</f>
        <v>Norah Kissinger</v>
      </c>
      <c r="C730" s="118">
        <f ca="1">IFERROR(__xludf.DUMMYFUNCTION("""COMPUTED_VALUE"""),17)</f>
        <v>17</v>
      </c>
      <c r="D730" s="118" t="str">
        <f ca="1">IFERROR(__xludf.DUMMYFUNCTION("""COMPUTED_VALUE"""),"G")</f>
        <v>G</v>
      </c>
      <c r="E730" s="118" t="str">
        <f ca="1">IFERROR(__xludf.DUMMYFUNCTION("""COMPUTED_VALUE"""),"S")</f>
        <v>S</v>
      </c>
      <c r="F730" s="118" t="str">
        <f ca="1">IFERROR(__xludf.DUMMYFUNCTION("""COMPUTED_VALUE"""),"S")</f>
        <v>S</v>
      </c>
      <c r="G730" s="118">
        <f ca="1">IFERROR(__xludf.DUMMYFUNCTION("""COMPUTED_VALUE"""),4)</f>
        <v>4</v>
      </c>
      <c r="H730" s="118" t="str">
        <f ca="1">IFERROR(__xludf.DUMMYFUNCTION("""COMPUTED_VALUE"""),"GF")</f>
        <v>GF</v>
      </c>
      <c r="I730" s="118">
        <f ca="1">IFERROR(__xludf.DUMMYFUNCTION("""COMPUTED_VALUE"""),10)</f>
        <v>10</v>
      </c>
      <c r="J730" s="118">
        <f ca="1">IFERROR(__xludf.DUMMYFUNCTION("""COMPUTED_VALUE"""),5)</f>
        <v>5</v>
      </c>
      <c r="K730" s="120">
        <f ca="1">IFERROR(__xludf.DUMMYFUNCTION("""COMPUTED_VALUE"""),205.65)</f>
        <v>205.65</v>
      </c>
      <c r="L730" s="121"/>
      <c r="M730" s="120">
        <f ca="1">IFERROR(__xludf.DUMMYFUNCTION("""COMPUTED_VALUE"""),148.7)</f>
        <v>148.69999999999999</v>
      </c>
      <c r="N730" s="121"/>
      <c r="O730" s="120">
        <f ca="1">IFERROR(__xludf.DUMMYFUNCTION("""COMPUTED_VALUE"""),205.65)</f>
        <v>205.65</v>
      </c>
      <c r="P730" s="122"/>
      <c r="Q730" s="123" t="str">
        <f ca="1">IFERROR(__xludf.DUMMYFUNCTION("""COMPUTED_VALUE"""),"Mimei Minato")</f>
        <v>Mimei Minato</v>
      </c>
      <c r="R730" s="123"/>
      <c r="S730" s="123" t="str">
        <f ca="1">IFERROR(__xludf.DUMMYFUNCTION("""COMPUTED_VALUE"""),"Lauren Lynn")</f>
        <v>Lauren Lynn</v>
      </c>
      <c r="T730" s="123" t="str">
        <f ca="1">IFERROR(__xludf.DUMMYFUNCTION("""COMPUTED_VALUE"""),"Peter Beatty")</f>
        <v>Peter Beatty</v>
      </c>
    </row>
    <row r="731" spans="1:20" ht="13.8">
      <c r="A731" s="118" t="str">
        <f ca="1">IFERROR(__xludf.DUMMYFUNCTION("""COMPUTED_VALUE"""),"GF")</f>
        <v>GF</v>
      </c>
      <c r="B731" s="119" t="str">
        <f ca="1">IFERROR(__xludf.DUMMYFUNCTION("""COMPUTED_VALUE"""),"Cian Gallagher")</f>
        <v>Cian Gallagher</v>
      </c>
      <c r="C731" s="118">
        <f ca="1">IFERROR(__xludf.DUMMYFUNCTION("""COMPUTED_VALUE"""),16)</f>
        <v>16</v>
      </c>
      <c r="D731" s="118" t="str">
        <f ca="1">IFERROR(__xludf.DUMMYFUNCTION("""COMPUTED_VALUE"""),"B")</f>
        <v>B</v>
      </c>
      <c r="E731" s="118" t="str">
        <f ca="1">IFERROR(__xludf.DUMMYFUNCTION("""COMPUTED_VALUE"""),"S")</f>
        <v>S</v>
      </c>
      <c r="F731" s="118" t="str">
        <f ca="1">IFERROR(__xludf.DUMMYFUNCTION("""COMPUTED_VALUE"""),"S")</f>
        <v>S</v>
      </c>
      <c r="G731" s="118">
        <f ca="1">IFERROR(__xludf.DUMMYFUNCTION("""COMPUTED_VALUE"""),4)</f>
        <v>4</v>
      </c>
      <c r="H731" s="118" t="str">
        <f ca="1">IFERROR(__xludf.DUMMYFUNCTION("""COMPUTED_VALUE"""),"GF")</f>
        <v>GF</v>
      </c>
      <c r="I731" s="118">
        <f ca="1">IFERROR(__xludf.DUMMYFUNCTION("""COMPUTED_VALUE"""),11)</f>
        <v>11</v>
      </c>
      <c r="J731" s="118">
        <f ca="1">IFERROR(__xludf.DUMMYFUNCTION("""COMPUTED_VALUE"""),4)</f>
        <v>4</v>
      </c>
      <c r="K731" s="120">
        <f ca="1">IFERROR(__xludf.DUMMYFUNCTION("""COMPUTED_VALUE"""),153.35)</f>
        <v>153.35</v>
      </c>
      <c r="L731" s="121"/>
      <c r="M731" s="120"/>
      <c r="N731" s="121"/>
      <c r="O731" s="120">
        <f ca="1">IFERROR(__xludf.DUMMYFUNCTION("""COMPUTED_VALUE"""),153.35)</f>
        <v>153.35</v>
      </c>
      <c r="P731" s="122"/>
      <c r="Q731" s="123" t="str">
        <f ca="1">IFERROR(__xludf.DUMMYFUNCTION("""COMPUTED_VALUE"""),"Mira Parikh")</f>
        <v>Mira Parikh</v>
      </c>
      <c r="R731" s="123"/>
      <c r="S731" s="123" t="str">
        <f ca="1">IFERROR(__xludf.DUMMYFUNCTION("""COMPUTED_VALUE"""),"Lauren Myers")</f>
        <v>Lauren Myers</v>
      </c>
      <c r="T731" s="123" t="str">
        <f ca="1">IFERROR(__xludf.DUMMYFUNCTION("""COMPUTED_VALUE"""),"Peter Goehring")</f>
        <v>Peter Goehring</v>
      </c>
    </row>
    <row r="732" spans="1:20" ht="13.8">
      <c r="A732" s="118" t="str">
        <f ca="1">IFERROR(__xludf.DUMMYFUNCTION("""COMPUTED_VALUE"""),"GF")</f>
        <v>GF</v>
      </c>
      <c r="B732" s="119" t="str">
        <f ca="1">IFERROR(__xludf.DUMMYFUNCTION("""COMPUTED_VALUE"""),"Peter Baird")</f>
        <v>Peter Baird</v>
      </c>
      <c r="C732" s="118">
        <f ca="1">IFERROR(__xludf.DUMMYFUNCTION("""COMPUTED_VALUE"""),15)</f>
        <v>15</v>
      </c>
      <c r="D732" s="118" t="str">
        <f ca="1">IFERROR(__xludf.DUMMYFUNCTION("""COMPUTED_VALUE"""),"B")</f>
        <v>B</v>
      </c>
      <c r="E732" s="118" t="str">
        <f ca="1">IFERROR(__xludf.DUMMYFUNCTION("""COMPUTED_VALUE"""),"S")</f>
        <v>S</v>
      </c>
      <c r="F732" s="118" t="str">
        <f ca="1">IFERROR(__xludf.DUMMYFUNCTION("""COMPUTED_VALUE"""),"S")</f>
        <v>S</v>
      </c>
      <c r="G732" s="118">
        <f ca="1">IFERROR(__xludf.DUMMYFUNCTION("""COMPUTED_VALUE"""),4)</f>
        <v>4</v>
      </c>
      <c r="H732" s="118" t="str">
        <f ca="1">IFERROR(__xludf.DUMMYFUNCTION("""COMPUTED_VALUE"""),"GF")</f>
        <v>GF</v>
      </c>
      <c r="I732" s="118">
        <f ca="1">IFERROR(__xludf.DUMMYFUNCTION("""COMPUTED_VALUE"""),11)</f>
        <v>11</v>
      </c>
      <c r="J732" s="118">
        <f ca="1">IFERROR(__xludf.DUMMYFUNCTION("""COMPUTED_VALUE"""),3)</f>
        <v>3</v>
      </c>
      <c r="K732" s="120">
        <f ca="1">IFERROR(__xludf.DUMMYFUNCTION("""COMPUTED_VALUE"""),122.6)</f>
        <v>122.6</v>
      </c>
      <c r="L732" s="121"/>
      <c r="M732" s="120">
        <f ca="1">IFERROR(__xludf.DUMMYFUNCTION("""COMPUTED_VALUE"""),120.85)</f>
        <v>120.85</v>
      </c>
      <c r="N732" s="121"/>
      <c r="O732" s="120"/>
      <c r="P732" s="122"/>
      <c r="Q732" s="123" t="str">
        <f ca="1">IFERROR(__xludf.DUMMYFUNCTION("""COMPUTED_VALUE"""),"Miriam Mikias")</f>
        <v>Miriam Mikias</v>
      </c>
      <c r="R732" s="123"/>
      <c r="S732" s="123" t="str">
        <f ca="1">IFERROR(__xludf.DUMMYFUNCTION("""COMPUTED_VALUE"""),"Lauren Rueffert")</f>
        <v>Lauren Rueffert</v>
      </c>
      <c r="T732" s="123" t="str">
        <f ca="1">IFERROR(__xludf.DUMMYFUNCTION("""COMPUTED_VALUE"""),"Peter Lucado")</f>
        <v>Peter Lucado</v>
      </c>
    </row>
    <row r="733" spans="1:20" ht="13.8">
      <c r="A733" s="118" t="str">
        <f ca="1">IFERROR(__xludf.DUMMYFUNCTION("""COMPUTED_VALUE"""),"HF")</f>
        <v>HF</v>
      </c>
      <c r="B733" s="119" t="str">
        <f ca="1">IFERROR(__xludf.DUMMYFUNCTION("""COMPUTED_VALUE"""),"Abby Lee")</f>
        <v>Abby Lee</v>
      </c>
      <c r="C733" s="118">
        <f ca="1">IFERROR(__xludf.DUMMYFUNCTION("""COMPUTED_VALUE"""),10)</f>
        <v>10</v>
      </c>
      <c r="D733" s="118" t="str">
        <f ca="1">IFERROR(__xludf.DUMMYFUNCTION("""COMPUTED_VALUE"""),"G")</f>
        <v>G</v>
      </c>
      <c r="E733" s="118" t="str">
        <f ca="1">IFERROR(__xludf.DUMMYFUNCTION("""COMPUTED_VALUE"""),"F")</f>
        <v>F</v>
      </c>
      <c r="F733" s="118" t="str">
        <f ca="1">IFERROR(__xludf.DUMMYFUNCTION("""COMPUTED_VALUE"""),"J")</f>
        <v>J</v>
      </c>
      <c r="G733" s="118">
        <f ca="1">IFERROR(__xludf.DUMMYFUNCTION("""COMPUTED_VALUE"""),4)</f>
        <v>4</v>
      </c>
      <c r="H733" s="118" t="str">
        <f ca="1">IFERROR(__xludf.DUMMYFUNCTION("""COMPUTED_VALUE"""),"HF")</f>
        <v>HF</v>
      </c>
      <c r="I733" s="118">
        <f ca="1">IFERROR(__xludf.DUMMYFUNCTION("""COMPUTED_VALUE"""),4)</f>
        <v>4</v>
      </c>
      <c r="J733" s="118">
        <f ca="1">IFERROR(__xludf.DUMMYFUNCTION("""COMPUTED_VALUE"""),5)</f>
        <v>5</v>
      </c>
      <c r="K733" s="120">
        <f ca="1">IFERROR(__xludf.DUMMYFUNCTION("""COMPUTED_VALUE"""),52.65)</f>
        <v>52.65</v>
      </c>
      <c r="L733" s="121"/>
      <c r="M733" s="120">
        <f ca="1">IFERROR(__xludf.DUMMYFUNCTION("""COMPUTED_VALUE"""),47.6)</f>
        <v>47.6</v>
      </c>
      <c r="N733" s="121"/>
      <c r="O733" s="120">
        <f ca="1">IFERROR(__xludf.DUMMYFUNCTION("""COMPUTED_VALUE"""),48.6)</f>
        <v>48.6</v>
      </c>
      <c r="P733" s="122"/>
      <c r="Q733" s="123" t="str">
        <f ca="1">IFERROR(__xludf.DUMMYFUNCTION("""COMPUTED_VALUE"""),"Misha Mullen")</f>
        <v>Misha Mullen</v>
      </c>
      <c r="R733" s="123"/>
      <c r="S733" s="123" t="str">
        <f ca="1">IFERROR(__xludf.DUMMYFUNCTION("""COMPUTED_VALUE"""),"Leah Bailey")</f>
        <v>Leah Bailey</v>
      </c>
      <c r="T733" s="123" t="str">
        <f ca="1">IFERROR(__xludf.DUMMYFUNCTION("""COMPUTED_VALUE"""),"Peyton Farahi")</f>
        <v>Peyton Farahi</v>
      </c>
    </row>
    <row r="734" spans="1:20" ht="13.8">
      <c r="A734" s="118" t="str">
        <f ca="1">IFERROR(__xludf.DUMMYFUNCTION("""COMPUTED_VALUE"""),"HF")</f>
        <v>HF</v>
      </c>
      <c r="B734" s="119" t="str">
        <f ca="1">IFERROR(__xludf.DUMMYFUNCTION("""COMPUTED_VALUE"""),"Adelyn Wilder")</f>
        <v>Adelyn Wilder</v>
      </c>
      <c r="C734" s="118">
        <f ca="1">IFERROR(__xludf.DUMMYFUNCTION("""COMPUTED_VALUE"""),9)</f>
        <v>9</v>
      </c>
      <c r="D734" s="118" t="str">
        <f ca="1">IFERROR(__xludf.DUMMYFUNCTION("""COMPUTED_VALUE"""),"G")</f>
        <v>G</v>
      </c>
      <c r="E734" s="118" t="str">
        <f ca="1">IFERROR(__xludf.DUMMYFUNCTION("""COMPUTED_VALUE"""),"F")</f>
        <v>F</v>
      </c>
      <c r="F734" s="118" t="str">
        <f ca="1">IFERROR(__xludf.DUMMYFUNCTION("""COMPUTED_VALUE"""),"J")</f>
        <v>J</v>
      </c>
      <c r="G734" s="118">
        <f ca="1">IFERROR(__xludf.DUMMYFUNCTION("""COMPUTED_VALUE"""),4)</f>
        <v>4</v>
      </c>
      <c r="H734" s="118" t="str">
        <f ca="1">IFERROR(__xludf.DUMMYFUNCTION("""COMPUTED_VALUE"""),"HF")</f>
        <v>HF</v>
      </c>
      <c r="I734" s="118">
        <f ca="1">IFERROR(__xludf.DUMMYFUNCTION("""COMPUTED_VALUE"""),4)</f>
        <v>4</v>
      </c>
      <c r="J734" s="118">
        <f ca="1">IFERROR(__xludf.DUMMYFUNCTION("""COMPUTED_VALUE"""),5)</f>
        <v>5</v>
      </c>
      <c r="K734" s="120">
        <f ca="1">IFERROR(__xludf.DUMMYFUNCTION("""COMPUTED_VALUE"""),48.9)</f>
        <v>48.9</v>
      </c>
      <c r="L734" s="121"/>
      <c r="M734" s="120">
        <f ca="1">IFERROR(__xludf.DUMMYFUNCTION("""COMPUTED_VALUE"""),47.85)</f>
        <v>47.85</v>
      </c>
      <c r="N734" s="121"/>
      <c r="O734" s="120">
        <f ca="1">IFERROR(__xludf.DUMMYFUNCTION("""COMPUTED_VALUE"""),31.45)</f>
        <v>31.45</v>
      </c>
      <c r="P734" s="122"/>
      <c r="Q734" s="123" t="str">
        <f ca="1">IFERROR(__xludf.DUMMYFUNCTION("""COMPUTED_VALUE"""),"Mishi Roper")</f>
        <v>Mishi Roper</v>
      </c>
      <c r="R734" s="123"/>
      <c r="S734" s="123" t="str">
        <f ca="1">IFERROR(__xludf.DUMMYFUNCTION("""COMPUTED_VALUE"""),"Leah Jandrain")</f>
        <v>Leah Jandrain</v>
      </c>
      <c r="T734" s="123" t="str">
        <f ca="1">IFERROR(__xludf.DUMMYFUNCTION("""COMPUTED_VALUE"""),"Peyton Reed")</f>
        <v>Peyton Reed</v>
      </c>
    </row>
    <row r="735" spans="1:20" ht="13.8">
      <c r="A735" s="118" t="str">
        <f ca="1">IFERROR(__xludf.DUMMYFUNCTION("""COMPUTED_VALUE"""),"HF")</f>
        <v>HF</v>
      </c>
      <c r="B735" s="119" t="str">
        <f ca="1">IFERROR(__xludf.DUMMYFUNCTION("""COMPUTED_VALUE"""),"Alexandra Torrez")</f>
        <v>Alexandra Torrez</v>
      </c>
      <c r="C735" s="118">
        <f ca="1">IFERROR(__xludf.DUMMYFUNCTION("""COMPUTED_VALUE"""),8)</f>
        <v>8</v>
      </c>
      <c r="D735" s="118" t="str">
        <f ca="1">IFERROR(__xludf.DUMMYFUNCTION("""COMPUTED_VALUE"""),"G")</f>
        <v>G</v>
      </c>
      <c r="E735" s="118" t="str">
        <f ca="1">IFERROR(__xludf.DUMMYFUNCTION("""COMPUTED_VALUE"""),"F")</f>
        <v>F</v>
      </c>
      <c r="F735" s="118" t="str">
        <f ca="1">IFERROR(__xludf.DUMMYFUNCTION("""COMPUTED_VALUE"""),"J")</f>
        <v>J</v>
      </c>
      <c r="G735" s="118">
        <f ca="1">IFERROR(__xludf.DUMMYFUNCTION("""COMPUTED_VALUE"""),4)</f>
        <v>4</v>
      </c>
      <c r="H735" s="118" t="str">
        <f ca="1">IFERROR(__xludf.DUMMYFUNCTION("""COMPUTED_VALUE"""),"HF")</f>
        <v>HF</v>
      </c>
      <c r="I735" s="118">
        <f ca="1">IFERROR(__xludf.DUMMYFUNCTION("""COMPUTED_VALUE"""),4)</f>
        <v>4</v>
      </c>
      <c r="J735" s="118">
        <f ca="1">IFERROR(__xludf.DUMMYFUNCTION("""COMPUTED_VALUE"""),3)</f>
        <v>3</v>
      </c>
      <c r="K735" s="120">
        <f ca="1">IFERROR(__xludf.DUMMYFUNCTION("""COMPUTED_VALUE"""),34.2)</f>
        <v>34.200000000000003</v>
      </c>
      <c r="L735" s="121"/>
      <c r="M735" s="120"/>
      <c r="N735" s="121"/>
      <c r="O735" s="120"/>
      <c r="P735" s="122"/>
      <c r="Q735" s="123" t="str">
        <f ca="1">IFERROR(__xludf.DUMMYFUNCTION("""COMPUTED_VALUE"""),"Molly Hamill")</f>
        <v>Molly Hamill</v>
      </c>
      <c r="R735" s="123"/>
      <c r="S735" s="123" t="str">
        <f ca="1">IFERROR(__xludf.DUMMYFUNCTION("""COMPUTED_VALUE"""),"Leah Robbins")</f>
        <v>Leah Robbins</v>
      </c>
      <c r="T735" s="123" t="str">
        <f ca="1">IFERROR(__xludf.DUMMYFUNCTION("""COMPUTED_VALUE"""),"Phil Bernard")</f>
        <v>Phil Bernard</v>
      </c>
    </row>
    <row r="736" spans="1:20" ht="13.8">
      <c r="A736" s="118" t="str">
        <f ca="1">IFERROR(__xludf.DUMMYFUNCTION("""COMPUTED_VALUE"""),"HF")</f>
        <v>HF</v>
      </c>
      <c r="B736" s="119" t="str">
        <f ca="1">IFERROR(__xludf.DUMMYFUNCTION("""COMPUTED_VALUE"""),"Ava Kowalchick")</f>
        <v>Ava Kowalchick</v>
      </c>
      <c r="C736" s="118">
        <f ca="1">IFERROR(__xludf.DUMMYFUNCTION("""COMPUTED_VALUE"""),9)</f>
        <v>9</v>
      </c>
      <c r="D736" s="118" t="str">
        <f ca="1">IFERROR(__xludf.DUMMYFUNCTION("""COMPUTED_VALUE"""),"G")</f>
        <v>G</v>
      </c>
      <c r="E736" s="118" t="str">
        <f ca="1">IFERROR(__xludf.DUMMYFUNCTION("""COMPUTED_VALUE"""),"F")</f>
        <v>F</v>
      </c>
      <c r="F736" s="118" t="str">
        <f ca="1">IFERROR(__xludf.DUMMYFUNCTION("""COMPUTED_VALUE"""),"J")</f>
        <v>J</v>
      </c>
      <c r="G736" s="118">
        <f ca="1">IFERROR(__xludf.DUMMYFUNCTION("""COMPUTED_VALUE"""),4)</f>
        <v>4</v>
      </c>
      <c r="H736" s="118" t="str">
        <f ca="1">IFERROR(__xludf.DUMMYFUNCTION("""COMPUTED_VALUE"""),"HF")</f>
        <v>HF</v>
      </c>
      <c r="I736" s="118">
        <f ca="1">IFERROR(__xludf.DUMMYFUNCTION("""COMPUTED_VALUE"""),4)</f>
        <v>4</v>
      </c>
      <c r="J736" s="118">
        <f ca="1">IFERROR(__xludf.DUMMYFUNCTION("""COMPUTED_VALUE"""),4)</f>
        <v>4</v>
      </c>
      <c r="K736" s="120">
        <f ca="1">IFERROR(__xludf.DUMMYFUNCTION("""COMPUTED_VALUE"""),64.25)</f>
        <v>64.25</v>
      </c>
      <c r="L736" s="121"/>
      <c r="M736" s="120">
        <f ca="1">IFERROR(__xludf.DUMMYFUNCTION("""COMPUTED_VALUE"""),63.05)</f>
        <v>63.05</v>
      </c>
      <c r="N736" s="121"/>
      <c r="O736" s="120">
        <f ca="1">IFERROR(__xludf.DUMMYFUNCTION("""COMPUTED_VALUE"""),64.25)</f>
        <v>64.25</v>
      </c>
      <c r="P736" s="122"/>
      <c r="Q736" s="123" t="str">
        <f ca="1">IFERROR(__xludf.DUMMYFUNCTION("""COMPUTED_VALUE"""),"Morgan Autry")</f>
        <v>Morgan Autry</v>
      </c>
      <c r="R736" s="123"/>
      <c r="S736" s="123" t="str">
        <f ca="1">IFERROR(__xludf.DUMMYFUNCTION("""COMPUTED_VALUE"""),"Leah Thoman")</f>
        <v>Leah Thoman</v>
      </c>
      <c r="T736" s="123" t="str">
        <f ca="1">IFERROR(__xludf.DUMMYFUNCTION("""COMPUTED_VALUE"""),"Philip Bastow")</f>
        <v>Philip Bastow</v>
      </c>
    </row>
    <row r="737" spans="1:20" ht="13.8">
      <c r="A737" s="118" t="str">
        <f ca="1">IFERROR(__xludf.DUMMYFUNCTION("""COMPUTED_VALUE"""),"HF")</f>
        <v>HF</v>
      </c>
      <c r="B737" s="119" t="str">
        <f ca="1">IFERROR(__xludf.DUMMYFUNCTION("""COMPUTED_VALUE"""),"Brielle Linenberg")</f>
        <v>Brielle Linenberg</v>
      </c>
      <c r="C737" s="118">
        <f ca="1">IFERROR(__xludf.DUMMYFUNCTION("""COMPUTED_VALUE"""),10)</f>
        <v>10</v>
      </c>
      <c r="D737" s="118" t="str">
        <f ca="1">IFERROR(__xludf.DUMMYFUNCTION("""COMPUTED_VALUE"""),"G")</f>
        <v>G</v>
      </c>
      <c r="E737" s="118" t="str">
        <f ca="1">IFERROR(__xludf.DUMMYFUNCTION("""COMPUTED_VALUE"""),"F")</f>
        <v>F</v>
      </c>
      <c r="F737" s="118" t="str">
        <f ca="1">IFERROR(__xludf.DUMMYFUNCTION("""COMPUTED_VALUE"""),"J")</f>
        <v>J</v>
      </c>
      <c r="G737" s="118">
        <f ca="1">IFERROR(__xludf.DUMMYFUNCTION("""COMPUTED_VALUE"""),4)</f>
        <v>4</v>
      </c>
      <c r="H737" s="118" t="str">
        <f ca="1">IFERROR(__xludf.DUMMYFUNCTION("""COMPUTED_VALUE"""),"HF")</f>
        <v>HF</v>
      </c>
      <c r="I737" s="118">
        <f ca="1">IFERROR(__xludf.DUMMYFUNCTION("""COMPUTED_VALUE"""),4)</f>
        <v>4</v>
      </c>
      <c r="J737" s="118">
        <f ca="1">IFERROR(__xludf.DUMMYFUNCTION("""COMPUTED_VALUE"""),4)</f>
        <v>4</v>
      </c>
      <c r="K737" s="120">
        <f ca="1">IFERROR(__xludf.DUMMYFUNCTION("""COMPUTED_VALUE"""),59.9)</f>
        <v>59.9</v>
      </c>
      <c r="L737" s="121"/>
      <c r="M737" s="120"/>
      <c r="N737" s="121"/>
      <c r="O737" s="120">
        <f ca="1">IFERROR(__xludf.DUMMYFUNCTION("""COMPUTED_VALUE"""),59.9)</f>
        <v>59.9</v>
      </c>
      <c r="P737" s="122"/>
      <c r="Q737" s="123" t="str">
        <f ca="1">IFERROR(__xludf.DUMMYFUNCTION("""COMPUTED_VALUE"""),"Mouse Guy")</f>
        <v>Mouse Guy</v>
      </c>
      <c r="R737" s="123"/>
      <c r="S737" s="123" t="str">
        <f ca="1">IFERROR(__xludf.DUMMYFUNCTION("""COMPUTED_VALUE"""),"Leandra Barger")</f>
        <v>Leandra Barger</v>
      </c>
      <c r="T737" s="123" t="str">
        <f ca="1">IFERROR(__xludf.DUMMYFUNCTION("""COMPUTED_VALUE"""),"Pierre Kroely")</f>
        <v>Pierre Kroely</v>
      </c>
    </row>
    <row r="738" spans="1:20" ht="13.8">
      <c r="A738" s="118" t="str">
        <f ca="1">IFERROR(__xludf.DUMMYFUNCTION("""COMPUTED_VALUE"""),"HF")</f>
        <v>HF</v>
      </c>
      <c r="B738" s="119" t="str">
        <f ca="1">IFERROR(__xludf.DUMMYFUNCTION("""COMPUTED_VALUE"""),"Dani Esteve")</f>
        <v>Dani Esteve</v>
      </c>
      <c r="C738" s="118">
        <f ca="1">IFERROR(__xludf.DUMMYFUNCTION("""COMPUTED_VALUE"""),5)</f>
        <v>5</v>
      </c>
      <c r="D738" s="118" t="str">
        <f ca="1">IFERROR(__xludf.DUMMYFUNCTION("""COMPUTED_VALUE"""),"G")</f>
        <v>G</v>
      </c>
      <c r="E738" s="118" t="str">
        <f ca="1">IFERROR(__xludf.DUMMYFUNCTION("""COMPUTED_VALUE"""),"F")</f>
        <v>F</v>
      </c>
      <c r="F738" s="118" t="str">
        <f ca="1">IFERROR(__xludf.DUMMYFUNCTION("""COMPUTED_VALUE"""),"J")</f>
        <v>J</v>
      </c>
      <c r="G738" s="118">
        <f ca="1">IFERROR(__xludf.DUMMYFUNCTION("""COMPUTED_VALUE"""),4)</f>
        <v>4</v>
      </c>
      <c r="H738" s="118" t="str">
        <f ca="1">IFERROR(__xludf.DUMMYFUNCTION("""COMPUTED_VALUE"""),"HF")</f>
        <v>HF</v>
      </c>
      <c r="I738" s="118">
        <f ca="1">IFERROR(__xludf.DUMMYFUNCTION("""COMPUTED_VALUE"""),4)</f>
        <v>4</v>
      </c>
      <c r="J738" s="118">
        <f ca="1">IFERROR(__xludf.DUMMYFUNCTION("""COMPUTED_VALUE"""),0)</f>
        <v>0</v>
      </c>
      <c r="K738" s="120"/>
      <c r="L738" s="121"/>
      <c r="M738" s="120"/>
      <c r="N738" s="121"/>
      <c r="O738" s="120"/>
      <c r="P738" s="122"/>
      <c r="Q738" s="123" t="str">
        <f ca="1">IFERROR(__xludf.DUMMYFUNCTION("""COMPUTED_VALUE"""),"Myla Metzger")</f>
        <v>Myla Metzger</v>
      </c>
      <c r="R738" s="123"/>
      <c r="S738" s="123" t="str">
        <f ca="1">IFERROR(__xludf.DUMMYFUNCTION("""COMPUTED_VALUE"""),"Leighton Raich")</f>
        <v>Leighton Raich</v>
      </c>
      <c r="T738" s="123" t="str">
        <f ca="1">IFERROR(__xludf.DUMMYFUNCTION("""COMPUTED_VALUE"""),"PJ Stigliano")</f>
        <v>PJ Stigliano</v>
      </c>
    </row>
    <row r="739" spans="1:20" ht="13.8">
      <c r="A739" s="118" t="str">
        <f ca="1">IFERROR(__xludf.DUMMYFUNCTION("""COMPUTED_VALUE"""),"HF")</f>
        <v>HF</v>
      </c>
      <c r="B739" s="119" t="str">
        <f ca="1">IFERROR(__xludf.DUMMYFUNCTION("""COMPUTED_VALUE"""),"Edi Charboneau")</f>
        <v>Edi Charboneau</v>
      </c>
      <c r="C739" s="118">
        <f ca="1">IFERROR(__xludf.DUMMYFUNCTION("""COMPUTED_VALUE"""),10)</f>
        <v>10</v>
      </c>
      <c r="D739" s="118" t="str">
        <f ca="1">IFERROR(__xludf.DUMMYFUNCTION("""COMPUTED_VALUE"""),"G")</f>
        <v>G</v>
      </c>
      <c r="E739" s="118" t="str">
        <f ca="1">IFERROR(__xludf.DUMMYFUNCTION("""COMPUTED_VALUE"""),"F")</f>
        <v>F</v>
      </c>
      <c r="F739" s="118" t="str">
        <f ca="1">IFERROR(__xludf.DUMMYFUNCTION("""COMPUTED_VALUE"""),"J")</f>
        <v>J</v>
      </c>
      <c r="G739" s="118">
        <f ca="1">IFERROR(__xludf.DUMMYFUNCTION("""COMPUTED_VALUE"""),4)</f>
        <v>4</v>
      </c>
      <c r="H739" s="118" t="str">
        <f ca="1">IFERROR(__xludf.DUMMYFUNCTION("""COMPUTED_VALUE"""),"HF")</f>
        <v>HF</v>
      </c>
      <c r="I739" s="118">
        <f ca="1">IFERROR(__xludf.DUMMYFUNCTION("""COMPUTED_VALUE"""),4)</f>
        <v>4</v>
      </c>
      <c r="J739" s="118">
        <f ca="1">IFERROR(__xludf.DUMMYFUNCTION("""COMPUTED_VALUE"""),5)</f>
        <v>5</v>
      </c>
      <c r="K739" s="120">
        <f ca="1">IFERROR(__xludf.DUMMYFUNCTION("""COMPUTED_VALUE"""),36.55)</f>
        <v>36.549999999999997</v>
      </c>
      <c r="L739" s="121"/>
      <c r="M739" s="120">
        <f ca="1">IFERROR(__xludf.DUMMYFUNCTION("""COMPUTED_VALUE"""),29.1)</f>
        <v>29.1</v>
      </c>
      <c r="N739" s="121"/>
      <c r="O739" s="120">
        <f ca="1">IFERROR(__xludf.DUMMYFUNCTION("""COMPUTED_VALUE"""),34.45)</f>
        <v>34.450000000000003</v>
      </c>
      <c r="P739" s="122"/>
      <c r="Q739" s="123" t="str">
        <f ca="1">IFERROR(__xludf.DUMMYFUNCTION("""COMPUTED_VALUE"""),"Naomi McShane")</f>
        <v>Naomi McShane</v>
      </c>
      <c r="R739" s="123"/>
      <c r="S739" s="123" t="str">
        <f ca="1">IFERROR(__xludf.DUMMYFUNCTION("""COMPUTED_VALUE"""),"Leila Adams")</f>
        <v>Leila Adams</v>
      </c>
      <c r="T739" s="123" t="str">
        <f ca="1">IFERROR(__xludf.DUMMYFUNCTION("""COMPUTED_VALUE"""),"Porter Bertman")</f>
        <v>Porter Bertman</v>
      </c>
    </row>
    <row r="740" spans="1:20" ht="13.8">
      <c r="A740" s="118" t="str">
        <f ca="1">IFERROR(__xludf.DUMMYFUNCTION("""COMPUTED_VALUE"""),"HF")</f>
        <v>HF</v>
      </c>
      <c r="B740" s="119" t="str">
        <f ca="1">IFERROR(__xludf.DUMMYFUNCTION("""COMPUTED_VALUE"""),"Ellie Lee")</f>
        <v>Ellie Lee</v>
      </c>
      <c r="C740" s="118">
        <f ca="1">IFERROR(__xludf.DUMMYFUNCTION("""COMPUTED_VALUE"""),7)</f>
        <v>7</v>
      </c>
      <c r="D740" s="118" t="str">
        <f ca="1">IFERROR(__xludf.DUMMYFUNCTION("""COMPUTED_VALUE"""),"G")</f>
        <v>G</v>
      </c>
      <c r="E740" s="118" t="str">
        <f ca="1">IFERROR(__xludf.DUMMYFUNCTION("""COMPUTED_VALUE"""),"F")</f>
        <v>F</v>
      </c>
      <c r="F740" s="118" t="str">
        <f ca="1">IFERROR(__xludf.DUMMYFUNCTION("""COMPUTED_VALUE"""),"J")</f>
        <v>J</v>
      </c>
      <c r="G740" s="118">
        <f ca="1">IFERROR(__xludf.DUMMYFUNCTION("""COMPUTED_VALUE"""),4)</f>
        <v>4</v>
      </c>
      <c r="H740" s="118" t="str">
        <f ca="1">IFERROR(__xludf.DUMMYFUNCTION("""COMPUTED_VALUE"""),"HF")</f>
        <v>HF</v>
      </c>
      <c r="I740" s="118">
        <f ca="1">IFERROR(__xludf.DUMMYFUNCTION("""COMPUTED_VALUE"""),4)</f>
        <v>4</v>
      </c>
      <c r="J740" s="118">
        <f ca="1">IFERROR(__xludf.DUMMYFUNCTION("""COMPUTED_VALUE"""),5)</f>
        <v>5</v>
      </c>
      <c r="K740" s="120">
        <f ca="1">IFERROR(__xludf.DUMMYFUNCTION("""COMPUTED_VALUE"""),47.5)</f>
        <v>47.5</v>
      </c>
      <c r="L740" s="121"/>
      <c r="M740" s="120">
        <f ca="1">IFERROR(__xludf.DUMMYFUNCTION("""COMPUTED_VALUE"""),32.75)</f>
        <v>32.75</v>
      </c>
      <c r="N740" s="121"/>
      <c r="O740" s="120">
        <f ca="1">IFERROR(__xludf.DUMMYFUNCTION("""COMPUTED_VALUE"""),39.6)</f>
        <v>39.6</v>
      </c>
      <c r="P740" s="122"/>
      <c r="Q740" s="123" t="str">
        <f ca="1">IFERROR(__xludf.DUMMYFUNCTION("""COMPUTED_VALUE"""),"Naomi Rios")</f>
        <v>Naomi Rios</v>
      </c>
      <c r="R740" s="123"/>
      <c r="S740" s="123" t="str">
        <f ca="1">IFERROR(__xludf.DUMMYFUNCTION("""COMPUTED_VALUE"""),"Leila Diliberto")</f>
        <v>Leila Diliberto</v>
      </c>
      <c r="T740" s="123" t="str">
        <f ca="1">IFERROR(__xludf.DUMMYFUNCTION("""COMPUTED_VALUE"""),"Preston Ta")</f>
        <v>Preston Ta</v>
      </c>
    </row>
    <row r="741" spans="1:20" ht="13.8">
      <c r="A741" s="118" t="str">
        <f ca="1">IFERROR(__xludf.DUMMYFUNCTION("""COMPUTED_VALUE"""),"HF")</f>
        <v>HF</v>
      </c>
      <c r="B741" s="119" t="str">
        <f ca="1">IFERROR(__xludf.DUMMYFUNCTION("""COMPUTED_VALUE"""),"Josie Odom")</f>
        <v>Josie Odom</v>
      </c>
      <c r="C741" s="118">
        <f ca="1">IFERROR(__xludf.DUMMYFUNCTION("""COMPUTED_VALUE"""),10)</f>
        <v>10</v>
      </c>
      <c r="D741" s="118" t="str">
        <f ca="1">IFERROR(__xludf.DUMMYFUNCTION("""COMPUTED_VALUE"""),"G")</f>
        <v>G</v>
      </c>
      <c r="E741" s="118" t="str">
        <f ca="1">IFERROR(__xludf.DUMMYFUNCTION("""COMPUTED_VALUE"""),"F")</f>
        <v>F</v>
      </c>
      <c r="F741" s="118" t="str">
        <f ca="1">IFERROR(__xludf.DUMMYFUNCTION("""COMPUTED_VALUE"""),"J")</f>
        <v>J</v>
      </c>
      <c r="G741" s="118">
        <f ca="1">IFERROR(__xludf.DUMMYFUNCTION("""COMPUTED_VALUE"""),4)</f>
        <v>4</v>
      </c>
      <c r="H741" s="118" t="str">
        <f ca="1">IFERROR(__xludf.DUMMYFUNCTION("""COMPUTED_VALUE"""),"HF")</f>
        <v>HF</v>
      </c>
      <c r="I741" s="118">
        <f ca="1">IFERROR(__xludf.DUMMYFUNCTION("""COMPUTED_VALUE"""),4)</f>
        <v>4</v>
      </c>
      <c r="J741" s="118">
        <f ca="1">IFERROR(__xludf.DUMMYFUNCTION("""COMPUTED_VALUE"""),1)</f>
        <v>1</v>
      </c>
      <c r="K741" s="120">
        <f ca="1">IFERROR(__xludf.DUMMYFUNCTION("""COMPUTED_VALUE"""),20.9)</f>
        <v>20.9</v>
      </c>
      <c r="L741" s="121"/>
      <c r="M741" s="120"/>
      <c r="N741" s="121"/>
      <c r="O741" s="120">
        <f ca="1">IFERROR(__xludf.DUMMYFUNCTION("""COMPUTED_VALUE"""),20.9)</f>
        <v>20.9</v>
      </c>
      <c r="P741" s="122"/>
      <c r="Q741" s="123" t="str">
        <f ca="1">IFERROR(__xludf.DUMMYFUNCTION("""COMPUTED_VALUE"""),"Naomi Sherer")</f>
        <v>Naomi Sherer</v>
      </c>
      <c r="R741" s="123"/>
      <c r="S741" s="123" t="str">
        <f ca="1">IFERROR(__xludf.DUMMYFUNCTION("""COMPUTED_VALUE"""),"Leila Hessell")</f>
        <v>Leila Hessell</v>
      </c>
      <c r="T741" s="123" t="str">
        <f ca="1">IFERROR(__xludf.DUMMYFUNCTION("""COMPUTED_VALUE"""),"Preston Tuttle")</f>
        <v>Preston Tuttle</v>
      </c>
    </row>
    <row r="742" spans="1:20" ht="13.8">
      <c r="A742" s="118" t="str">
        <f ca="1">IFERROR(__xludf.DUMMYFUNCTION("""COMPUTED_VALUE"""),"HF")</f>
        <v>HF</v>
      </c>
      <c r="B742" s="119" t="str">
        <f ca="1">IFERROR(__xludf.DUMMYFUNCTION("""COMPUTED_VALUE"""),"Kate Copes")</f>
        <v>Kate Copes</v>
      </c>
      <c r="C742" s="118">
        <f ca="1">IFERROR(__xludf.DUMMYFUNCTION("""COMPUTED_VALUE"""),8)</f>
        <v>8</v>
      </c>
      <c r="D742" s="118" t="str">
        <f ca="1">IFERROR(__xludf.DUMMYFUNCTION("""COMPUTED_VALUE"""),"G")</f>
        <v>G</v>
      </c>
      <c r="E742" s="118" t="str">
        <f ca="1">IFERROR(__xludf.DUMMYFUNCTION("""COMPUTED_VALUE"""),"F")</f>
        <v>F</v>
      </c>
      <c r="F742" s="118" t="str">
        <f ca="1">IFERROR(__xludf.DUMMYFUNCTION("""COMPUTED_VALUE"""),"J")</f>
        <v>J</v>
      </c>
      <c r="G742" s="118">
        <f ca="1">IFERROR(__xludf.DUMMYFUNCTION("""COMPUTED_VALUE"""),4)</f>
        <v>4</v>
      </c>
      <c r="H742" s="118" t="str">
        <f ca="1">IFERROR(__xludf.DUMMYFUNCTION("""COMPUTED_VALUE"""),"HF")</f>
        <v>HF</v>
      </c>
      <c r="I742" s="118">
        <f ca="1">IFERROR(__xludf.DUMMYFUNCTION("""COMPUTED_VALUE"""),4)</f>
        <v>4</v>
      </c>
      <c r="J742" s="118">
        <f ca="1">IFERROR(__xludf.DUMMYFUNCTION("""COMPUTED_VALUE"""),4)</f>
        <v>4</v>
      </c>
      <c r="K742" s="120">
        <f ca="1">IFERROR(__xludf.DUMMYFUNCTION("""COMPUTED_VALUE"""),42.9)</f>
        <v>42.9</v>
      </c>
      <c r="L742" s="121"/>
      <c r="M742" s="120"/>
      <c r="N742" s="121"/>
      <c r="O742" s="120">
        <f ca="1">IFERROR(__xludf.DUMMYFUNCTION("""COMPUTED_VALUE"""),42.9)</f>
        <v>42.9</v>
      </c>
      <c r="P742" s="122"/>
      <c r="Q742" s="123" t="str">
        <f ca="1">IFERROR(__xludf.DUMMYFUNCTION("""COMPUTED_VALUE"""),"Natalia Haley")</f>
        <v>Natalia Haley</v>
      </c>
      <c r="R742" s="123"/>
      <c r="S742" s="123" t="str">
        <f ca="1">IFERROR(__xludf.DUMMYFUNCTION("""COMPUTED_VALUE"""),"Leila Iqbal")</f>
        <v>Leila Iqbal</v>
      </c>
      <c r="T742" s="123" t="str">
        <f ca="1">IFERROR(__xludf.DUMMYFUNCTION("""COMPUTED_VALUE"""),"Preston Wichert")</f>
        <v>Preston Wichert</v>
      </c>
    </row>
    <row r="743" spans="1:20" ht="13.8">
      <c r="A743" s="118" t="str">
        <f ca="1">IFERROR(__xludf.DUMMYFUNCTION("""COMPUTED_VALUE"""),"HF")</f>
        <v>HF</v>
      </c>
      <c r="B743" s="119" t="str">
        <f ca="1">IFERROR(__xludf.DUMMYFUNCTION("""COMPUTED_VALUE"""),"Lexi Cook")</f>
        <v>Lexi Cook</v>
      </c>
      <c r="C743" s="118">
        <f ca="1">IFERROR(__xludf.DUMMYFUNCTION("""COMPUTED_VALUE"""),7)</f>
        <v>7</v>
      </c>
      <c r="D743" s="118" t="str">
        <f ca="1">IFERROR(__xludf.DUMMYFUNCTION("""COMPUTED_VALUE"""),"G")</f>
        <v>G</v>
      </c>
      <c r="E743" s="118" t="str">
        <f ca="1">IFERROR(__xludf.DUMMYFUNCTION("""COMPUTED_VALUE"""),"F")</f>
        <v>F</v>
      </c>
      <c r="F743" s="118" t="str">
        <f ca="1">IFERROR(__xludf.DUMMYFUNCTION("""COMPUTED_VALUE"""),"J")</f>
        <v>J</v>
      </c>
      <c r="G743" s="118">
        <f ca="1">IFERROR(__xludf.DUMMYFUNCTION("""COMPUTED_VALUE"""),4)</f>
        <v>4</v>
      </c>
      <c r="H743" s="118" t="str">
        <f ca="1">IFERROR(__xludf.DUMMYFUNCTION("""COMPUTED_VALUE"""),"HF")</f>
        <v>HF</v>
      </c>
      <c r="I743" s="118">
        <f ca="1">IFERROR(__xludf.DUMMYFUNCTION("""COMPUTED_VALUE"""),4)</f>
        <v>4</v>
      </c>
      <c r="J743" s="118">
        <f ca="1">IFERROR(__xludf.DUMMYFUNCTION("""COMPUTED_VALUE"""),4)</f>
        <v>4</v>
      </c>
      <c r="K743" s="120">
        <f ca="1">IFERROR(__xludf.DUMMYFUNCTION("""COMPUTED_VALUE"""),37.6)</f>
        <v>37.6</v>
      </c>
      <c r="L743" s="121"/>
      <c r="M743" s="120"/>
      <c r="N743" s="121"/>
      <c r="O743" s="120">
        <f ca="1">IFERROR(__xludf.DUMMYFUNCTION("""COMPUTED_VALUE"""),20.4)</f>
        <v>20.399999999999999</v>
      </c>
      <c r="P743" s="122"/>
      <c r="Q743" s="123" t="str">
        <f ca="1">IFERROR(__xludf.DUMMYFUNCTION("""COMPUTED_VALUE"""),"Natalia Patrick")</f>
        <v>Natalia Patrick</v>
      </c>
      <c r="R743" s="123"/>
      <c r="S743" s="123" t="str">
        <f ca="1">IFERROR(__xludf.DUMMYFUNCTION("""COMPUTED_VALUE"""),"Leila Suqi")</f>
        <v>Leila Suqi</v>
      </c>
      <c r="T743" s="123" t="str">
        <f ca="1">IFERROR(__xludf.DUMMYFUNCTION("""COMPUTED_VALUE"""),"Qader Sarsour")</f>
        <v>Qader Sarsour</v>
      </c>
    </row>
    <row r="744" spans="1:20" ht="13.8">
      <c r="A744" s="118" t="str">
        <f ca="1">IFERROR(__xludf.DUMMYFUNCTION("""COMPUTED_VALUE"""),"HF")</f>
        <v>HF</v>
      </c>
      <c r="B744" s="119" t="str">
        <f ca="1">IFERROR(__xludf.DUMMYFUNCTION("""COMPUTED_VALUE"""),"Mila Gonzalez")</f>
        <v>Mila Gonzalez</v>
      </c>
      <c r="C744" s="118">
        <f ca="1">IFERROR(__xludf.DUMMYFUNCTION("""COMPUTED_VALUE"""),8)</f>
        <v>8</v>
      </c>
      <c r="D744" s="118" t="str">
        <f ca="1">IFERROR(__xludf.DUMMYFUNCTION("""COMPUTED_VALUE"""),"G")</f>
        <v>G</v>
      </c>
      <c r="E744" s="118" t="str">
        <f ca="1">IFERROR(__xludf.DUMMYFUNCTION("""COMPUTED_VALUE"""),"F")</f>
        <v>F</v>
      </c>
      <c r="F744" s="118" t="str">
        <f ca="1">IFERROR(__xludf.DUMMYFUNCTION("""COMPUTED_VALUE"""),"J")</f>
        <v>J</v>
      </c>
      <c r="G744" s="118">
        <f ca="1">IFERROR(__xludf.DUMMYFUNCTION("""COMPUTED_VALUE"""),4)</f>
        <v>4</v>
      </c>
      <c r="H744" s="118" t="str">
        <f ca="1">IFERROR(__xludf.DUMMYFUNCTION("""COMPUTED_VALUE"""),"HF")</f>
        <v>HF</v>
      </c>
      <c r="I744" s="118">
        <f ca="1">IFERROR(__xludf.DUMMYFUNCTION("""COMPUTED_VALUE"""),4)</f>
        <v>4</v>
      </c>
      <c r="J744" s="118">
        <f ca="1">IFERROR(__xludf.DUMMYFUNCTION("""COMPUTED_VALUE"""),0)</f>
        <v>0</v>
      </c>
      <c r="K744" s="120"/>
      <c r="L744" s="121"/>
      <c r="M744" s="120"/>
      <c r="N744" s="121"/>
      <c r="O744" s="120"/>
      <c r="P744" s="122"/>
      <c r="Q744" s="123" t="str">
        <f ca="1">IFERROR(__xludf.DUMMYFUNCTION("""COMPUTED_VALUE"""),"Natalie Aurilio")</f>
        <v>Natalie Aurilio</v>
      </c>
      <c r="R744" s="123"/>
      <c r="S744" s="123" t="str">
        <f ca="1">IFERROR(__xludf.DUMMYFUNCTION("""COMPUTED_VALUE"""),"Leila White")</f>
        <v>Leila White</v>
      </c>
      <c r="T744" s="123" t="str">
        <f ca="1">IFERROR(__xludf.DUMMYFUNCTION("""COMPUTED_VALUE"""),"Quinn Coogen")</f>
        <v>Quinn Coogen</v>
      </c>
    </row>
    <row r="745" spans="1:20" ht="13.8">
      <c r="A745" s="118" t="str">
        <f ca="1">IFERROR(__xludf.DUMMYFUNCTION("""COMPUTED_VALUE"""),"HF")</f>
        <v>HF</v>
      </c>
      <c r="B745" s="119" t="str">
        <f ca="1">IFERROR(__xludf.DUMMYFUNCTION("""COMPUTED_VALUE"""),"Aiden Taylor")</f>
        <v>Aiden Taylor</v>
      </c>
      <c r="C745" s="118">
        <f ca="1">IFERROR(__xludf.DUMMYFUNCTION("""COMPUTED_VALUE"""),10)</f>
        <v>10</v>
      </c>
      <c r="D745" s="118" t="str">
        <f ca="1">IFERROR(__xludf.DUMMYFUNCTION("""COMPUTED_VALUE"""),"B")</f>
        <v>B</v>
      </c>
      <c r="E745" s="118" t="str">
        <f ca="1">IFERROR(__xludf.DUMMYFUNCTION("""COMPUTED_VALUE"""),"F")</f>
        <v>F</v>
      </c>
      <c r="F745" s="118" t="str">
        <f ca="1">IFERROR(__xludf.DUMMYFUNCTION("""COMPUTED_VALUE"""),"J")</f>
        <v>J</v>
      </c>
      <c r="G745" s="118">
        <f ca="1">IFERROR(__xludf.DUMMYFUNCTION("""COMPUTED_VALUE"""),4)</f>
        <v>4</v>
      </c>
      <c r="H745" s="118" t="str">
        <f ca="1">IFERROR(__xludf.DUMMYFUNCTION("""COMPUTED_VALUE"""),"HF")</f>
        <v>HF</v>
      </c>
      <c r="I745" s="118">
        <f ca="1">IFERROR(__xludf.DUMMYFUNCTION("""COMPUTED_VALUE"""),5)</f>
        <v>5</v>
      </c>
      <c r="J745" s="118">
        <f ca="1">IFERROR(__xludf.DUMMYFUNCTION("""COMPUTED_VALUE"""),0)</f>
        <v>0</v>
      </c>
      <c r="K745" s="120"/>
      <c r="L745" s="121"/>
      <c r="M745" s="120"/>
      <c r="N745" s="121"/>
      <c r="O745" s="120"/>
      <c r="P745" s="122"/>
      <c r="Q745" s="123" t="str">
        <f ca="1">IFERROR(__xludf.DUMMYFUNCTION("""COMPUTED_VALUE"""),"Natalie Esquivel")</f>
        <v>Natalie Esquivel</v>
      </c>
      <c r="R745" s="123"/>
      <c r="S745" s="123" t="str">
        <f ca="1">IFERROR(__xludf.DUMMYFUNCTION("""COMPUTED_VALUE"""),"Lelia Dodd")</f>
        <v>Lelia Dodd</v>
      </c>
      <c r="T745" s="123" t="str">
        <f ca="1">IFERROR(__xludf.DUMMYFUNCTION("""COMPUTED_VALUE"""),"Quinton Freshman")</f>
        <v>Quinton Freshman</v>
      </c>
    </row>
    <row r="746" spans="1:20" ht="13.8">
      <c r="A746" s="118" t="str">
        <f ca="1">IFERROR(__xludf.DUMMYFUNCTION("""COMPUTED_VALUE"""),"HF")</f>
        <v>HF</v>
      </c>
      <c r="B746" s="119" t="str">
        <f ca="1">IFERROR(__xludf.DUMMYFUNCTION("""COMPUTED_VALUE"""),"Ben Lyon")</f>
        <v>Ben Lyon</v>
      </c>
      <c r="C746" s="118">
        <f ca="1">IFERROR(__xludf.DUMMYFUNCTION("""COMPUTED_VALUE"""),9)</f>
        <v>9</v>
      </c>
      <c r="D746" s="118" t="str">
        <f ca="1">IFERROR(__xludf.DUMMYFUNCTION("""COMPUTED_VALUE"""),"B")</f>
        <v>B</v>
      </c>
      <c r="E746" s="118" t="str">
        <f ca="1">IFERROR(__xludf.DUMMYFUNCTION("""COMPUTED_VALUE"""),"F")</f>
        <v>F</v>
      </c>
      <c r="F746" s="118" t="str">
        <f ca="1">IFERROR(__xludf.DUMMYFUNCTION("""COMPUTED_VALUE"""),"J")</f>
        <v>J</v>
      </c>
      <c r="G746" s="118">
        <f ca="1">IFERROR(__xludf.DUMMYFUNCTION("""COMPUTED_VALUE"""),4)</f>
        <v>4</v>
      </c>
      <c r="H746" s="118" t="str">
        <f ca="1">IFERROR(__xludf.DUMMYFUNCTION("""COMPUTED_VALUE"""),"HF")</f>
        <v>HF</v>
      </c>
      <c r="I746" s="118">
        <f ca="1">IFERROR(__xludf.DUMMYFUNCTION("""COMPUTED_VALUE"""),5)</f>
        <v>5</v>
      </c>
      <c r="J746" s="118">
        <f ca="1">IFERROR(__xludf.DUMMYFUNCTION("""COMPUTED_VALUE"""),5)</f>
        <v>5</v>
      </c>
      <c r="K746" s="120">
        <f ca="1">IFERROR(__xludf.DUMMYFUNCTION("""COMPUTED_VALUE"""),63.85)</f>
        <v>63.85</v>
      </c>
      <c r="L746" s="121"/>
      <c r="M746" s="120">
        <f ca="1">IFERROR(__xludf.DUMMYFUNCTION("""COMPUTED_VALUE"""),47.3)</f>
        <v>47.3</v>
      </c>
      <c r="N746" s="121"/>
      <c r="O746" s="120">
        <f ca="1">IFERROR(__xludf.DUMMYFUNCTION("""COMPUTED_VALUE"""),63.85)</f>
        <v>63.85</v>
      </c>
      <c r="P746" s="122"/>
      <c r="Q746" s="123" t="str">
        <f ca="1">IFERROR(__xludf.DUMMYFUNCTION("""COMPUTED_VALUE"""),"Natalie Frasure")</f>
        <v>Natalie Frasure</v>
      </c>
      <c r="R746" s="123"/>
      <c r="S746" s="123" t="str">
        <f ca="1">IFERROR(__xludf.DUMMYFUNCTION("""COMPUTED_VALUE"""),"Lexa Landi")</f>
        <v>Lexa Landi</v>
      </c>
      <c r="T746" s="123" t="str">
        <f ca="1">IFERROR(__xludf.DUMMYFUNCTION("""COMPUTED_VALUE"""),"R. Emerson Koch")</f>
        <v>R. Emerson Koch</v>
      </c>
    </row>
    <row r="747" spans="1:20" ht="13.8">
      <c r="A747" s="118" t="str">
        <f ca="1">IFERROR(__xludf.DUMMYFUNCTION("""COMPUTED_VALUE"""),"HF")</f>
        <v>HF</v>
      </c>
      <c r="B747" s="119" t="str">
        <f ca="1">IFERROR(__xludf.DUMMYFUNCTION("""COMPUTED_VALUE"""),"Eli Meek")</f>
        <v>Eli Meek</v>
      </c>
      <c r="C747" s="118">
        <f ca="1">IFERROR(__xludf.DUMMYFUNCTION("""COMPUTED_VALUE"""),10)</f>
        <v>10</v>
      </c>
      <c r="D747" s="118" t="str">
        <f ca="1">IFERROR(__xludf.DUMMYFUNCTION("""COMPUTED_VALUE"""),"B")</f>
        <v>B</v>
      </c>
      <c r="E747" s="118" t="str">
        <f ca="1">IFERROR(__xludf.DUMMYFUNCTION("""COMPUTED_VALUE"""),"F")</f>
        <v>F</v>
      </c>
      <c r="F747" s="118" t="str">
        <f ca="1">IFERROR(__xludf.DUMMYFUNCTION("""COMPUTED_VALUE"""),"J")</f>
        <v>J</v>
      </c>
      <c r="G747" s="118">
        <f ca="1">IFERROR(__xludf.DUMMYFUNCTION("""COMPUTED_VALUE"""),4)</f>
        <v>4</v>
      </c>
      <c r="H747" s="118" t="str">
        <f ca="1">IFERROR(__xludf.DUMMYFUNCTION("""COMPUTED_VALUE"""),"HF")</f>
        <v>HF</v>
      </c>
      <c r="I747" s="118">
        <f ca="1">IFERROR(__xludf.DUMMYFUNCTION("""COMPUTED_VALUE"""),5)</f>
        <v>5</v>
      </c>
      <c r="J747" s="118">
        <f ca="1">IFERROR(__xludf.DUMMYFUNCTION("""COMPUTED_VALUE"""),0)</f>
        <v>0</v>
      </c>
      <c r="K747" s="120"/>
      <c r="L747" s="121"/>
      <c r="M747" s="120"/>
      <c r="N747" s="121"/>
      <c r="O747" s="120"/>
      <c r="P747" s="122"/>
      <c r="Q747" s="123" t="str">
        <f ca="1">IFERROR(__xludf.DUMMYFUNCTION("""COMPUTED_VALUE"""),"Natasha Sauchuk")</f>
        <v>Natasha Sauchuk</v>
      </c>
      <c r="R747" s="123"/>
      <c r="S747" s="123" t="str">
        <f ca="1">IFERROR(__xludf.DUMMYFUNCTION("""COMPUTED_VALUE"""),"Lexi Cook")</f>
        <v>Lexi Cook</v>
      </c>
      <c r="T747" s="123" t="str">
        <f ca="1">IFERROR(__xludf.DUMMYFUNCTION("""COMPUTED_VALUE"""),"Raito Detten")</f>
        <v>Raito Detten</v>
      </c>
    </row>
    <row r="748" spans="1:20" ht="13.8">
      <c r="A748" s="118" t="str">
        <f ca="1">IFERROR(__xludf.DUMMYFUNCTION("""COMPUTED_VALUE"""),"HF")</f>
        <v>HF</v>
      </c>
      <c r="B748" s="119" t="str">
        <f ca="1">IFERROR(__xludf.DUMMYFUNCTION("""COMPUTED_VALUE"""),"Espen Bassett")</f>
        <v>Espen Bassett</v>
      </c>
      <c r="C748" s="118">
        <f ca="1">IFERROR(__xludf.DUMMYFUNCTION("""COMPUTED_VALUE"""),10)</f>
        <v>10</v>
      </c>
      <c r="D748" s="118" t="str">
        <f ca="1">IFERROR(__xludf.DUMMYFUNCTION("""COMPUTED_VALUE"""),"B")</f>
        <v>B</v>
      </c>
      <c r="E748" s="118" t="str">
        <f ca="1">IFERROR(__xludf.DUMMYFUNCTION("""COMPUTED_VALUE"""),"F")</f>
        <v>F</v>
      </c>
      <c r="F748" s="118" t="str">
        <f ca="1">IFERROR(__xludf.DUMMYFUNCTION("""COMPUTED_VALUE"""),"J")</f>
        <v>J</v>
      </c>
      <c r="G748" s="118">
        <f ca="1">IFERROR(__xludf.DUMMYFUNCTION("""COMPUTED_VALUE"""),4)</f>
        <v>4</v>
      </c>
      <c r="H748" s="118" t="str">
        <f ca="1">IFERROR(__xludf.DUMMYFUNCTION("""COMPUTED_VALUE"""),"HF")</f>
        <v>HF</v>
      </c>
      <c r="I748" s="118">
        <f ca="1">IFERROR(__xludf.DUMMYFUNCTION("""COMPUTED_VALUE"""),5)</f>
        <v>5</v>
      </c>
      <c r="J748" s="118">
        <f ca="1">IFERROR(__xludf.DUMMYFUNCTION("""COMPUTED_VALUE"""),3)</f>
        <v>3</v>
      </c>
      <c r="K748" s="120">
        <f ca="1">IFERROR(__xludf.DUMMYFUNCTION("""COMPUTED_VALUE"""),51.55)</f>
        <v>51.55</v>
      </c>
      <c r="L748" s="121"/>
      <c r="M748" s="120">
        <f ca="1">IFERROR(__xludf.DUMMYFUNCTION("""COMPUTED_VALUE"""),51.55)</f>
        <v>51.55</v>
      </c>
      <c r="N748" s="121"/>
      <c r="O748" s="120">
        <f ca="1">IFERROR(__xludf.DUMMYFUNCTION("""COMPUTED_VALUE"""),41.7)</f>
        <v>41.7</v>
      </c>
      <c r="P748" s="122"/>
      <c r="Q748" s="123" t="str">
        <f ca="1">IFERROR(__xludf.DUMMYFUNCTION("""COMPUTED_VALUE"""),"Nathalie Lord")</f>
        <v>Nathalie Lord</v>
      </c>
      <c r="R748" s="123"/>
      <c r="S748" s="123" t="str">
        <f ca="1">IFERROR(__xludf.DUMMYFUNCTION("""COMPUTED_VALUE"""),"Lexi Fowler")</f>
        <v>Lexi Fowler</v>
      </c>
      <c r="T748" s="123" t="str">
        <f ca="1">IFERROR(__xludf.DUMMYFUNCTION("""COMPUTED_VALUE"""),"Ramsay Latham")</f>
        <v>Ramsay Latham</v>
      </c>
    </row>
    <row r="749" spans="1:20" ht="13.8">
      <c r="A749" s="118" t="str">
        <f ca="1">IFERROR(__xludf.DUMMYFUNCTION("""COMPUTED_VALUE"""),"HF")</f>
        <v>HF</v>
      </c>
      <c r="B749" s="119" t="str">
        <f ca="1">IFERROR(__xludf.DUMMYFUNCTION("""COMPUTED_VALUE"""),"Luke Payne")</f>
        <v>Luke Payne</v>
      </c>
      <c r="C749" s="118">
        <f ca="1">IFERROR(__xludf.DUMMYFUNCTION("""COMPUTED_VALUE"""),9)</f>
        <v>9</v>
      </c>
      <c r="D749" s="118" t="str">
        <f ca="1">IFERROR(__xludf.DUMMYFUNCTION("""COMPUTED_VALUE"""),"B")</f>
        <v>B</v>
      </c>
      <c r="E749" s="118" t="str">
        <f ca="1">IFERROR(__xludf.DUMMYFUNCTION("""COMPUTED_VALUE"""),"F")</f>
        <v>F</v>
      </c>
      <c r="F749" s="118" t="str">
        <f ca="1">IFERROR(__xludf.DUMMYFUNCTION("""COMPUTED_VALUE"""),"J")</f>
        <v>J</v>
      </c>
      <c r="G749" s="118">
        <f ca="1">IFERROR(__xludf.DUMMYFUNCTION("""COMPUTED_VALUE"""),4)</f>
        <v>4</v>
      </c>
      <c r="H749" s="118" t="str">
        <f ca="1">IFERROR(__xludf.DUMMYFUNCTION("""COMPUTED_VALUE"""),"HF")</f>
        <v>HF</v>
      </c>
      <c r="I749" s="118">
        <f ca="1">IFERROR(__xludf.DUMMYFUNCTION("""COMPUTED_VALUE"""),5)</f>
        <v>5</v>
      </c>
      <c r="J749" s="118">
        <f ca="1">IFERROR(__xludf.DUMMYFUNCTION("""COMPUTED_VALUE"""),2)</f>
        <v>2</v>
      </c>
      <c r="K749" s="120">
        <f ca="1">IFERROR(__xludf.DUMMYFUNCTION("""COMPUTED_VALUE"""),45.15)</f>
        <v>45.15</v>
      </c>
      <c r="L749" s="121"/>
      <c r="M749" s="120">
        <f ca="1">IFERROR(__xludf.DUMMYFUNCTION("""COMPUTED_VALUE"""),45.15)</f>
        <v>45.15</v>
      </c>
      <c r="N749" s="121"/>
      <c r="O749" s="120">
        <f ca="1">IFERROR(__xludf.DUMMYFUNCTION("""COMPUTED_VALUE"""),36.25)</f>
        <v>36.25</v>
      </c>
      <c r="P749" s="122"/>
      <c r="Q749" s="123" t="str">
        <f ca="1">IFERROR(__xludf.DUMMYFUNCTION("""COMPUTED_VALUE"""),"Nati Dick")</f>
        <v>Nati Dick</v>
      </c>
      <c r="R749" s="123"/>
      <c r="S749" s="123" t="str">
        <f ca="1">IFERROR(__xludf.DUMMYFUNCTION("""COMPUTED_VALUE"""),"Lexi Haynie")</f>
        <v>Lexi Haynie</v>
      </c>
      <c r="T749" s="123" t="str">
        <f ca="1">IFERROR(__xludf.DUMMYFUNCTION("""COMPUTED_VALUE"""),"Raphael Mesmer")</f>
        <v>Raphael Mesmer</v>
      </c>
    </row>
    <row r="750" spans="1:20" ht="13.8">
      <c r="A750" s="118" t="str">
        <f ca="1">IFERROR(__xludf.DUMMYFUNCTION("""COMPUTED_VALUE"""),"HF")</f>
        <v>HF</v>
      </c>
      <c r="B750" s="119" t="str">
        <f ca="1">IFERROR(__xludf.DUMMYFUNCTION("""COMPUTED_VALUE"""),"Max Misiaszek")</f>
        <v>Max Misiaszek</v>
      </c>
      <c r="C750" s="118">
        <f ca="1">IFERROR(__xludf.DUMMYFUNCTION("""COMPUTED_VALUE"""),10)</f>
        <v>10</v>
      </c>
      <c r="D750" s="118" t="str">
        <f ca="1">IFERROR(__xludf.DUMMYFUNCTION("""COMPUTED_VALUE"""),"B")</f>
        <v>B</v>
      </c>
      <c r="E750" s="118" t="str">
        <f ca="1">IFERROR(__xludf.DUMMYFUNCTION("""COMPUTED_VALUE"""),"F")</f>
        <v>F</v>
      </c>
      <c r="F750" s="118" t="str">
        <f ca="1">IFERROR(__xludf.DUMMYFUNCTION("""COMPUTED_VALUE"""),"J")</f>
        <v>J</v>
      </c>
      <c r="G750" s="118">
        <f ca="1">IFERROR(__xludf.DUMMYFUNCTION("""COMPUTED_VALUE"""),4)</f>
        <v>4</v>
      </c>
      <c r="H750" s="118" t="str">
        <f ca="1">IFERROR(__xludf.DUMMYFUNCTION("""COMPUTED_VALUE"""),"HF")</f>
        <v>HF</v>
      </c>
      <c r="I750" s="118">
        <f ca="1">IFERROR(__xludf.DUMMYFUNCTION("""COMPUTED_VALUE"""),5)</f>
        <v>5</v>
      </c>
      <c r="J750" s="118">
        <f ca="1">IFERROR(__xludf.DUMMYFUNCTION("""COMPUTED_VALUE"""),0)</f>
        <v>0</v>
      </c>
      <c r="K750" s="120"/>
      <c r="L750" s="121"/>
      <c r="M750" s="120"/>
      <c r="N750" s="121"/>
      <c r="O750" s="120"/>
      <c r="P750" s="122"/>
      <c r="Q750" s="123" t="str">
        <f ca="1">IFERROR(__xludf.DUMMYFUNCTION("""COMPUTED_VALUE"""),"Navya Williams")</f>
        <v>Navya Williams</v>
      </c>
      <c r="R750" s="123"/>
      <c r="S750" s="123" t="str">
        <f ca="1">IFERROR(__xludf.DUMMYFUNCTION("""COMPUTED_VALUE"""),"Lexi Smith")</f>
        <v>Lexi Smith</v>
      </c>
      <c r="T750" s="123" t="str">
        <f ca="1">IFERROR(__xludf.DUMMYFUNCTION("""COMPUTED_VALUE"""),"Ravi Martinez")</f>
        <v>Ravi Martinez</v>
      </c>
    </row>
    <row r="751" spans="1:20" ht="13.8">
      <c r="A751" s="118" t="str">
        <f ca="1">IFERROR(__xludf.DUMMYFUNCTION("""COMPUTED_VALUE"""),"HF")</f>
        <v>HF</v>
      </c>
      <c r="B751" s="119" t="str">
        <f ca="1">IFERROR(__xludf.DUMMYFUNCTION("""COMPUTED_VALUE"""),"Owen Bassett")</f>
        <v>Owen Bassett</v>
      </c>
      <c r="C751" s="118">
        <f ca="1">IFERROR(__xludf.DUMMYFUNCTION("""COMPUTED_VALUE"""),7)</f>
        <v>7</v>
      </c>
      <c r="D751" s="118" t="str">
        <f ca="1">IFERROR(__xludf.DUMMYFUNCTION("""COMPUTED_VALUE"""),"B")</f>
        <v>B</v>
      </c>
      <c r="E751" s="118" t="str">
        <f ca="1">IFERROR(__xludf.DUMMYFUNCTION("""COMPUTED_VALUE"""),"F")</f>
        <v>F</v>
      </c>
      <c r="F751" s="118" t="str">
        <f ca="1">IFERROR(__xludf.DUMMYFUNCTION("""COMPUTED_VALUE"""),"J")</f>
        <v>J</v>
      </c>
      <c r="G751" s="118">
        <f ca="1">IFERROR(__xludf.DUMMYFUNCTION("""COMPUTED_VALUE"""),4)</f>
        <v>4</v>
      </c>
      <c r="H751" s="118" t="str">
        <f ca="1">IFERROR(__xludf.DUMMYFUNCTION("""COMPUTED_VALUE"""),"HF")</f>
        <v>HF</v>
      </c>
      <c r="I751" s="118">
        <f ca="1">IFERROR(__xludf.DUMMYFUNCTION("""COMPUTED_VALUE"""),5)</f>
        <v>5</v>
      </c>
      <c r="J751" s="118">
        <f ca="1">IFERROR(__xludf.DUMMYFUNCTION("""COMPUTED_VALUE"""),3)</f>
        <v>3</v>
      </c>
      <c r="K751" s="120">
        <f ca="1">IFERROR(__xludf.DUMMYFUNCTION("""COMPUTED_VALUE"""),55.55)</f>
        <v>55.55</v>
      </c>
      <c r="L751" s="121"/>
      <c r="M751" s="120">
        <f ca="1">IFERROR(__xludf.DUMMYFUNCTION("""COMPUTED_VALUE"""),34.45)</f>
        <v>34.450000000000003</v>
      </c>
      <c r="N751" s="121"/>
      <c r="O751" s="120">
        <f ca="1">IFERROR(__xludf.DUMMYFUNCTION("""COMPUTED_VALUE"""),48.95)</f>
        <v>48.95</v>
      </c>
      <c r="P751" s="122"/>
      <c r="Q751" s="123" t="str">
        <f ca="1">IFERROR(__xludf.DUMMYFUNCTION("""COMPUTED_VALUE"""),"Nela Mullen")</f>
        <v>Nela Mullen</v>
      </c>
      <c r="R751" s="123"/>
      <c r="S751" s="123" t="str">
        <f ca="1">IFERROR(__xludf.DUMMYFUNCTION("""COMPUTED_VALUE"""),"Lia McFayden")</f>
        <v>Lia McFayden</v>
      </c>
      <c r="T751" s="123" t="str">
        <f ca="1">IFERROR(__xludf.DUMMYFUNCTION("""COMPUTED_VALUE"""),"Ray Roswell")</f>
        <v>Ray Roswell</v>
      </c>
    </row>
    <row r="752" spans="1:20" ht="13.8">
      <c r="A752" s="118" t="str">
        <f ca="1">IFERROR(__xludf.DUMMYFUNCTION("""COMPUTED_VALUE"""),"HF")</f>
        <v>HF</v>
      </c>
      <c r="B752" s="119" t="str">
        <f ca="1">IFERROR(__xludf.DUMMYFUNCTION("""COMPUTED_VALUE"""),"West Carter")</f>
        <v>West Carter</v>
      </c>
      <c r="C752" s="118">
        <f ca="1">IFERROR(__xludf.DUMMYFUNCTION("""COMPUTED_VALUE"""),10)</f>
        <v>10</v>
      </c>
      <c r="D752" s="118" t="str">
        <f ca="1">IFERROR(__xludf.DUMMYFUNCTION("""COMPUTED_VALUE"""),"B")</f>
        <v>B</v>
      </c>
      <c r="E752" s="118" t="str">
        <f ca="1">IFERROR(__xludf.DUMMYFUNCTION("""COMPUTED_VALUE"""),"F")</f>
        <v>F</v>
      </c>
      <c r="F752" s="118" t="str">
        <f ca="1">IFERROR(__xludf.DUMMYFUNCTION("""COMPUTED_VALUE"""),"J")</f>
        <v>J</v>
      </c>
      <c r="G752" s="118">
        <f ca="1">IFERROR(__xludf.DUMMYFUNCTION("""COMPUTED_VALUE"""),4)</f>
        <v>4</v>
      </c>
      <c r="H752" s="118" t="str">
        <f ca="1">IFERROR(__xludf.DUMMYFUNCTION("""COMPUTED_VALUE"""),"HF")</f>
        <v>HF</v>
      </c>
      <c r="I752" s="118">
        <f ca="1">IFERROR(__xludf.DUMMYFUNCTION("""COMPUTED_VALUE"""),5)</f>
        <v>5</v>
      </c>
      <c r="J752" s="118">
        <f ca="1">IFERROR(__xludf.DUMMYFUNCTION("""COMPUTED_VALUE"""),5)</f>
        <v>5</v>
      </c>
      <c r="K752" s="120">
        <f ca="1">IFERROR(__xludf.DUMMYFUNCTION("""COMPUTED_VALUE"""),57.7)</f>
        <v>57.7</v>
      </c>
      <c r="L752" s="121"/>
      <c r="M752" s="120">
        <f ca="1">IFERROR(__xludf.DUMMYFUNCTION("""COMPUTED_VALUE"""),39.6)</f>
        <v>39.6</v>
      </c>
      <c r="N752" s="121"/>
      <c r="O752" s="120">
        <f ca="1">IFERROR(__xludf.DUMMYFUNCTION("""COMPUTED_VALUE"""),41.3)</f>
        <v>41.3</v>
      </c>
      <c r="P752" s="122"/>
      <c r="Q752" s="123" t="str">
        <f ca="1">IFERROR(__xludf.DUMMYFUNCTION("""COMPUTED_VALUE"""),"Nelly Vainsencher")</f>
        <v>Nelly Vainsencher</v>
      </c>
      <c r="R752" s="123"/>
      <c r="S752" s="123" t="str">
        <f ca="1">IFERROR(__xludf.DUMMYFUNCTION("""COMPUTED_VALUE"""),"Liani Kopek")</f>
        <v>Liani Kopek</v>
      </c>
      <c r="T752" s="123" t="str">
        <f ca="1">IFERROR(__xludf.DUMMYFUNCTION("""COMPUTED_VALUE"""),"Reagan Diaz")</f>
        <v>Reagan Diaz</v>
      </c>
    </row>
    <row r="753" spans="1:20" ht="13.8">
      <c r="A753" s="118" t="str">
        <f ca="1">IFERROR(__xludf.DUMMYFUNCTION("""COMPUTED_VALUE"""),"HF")</f>
        <v>HF</v>
      </c>
      <c r="B753" s="119" t="str">
        <f ca="1">IFERROR(__xludf.DUMMYFUNCTION("""COMPUTED_VALUE"""),"Wyatt Neighbors")</f>
        <v>Wyatt Neighbors</v>
      </c>
      <c r="C753" s="118">
        <f ca="1">IFERROR(__xludf.DUMMYFUNCTION("""COMPUTED_VALUE"""),7)</f>
        <v>7</v>
      </c>
      <c r="D753" s="118" t="str">
        <f ca="1">IFERROR(__xludf.DUMMYFUNCTION("""COMPUTED_VALUE"""),"B")</f>
        <v>B</v>
      </c>
      <c r="E753" s="118" t="str">
        <f ca="1">IFERROR(__xludf.DUMMYFUNCTION("""COMPUTED_VALUE"""),"F")</f>
        <v>F</v>
      </c>
      <c r="F753" s="118" t="str">
        <f ca="1">IFERROR(__xludf.DUMMYFUNCTION("""COMPUTED_VALUE"""),"J")</f>
        <v>J</v>
      </c>
      <c r="G753" s="118">
        <f ca="1">IFERROR(__xludf.DUMMYFUNCTION("""COMPUTED_VALUE"""),4)</f>
        <v>4</v>
      </c>
      <c r="H753" s="118" t="str">
        <f ca="1">IFERROR(__xludf.DUMMYFUNCTION("""COMPUTED_VALUE"""),"HF")</f>
        <v>HF</v>
      </c>
      <c r="I753" s="118">
        <f ca="1">IFERROR(__xludf.DUMMYFUNCTION("""COMPUTED_VALUE"""),5)</f>
        <v>5</v>
      </c>
      <c r="J753" s="118">
        <f ca="1">IFERROR(__xludf.DUMMYFUNCTION("""COMPUTED_VALUE"""),0)</f>
        <v>0</v>
      </c>
      <c r="K753" s="120"/>
      <c r="L753" s="121"/>
      <c r="M753" s="120"/>
      <c r="N753" s="121"/>
      <c r="O753" s="120"/>
      <c r="P753" s="122"/>
      <c r="Q753" s="123" t="str">
        <f ca="1">IFERROR(__xludf.DUMMYFUNCTION("""COMPUTED_VALUE"""),"Nhi Nguyen")</f>
        <v>Nhi Nguyen</v>
      </c>
      <c r="R753" s="123"/>
      <c r="S753" s="123" t="str">
        <f ca="1">IFERROR(__xludf.DUMMYFUNCTION("""COMPUTED_VALUE"""),"Libby Collins")</f>
        <v>Libby Collins</v>
      </c>
      <c r="T753" s="123" t="str">
        <f ca="1">IFERROR(__xludf.DUMMYFUNCTION("""COMPUTED_VALUE"""),"Reed Clifton")</f>
        <v>Reed Clifton</v>
      </c>
    </row>
    <row r="754" spans="1:20" ht="13.8">
      <c r="A754" s="118" t="str">
        <f ca="1">IFERROR(__xludf.DUMMYFUNCTION("""COMPUTED_VALUE"""),"HF")</f>
        <v>HF</v>
      </c>
      <c r="B754" s="119" t="str">
        <f ca="1">IFERROR(__xludf.DUMMYFUNCTION("""COMPUTED_VALUE"""),"Allie Pearson")</f>
        <v>Allie Pearson</v>
      </c>
      <c r="C754" s="118">
        <f ca="1">IFERROR(__xludf.DUMMYFUNCTION("""COMPUTED_VALUE"""),11)</f>
        <v>11</v>
      </c>
      <c r="D754" s="118" t="str">
        <f ca="1">IFERROR(__xludf.DUMMYFUNCTION("""COMPUTED_VALUE"""),"G")</f>
        <v>G</v>
      </c>
      <c r="E754" s="118" t="str">
        <f ca="1">IFERROR(__xludf.DUMMYFUNCTION("""COMPUTED_VALUE"""),"J")</f>
        <v>J</v>
      </c>
      <c r="F754" s="118" t="str">
        <f ca="1">IFERROR(__xludf.DUMMYFUNCTION("""COMPUTED_VALUE"""),"I")</f>
        <v>I</v>
      </c>
      <c r="G754" s="118">
        <f ca="1">IFERROR(__xludf.DUMMYFUNCTION("""COMPUTED_VALUE"""),4)</f>
        <v>4</v>
      </c>
      <c r="H754" s="118" t="str">
        <f ca="1">IFERROR(__xludf.DUMMYFUNCTION("""COMPUTED_VALUE"""),"HF")</f>
        <v>HF</v>
      </c>
      <c r="I754" s="118">
        <f ca="1">IFERROR(__xludf.DUMMYFUNCTION("""COMPUTED_VALUE"""),6)</f>
        <v>6</v>
      </c>
      <c r="J754" s="118">
        <f ca="1">IFERROR(__xludf.DUMMYFUNCTION("""COMPUTED_VALUE"""),0)</f>
        <v>0</v>
      </c>
      <c r="K754" s="120"/>
      <c r="L754" s="121"/>
      <c r="M754" s="120"/>
      <c r="N754" s="121"/>
      <c r="O754" s="120"/>
      <c r="P754" s="122"/>
      <c r="Q754" s="123" t="str">
        <f ca="1">IFERROR(__xludf.DUMMYFUNCTION("""COMPUTED_VALUE"""),"Nico Rios")</f>
        <v>Nico Rios</v>
      </c>
      <c r="R754" s="123"/>
      <c r="S754" s="123" t="str">
        <f ca="1">IFERROR(__xludf.DUMMYFUNCTION("""COMPUTED_VALUE"""),"Libby Gulotta")</f>
        <v>Libby Gulotta</v>
      </c>
      <c r="T754" s="123" t="str">
        <f ca="1">IFERROR(__xludf.DUMMYFUNCTION("""COMPUTED_VALUE"""),"Reed Conques")</f>
        <v>Reed Conques</v>
      </c>
    </row>
    <row r="755" spans="1:20" ht="13.8">
      <c r="A755" s="118" t="str">
        <f ca="1">IFERROR(__xludf.DUMMYFUNCTION("""COMPUTED_VALUE"""),"HF")</f>
        <v>HF</v>
      </c>
      <c r="B755" s="119" t="str">
        <f ca="1">IFERROR(__xludf.DUMMYFUNCTION("""COMPUTED_VALUE"""),"Harper Wilder")</f>
        <v>Harper Wilder</v>
      </c>
      <c r="C755" s="118">
        <f ca="1">IFERROR(__xludf.DUMMYFUNCTION("""COMPUTED_VALUE"""),11)</f>
        <v>11</v>
      </c>
      <c r="D755" s="118" t="str">
        <f ca="1">IFERROR(__xludf.DUMMYFUNCTION("""COMPUTED_VALUE"""),"G")</f>
        <v>G</v>
      </c>
      <c r="E755" s="118" t="str">
        <f ca="1">IFERROR(__xludf.DUMMYFUNCTION("""COMPUTED_VALUE"""),"J")</f>
        <v>J</v>
      </c>
      <c r="F755" s="118" t="str">
        <f ca="1">IFERROR(__xludf.DUMMYFUNCTION("""COMPUTED_VALUE"""),"I")</f>
        <v>I</v>
      </c>
      <c r="G755" s="118">
        <f ca="1">IFERROR(__xludf.DUMMYFUNCTION("""COMPUTED_VALUE"""),4)</f>
        <v>4</v>
      </c>
      <c r="H755" s="118" t="str">
        <f ca="1">IFERROR(__xludf.DUMMYFUNCTION("""COMPUTED_VALUE"""),"HF")</f>
        <v>HF</v>
      </c>
      <c r="I755" s="118">
        <f ca="1">IFERROR(__xludf.DUMMYFUNCTION("""COMPUTED_VALUE"""),6)</f>
        <v>6</v>
      </c>
      <c r="J755" s="118">
        <f ca="1">IFERROR(__xludf.DUMMYFUNCTION("""COMPUTED_VALUE"""),3)</f>
        <v>3</v>
      </c>
      <c r="K755" s="120">
        <f ca="1">IFERROR(__xludf.DUMMYFUNCTION("""COMPUTED_VALUE"""),63.9)</f>
        <v>63.9</v>
      </c>
      <c r="L755" s="121"/>
      <c r="M755" s="120"/>
      <c r="N755" s="121"/>
      <c r="O755" s="120">
        <f ca="1">IFERROR(__xludf.DUMMYFUNCTION("""COMPUTED_VALUE"""),54.8)</f>
        <v>54.8</v>
      </c>
      <c r="P755" s="122"/>
      <c r="Q755" s="123" t="str">
        <f ca="1">IFERROR(__xludf.DUMMYFUNCTION("""COMPUTED_VALUE"""),"Nilah Rotteveel")</f>
        <v>Nilah Rotteveel</v>
      </c>
      <c r="R755" s="123"/>
      <c r="S755" s="123" t="str">
        <f ca="1">IFERROR(__xludf.DUMMYFUNCTION("""COMPUTED_VALUE"""),"Libby Hall")</f>
        <v>Libby Hall</v>
      </c>
      <c r="T755" s="123" t="str">
        <f ca="1">IFERROR(__xludf.DUMMYFUNCTION("""COMPUTED_VALUE"""),"Reed Schymanski")</f>
        <v>Reed Schymanski</v>
      </c>
    </row>
    <row r="756" spans="1:20" ht="13.8">
      <c r="A756" s="118" t="str">
        <f ca="1">IFERROR(__xludf.DUMMYFUNCTION("""COMPUTED_VALUE"""),"HF")</f>
        <v>HF</v>
      </c>
      <c r="B756" s="119" t="str">
        <f ca="1">IFERROR(__xludf.DUMMYFUNCTION("""COMPUTED_VALUE"""),"Julianna Butler")</f>
        <v>Julianna Butler</v>
      </c>
      <c r="C756" s="118">
        <f ca="1">IFERROR(__xludf.DUMMYFUNCTION("""COMPUTED_VALUE"""),12)</f>
        <v>12</v>
      </c>
      <c r="D756" s="118" t="str">
        <f ca="1">IFERROR(__xludf.DUMMYFUNCTION("""COMPUTED_VALUE"""),"G")</f>
        <v>G</v>
      </c>
      <c r="E756" s="118" t="str">
        <f ca="1">IFERROR(__xludf.DUMMYFUNCTION("""COMPUTED_VALUE"""),"J")</f>
        <v>J</v>
      </c>
      <c r="F756" s="118" t="str">
        <f ca="1">IFERROR(__xludf.DUMMYFUNCTION("""COMPUTED_VALUE"""),"I")</f>
        <v>I</v>
      </c>
      <c r="G756" s="118">
        <f ca="1">IFERROR(__xludf.DUMMYFUNCTION("""COMPUTED_VALUE"""),4)</f>
        <v>4</v>
      </c>
      <c r="H756" s="118" t="str">
        <f ca="1">IFERROR(__xludf.DUMMYFUNCTION("""COMPUTED_VALUE"""),"HF")</f>
        <v>HF</v>
      </c>
      <c r="I756" s="118">
        <f ca="1">IFERROR(__xludf.DUMMYFUNCTION("""COMPUTED_VALUE"""),6)</f>
        <v>6</v>
      </c>
      <c r="J756" s="118">
        <f ca="1">IFERROR(__xludf.DUMMYFUNCTION("""COMPUTED_VALUE"""),5)</f>
        <v>5</v>
      </c>
      <c r="K756" s="120">
        <f ca="1">IFERROR(__xludf.DUMMYFUNCTION("""COMPUTED_VALUE"""),98.2)</f>
        <v>98.2</v>
      </c>
      <c r="L756" s="121"/>
      <c r="M756" s="120">
        <f ca="1">IFERROR(__xludf.DUMMYFUNCTION("""COMPUTED_VALUE"""),96.5)</f>
        <v>96.5</v>
      </c>
      <c r="N756" s="121"/>
      <c r="O756" s="120">
        <f ca="1">IFERROR(__xludf.DUMMYFUNCTION("""COMPUTED_VALUE"""),98.2)</f>
        <v>98.2</v>
      </c>
      <c r="P756" s="122"/>
      <c r="Q756" s="123" t="str">
        <f ca="1">IFERROR(__xludf.DUMMYFUNCTION("""COMPUTED_VALUE"""),"Noelle Telleen")</f>
        <v>Noelle Telleen</v>
      </c>
      <c r="R756" s="123"/>
      <c r="S756" s="123" t="str">
        <f ca="1">IFERROR(__xludf.DUMMYFUNCTION("""COMPUTED_VALUE"""),"Libby Snow")</f>
        <v>Libby Snow</v>
      </c>
      <c r="T756" s="123" t="str">
        <f ca="1">IFERROR(__xludf.DUMMYFUNCTION("""COMPUTED_VALUE"""),"Reese Duke")</f>
        <v>Reese Duke</v>
      </c>
    </row>
    <row r="757" spans="1:20" ht="13.8">
      <c r="A757" s="118" t="str">
        <f ca="1">IFERROR(__xludf.DUMMYFUNCTION("""COMPUTED_VALUE"""),"HF")</f>
        <v>HF</v>
      </c>
      <c r="B757" s="119" t="str">
        <f ca="1">IFERROR(__xludf.DUMMYFUNCTION("""COMPUTED_VALUE"""),"Jack O'Donnell")</f>
        <v>Jack O'Donnell</v>
      </c>
      <c r="C757" s="118">
        <f ca="1">IFERROR(__xludf.DUMMYFUNCTION("""COMPUTED_VALUE"""),11)</f>
        <v>11</v>
      </c>
      <c r="D757" s="118" t="str">
        <f ca="1">IFERROR(__xludf.DUMMYFUNCTION("""COMPUTED_VALUE"""),"B")</f>
        <v>B</v>
      </c>
      <c r="E757" s="118" t="str">
        <f ca="1">IFERROR(__xludf.DUMMYFUNCTION("""COMPUTED_VALUE"""),"J")</f>
        <v>J</v>
      </c>
      <c r="F757" s="118" t="str">
        <f ca="1">IFERROR(__xludf.DUMMYFUNCTION("""COMPUTED_VALUE"""),"I")</f>
        <v>I</v>
      </c>
      <c r="G757" s="118">
        <f ca="1">IFERROR(__xludf.DUMMYFUNCTION("""COMPUTED_VALUE"""),4)</f>
        <v>4</v>
      </c>
      <c r="H757" s="118" t="str">
        <f ca="1">IFERROR(__xludf.DUMMYFUNCTION("""COMPUTED_VALUE"""),"HF")</f>
        <v>HF</v>
      </c>
      <c r="I757" s="118">
        <f ca="1">IFERROR(__xludf.DUMMYFUNCTION("""COMPUTED_VALUE"""),7)</f>
        <v>7</v>
      </c>
      <c r="J757" s="118">
        <f ca="1">IFERROR(__xludf.DUMMYFUNCTION("""COMPUTED_VALUE"""),0)</f>
        <v>0</v>
      </c>
      <c r="K757" s="120"/>
      <c r="L757" s="121"/>
      <c r="M757" s="120"/>
      <c r="N757" s="121"/>
      <c r="O757" s="120"/>
      <c r="P757" s="122"/>
      <c r="Q757" s="123" t="str">
        <f ca="1">IFERROR(__xludf.DUMMYFUNCTION("""COMPUTED_VALUE"""),"Nola Mammo")</f>
        <v>Nola Mammo</v>
      </c>
      <c r="R757" s="123"/>
      <c r="S757" s="123" t="str">
        <f ca="1">IFERROR(__xludf.DUMMYFUNCTION("""COMPUTED_VALUE"""),"Liesl Birkelbach")</f>
        <v>Liesl Birkelbach</v>
      </c>
      <c r="T757" s="123" t="str">
        <f ca="1">IFERROR(__xludf.DUMMYFUNCTION("""COMPUTED_VALUE"""),"Reid Bittenbender")</f>
        <v>Reid Bittenbender</v>
      </c>
    </row>
    <row r="758" spans="1:20" ht="13.8">
      <c r="A758" s="118" t="str">
        <f ca="1">IFERROR(__xludf.DUMMYFUNCTION("""COMPUTED_VALUE"""),"HF")</f>
        <v>HF</v>
      </c>
      <c r="B758" s="119" t="str">
        <f ca="1">IFERROR(__xludf.DUMMYFUNCTION("""COMPUTED_VALUE"""),"Luke Peters")</f>
        <v>Luke Peters</v>
      </c>
      <c r="C758" s="118">
        <f ca="1">IFERROR(__xludf.DUMMYFUNCTION("""COMPUTED_VALUE"""),12)</f>
        <v>12</v>
      </c>
      <c r="D758" s="118" t="str">
        <f ca="1">IFERROR(__xludf.DUMMYFUNCTION("""COMPUTED_VALUE"""),"B")</f>
        <v>B</v>
      </c>
      <c r="E758" s="118" t="str">
        <f ca="1">IFERROR(__xludf.DUMMYFUNCTION("""COMPUTED_VALUE"""),"J")</f>
        <v>J</v>
      </c>
      <c r="F758" s="118" t="str">
        <f ca="1">IFERROR(__xludf.DUMMYFUNCTION("""COMPUTED_VALUE"""),"I")</f>
        <v>I</v>
      </c>
      <c r="G758" s="118">
        <f ca="1">IFERROR(__xludf.DUMMYFUNCTION("""COMPUTED_VALUE"""),4)</f>
        <v>4</v>
      </c>
      <c r="H758" s="118" t="str">
        <f ca="1">IFERROR(__xludf.DUMMYFUNCTION("""COMPUTED_VALUE"""),"HF")</f>
        <v>HF</v>
      </c>
      <c r="I758" s="118">
        <f ca="1">IFERROR(__xludf.DUMMYFUNCTION("""COMPUTED_VALUE"""),7)</f>
        <v>7</v>
      </c>
      <c r="J758" s="118">
        <f ca="1">IFERROR(__xludf.DUMMYFUNCTION("""COMPUTED_VALUE"""),5)</f>
        <v>5</v>
      </c>
      <c r="K758" s="120">
        <f ca="1">IFERROR(__xludf.DUMMYFUNCTION("""COMPUTED_VALUE"""),82.85)</f>
        <v>82.85</v>
      </c>
      <c r="L758" s="121"/>
      <c r="M758" s="120">
        <f ca="1">IFERROR(__xludf.DUMMYFUNCTION("""COMPUTED_VALUE"""),82.85)</f>
        <v>82.85</v>
      </c>
      <c r="N758" s="121"/>
      <c r="O758" s="120">
        <f ca="1">IFERROR(__xludf.DUMMYFUNCTION("""COMPUTED_VALUE"""),70.05)</f>
        <v>70.05</v>
      </c>
      <c r="P758" s="122"/>
      <c r="Q758" s="123" t="str">
        <f ca="1">IFERROR(__xludf.DUMMYFUNCTION("""COMPUTED_VALUE"""),"Nora Hall")</f>
        <v>Nora Hall</v>
      </c>
      <c r="R758" s="123"/>
      <c r="S758" s="123" t="str">
        <f ca="1">IFERROR(__xludf.DUMMYFUNCTION("""COMPUTED_VALUE"""),"Lilah Gallagher")</f>
        <v>Lilah Gallagher</v>
      </c>
      <c r="T758" s="123" t="str">
        <f ca="1">IFERROR(__xludf.DUMMYFUNCTION("""COMPUTED_VALUE"""),"Reid Heller")</f>
        <v>Reid Heller</v>
      </c>
    </row>
    <row r="759" spans="1:20" ht="13.8">
      <c r="A759" s="118" t="str">
        <f ca="1">IFERROR(__xludf.DUMMYFUNCTION("""COMPUTED_VALUE"""),"HF")</f>
        <v>HF</v>
      </c>
      <c r="B759" s="119" t="str">
        <f ca="1">IFERROR(__xludf.DUMMYFUNCTION("""COMPUTED_VALUE"""),"Will Copes")</f>
        <v>Will Copes</v>
      </c>
      <c r="C759" s="118">
        <f ca="1">IFERROR(__xludf.DUMMYFUNCTION("""COMPUTED_VALUE"""),12)</f>
        <v>12</v>
      </c>
      <c r="D759" s="118" t="str">
        <f ca="1">IFERROR(__xludf.DUMMYFUNCTION("""COMPUTED_VALUE"""),"B")</f>
        <v>B</v>
      </c>
      <c r="E759" s="118" t="str">
        <f ca="1">IFERROR(__xludf.DUMMYFUNCTION("""COMPUTED_VALUE"""),"J")</f>
        <v>J</v>
      </c>
      <c r="F759" s="118" t="str">
        <f ca="1">IFERROR(__xludf.DUMMYFUNCTION("""COMPUTED_VALUE"""),"I")</f>
        <v>I</v>
      </c>
      <c r="G759" s="118">
        <f ca="1">IFERROR(__xludf.DUMMYFUNCTION("""COMPUTED_VALUE"""),4)</f>
        <v>4</v>
      </c>
      <c r="H759" s="118" t="str">
        <f ca="1">IFERROR(__xludf.DUMMYFUNCTION("""COMPUTED_VALUE"""),"HF")</f>
        <v>HF</v>
      </c>
      <c r="I759" s="118">
        <f ca="1">IFERROR(__xludf.DUMMYFUNCTION("""COMPUTED_VALUE"""),7)</f>
        <v>7</v>
      </c>
      <c r="J759" s="118">
        <f ca="1">IFERROR(__xludf.DUMMYFUNCTION("""COMPUTED_VALUE"""),4)</f>
        <v>4</v>
      </c>
      <c r="K759" s="120">
        <f ca="1">IFERROR(__xludf.DUMMYFUNCTION("""COMPUTED_VALUE"""),112.85)</f>
        <v>112.85</v>
      </c>
      <c r="L759" s="121"/>
      <c r="M759" s="120">
        <f ca="1">IFERROR(__xludf.DUMMYFUNCTION("""COMPUTED_VALUE"""),112.85)</f>
        <v>112.85</v>
      </c>
      <c r="N759" s="121"/>
      <c r="O759" s="120">
        <f ca="1">IFERROR(__xludf.DUMMYFUNCTION("""COMPUTED_VALUE"""),104.1)</f>
        <v>104.1</v>
      </c>
      <c r="P759" s="122"/>
      <c r="Q759" s="123" t="str">
        <f ca="1">IFERROR(__xludf.DUMMYFUNCTION("""COMPUTED_VALUE"""),"Nora Hopkins")</f>
        <v>Nora Hopkins</v>
      </c>
      <c r="R759" s="123"/>
      <c r="S759" s="123" t="str">
        <f ca="1">IFERROR(__xludf.DUMMYFUNCTION("""COMPUTED_VALUE"""),"Lili Lepore")</f>
        <v>Lili Lepore</v>
      </c>
      <c r="T759" s="123" t="str">
        <f ca="1">IFERROR(__xludf.DUMMYFUNCTION("""COMPUTED_VALUE"""),"Reid Yeh")</f>
        <v>Reid Yeh</v>
      </c>
    </row>
    <row r="760" spans="1:20" ht="13.8">
      <c r="A760" s="118" t="str">
        <f ca="1">IFERROR(__xludf.DUMMYFUNCTION("""COMPUTED_VALUE"""),"HF")</f>
        <v>HF</v>
      </c>
      <c r="B760" s="119" t="str">
        <f ca="1">IFERROR(__xludf.DUMMYFUNCTION("""COMPUTED_VALUE"""),"Emma Kowalchick")</f>
        <v>Emma Kowalchick</v>
      </c>
      <c r="C760" s="118">
        <f ca="1">IFERROR(__xludf.DUMMYFUNCTION("""COMPUTED_VALUE"""),14)</f>
        <v>14</v>
      </c>
      <c r="D760" s="118" t="str">
        <f ca="1">IFERROR(__xludf.DUMMYFUNCTION("""COMPUTED_VALUE"""),"G")</f>
        <v>G</v>
      </c>
      <c r="E760" s="118" t="str">
        <f ca="1">IFERROR(__xludf.DUMMYFUNCTION("""COMPUTED_VALUE"""),"I")</f>
        <v>I</v>
      </c>
      <c r="F760" s="118" t="str">
        <f ca="1">IFERROR(__xludf.DUMMYFUNCTION("""COMPUTED_VALUE"""),"S")</f>
        <v>S</v>
      </c>
      <c r="G760" s="118">
        <f ca="1">IFERROR(__xludf.DUMMYFUNCTION("""COMPUTED_VALUE"""),4)</f>
        <v>4</v>
      </c>
      <c r="H760" s="118" t="str">
        <f ca="1">IFERROR(__xludf.DUMMYFUNCTION("""COMPUTED_VALUE"""),"HF")</f>
        <v>HF</v>
      </c>
      <c r="I760" s="118">
        <f ca="1">IFERROR(__xludf.DUMMYFUNCTION("""COMPUTED_VALUE"""),8)</f>
        <v>8</v>
      </c>
      <c r="J760" s="118">
        <f ca="1">IFERROR(__xludf.DUMMYFUNCTION("""COMPUTED_VALUE"""),4)</f>
        <v>4</v>
      </c>
      <c r="K760" s="120">
        <f ca="1">IFERROR(__xludf.DUMMYFUNCTION("""COMPUTED_VALUE"""),127)</f>
        <v>127</v>
      </c>
      <c r="L760" s="121"/>
      <c r="M760" s="120">
        <f ca="1">IFERROR(__xludf.DUMMYFUNCTION("""COMPUTED_VALUE"""),127)</f>
        <v>127</v>
      </c>
      <c r="N760" s="121"/>
      <c r="O760" s="120">
        <f ca="1">IFERROR(__xludf.DUMMYFUNCTION("""COMPUTED_VALUE"""),121.95)</f>
        <v>121.95</v>
      </c>
      <c r="P760" s="122"/>
      <c r="Q760" s="123" t="str">
        <f ca="1">IFERROR(__xludf.DUMMYFUNCTION("""COMPUTED_VALUE"""),"Nora Ismailova")</f>
        <v>Nora Ismailova</v>
      </c>
      <c r="R760" s="123"/>
      <c r="S760" s="123" t="str">
        <f ca="1">IFERROR(__xludf.DUMMYFUNCTION("""COMPUTED_VALUE"""),"Lilia Buonforte")</f>
        <v>Lilia Buonforte</v>
      </c>
      <c r="T760" s="123" t="str">
        <f ca="1">IFERROR(__xludf.DUMMYFUNCTION("""COMPUTED_VALUE"""),"Remy Cao")</f>
        <v>Remy Cao</v>
      </c>
    </row>
    <row r="761" spans="1:20" ht="13.8">
      <c r="A761" s="118" t="str">
        <f ca="1">IFERROR(__xludf.DUMMYFUNCTION("""COMPUTED_VALUE"""),"HF")</f>
        <v>HF</v>
      </c>
      <c r="B761" s="119" t="str">
        <f ca="1">IFERROR(__xludf.DUMMYFUNCTION("""COMPUTED_VALUE"""),"Sydney Stewart")</f>
        <v>Sydney Stewart</v>
      </c>
      <c r="C761" s="118">
        <f ca="1">IFERROR(__xludf.DUMMYFUNCTION("""COMPUTED_VALUE"""),13)</f>
        <v>13</v>
      </c>
      <c r="D761" s="118" t="str">
        <f ca="1">IFERROR(__xludf.DUMMYFUNCTION("""COMPUTED_VALUE"""),"G")</f>
        <v>G</v>
      </c>
      <c r="E761" s="118" t="str">
        <f ca="1">IFERROR(__xludf.DUMMYFUNCTION("""COMPUTED_VALUE"""),"I")</f>
        <v>I</v>
      </c>
      <c r="F761" s="118" t="str">
        <f ca="1">IFERROR(__xludf.DUMMYFUNCTION("""COMPUTED_VALUE"""),"S")</f>
        <v>S</v>
      </c>
      <c r="G761" s="118">
        <f ca="1">IFERROR(__xludf.DUMMYFUNCTION("""COMPUTED_VALUE"""),4)</f>
        <v>4</v>
      </c>
      <c r="H761" s="118" t="str">
        <f ca="1">IFERROR(__xludf.DUMMYFUNCTION("""COMPUTED_VALUE"""),"HF")</f>
        <v>HF</v>
      </c>
      <c r="I761" s="118">
        <f ca="1">IFERROR(__xludf.DUMMYFUNCTION("""COMPUTED_VALUE"""),8)</f>
        <v>8</v>
      </c>
      <c r="J761" s="118">
        <f ca="1">IFERROR(__xludf.DUMMYFUNCTION("""COMPUTED_VALUE"""),3)</f>
        <v>3</v>
      </c>
      <c r="K761" s="120">
        <f ca="1">IFERROR(__xludf.DUMMYFUNCTION("""COMPUTED_VALUE"""),102.15)</f>
        <v>102.15</v>
      </c>
      <c r="L761" s="121"/>
      <c r="M761" s="120"/>
      <c r="N761" s="121"/>
      <c r="O761" s="120">
        <f ca="1">IFERROR(__xludf.DUMMYFUNCTION("""COMPUTED_VALUE"""),98.3)</f>
        <v>98.3</v>
      </c>
      <c r="P761" s="122"/>
      <c r="Q761" s="123" t="str">
        <f ca="1">IFERROR(__xludf.DUMMYFUNCTION("""COMPUTED_VALUE"""),"Nora Jandrain")</f>
        <v>Nora Jandrain</v>
      </c>
      <c r="R761" s="123"/>
      <c r="S761" s="123" t="str">
        <f ca="1">IFERROR(__xludf.DUMMYFUNCTION("""COMPUTED_VALUE"""),"Lilian Raymond")</f>
        <v>Lilian Raymond</v>
      </c>
      <c r="T761" s="123" t="str">
        <f ca="1">IFERROR(__xludf.DUMMYFUNCTION("""COMPUTED_VALUE"""),"Remy Nicholson")</f>
        <v>Remy Nicholson</v>
      </c>
    </row>
    <row r="762" spans="1:20" ht="13.8">
      <c r="A762" s="118" t="str">
        <f ca="1">IFERROR(__xludf.DUMMYFUNCTION("""COMPUTED_VALUE"""),"HF")</f>
        <v>HF</v>
      </c>
      <c r="B762" s="119" t="str">
        <f ca="1">IFERROR(__xludf.DUMMYFUNCTION("""COMPUTED_VALUE"""),"Michael Davis")</f>
        <v>Michael Davis</v>
      </c>
      <c r="C762" s="118">
        <f ca="1">IFERROR(__xludf.DUMMYFUNCTION("""COMPUTED_VALUE"""),13)</f>
        <v>13</v>
      </c>
      <c r="D762" s="118" t="str">
        <f ca="1">IFERROR(__xludf.DUMMYFUNCTION("""COMPUTED_VALUE"""),"B")</f>
        <v>B</v>
      </c>
      <c r="E762" s="118" t="str">
        <f ca="1">IFERROR(__xludf.DUMMYFUNCTION("""COMPUTED_VALUE"""),"I")</f>
        <v>I</v>
      </c>
      <c r="F762" s="118" t="str">
        <f ca="1">IFERROR(__xludf.DUMMYFUNCTION("""COMPUTED_VALUE"""),"S")</f>
        <v>S</v>
      </c>
      <c r="G762" s="118">
        <f ca="1">IFERROR(__xludf.DUMMYFUNCTION("""COMPUTED_VALUE"""),4)</f>
        <v>4</v>
      </c>
      <c r="H762" s="118" t="str">
        <f ca="1">IFERROR(__xludf.DUMMYFUNCTION("""COMPUTED_VALUE"""),"HF")</f>
        <v>HF</v>
      </c>
      <c r="I762" s="118">
        <f ca="1">IFERROR(__xludf.DUMMYFUNCTION("""COMPUTED_VALUE"""),9)</f>
        <v>9</v>
      </c>
      <c r="J762" s="118">
        <f ca="1">IFERROR(__xludf.DUMMYFUNCTION("""COMPUTED_VALUE"""),4)</f>
        <v>4</v>
      </c>
      <c r="K762" s="120">
        <f ca="1">IFERROR(__xludf.DUMMYFUNCTION("""COMPUTED_VALUE"""),100.05)</f>
        <v>100.05</v>
      </c>
      <c r="L762" s="121"/>
      <c r="M762" s="120">
        <f ca="1">IFERROR(__xludf.DUMMYFUNCTION("""COMPUTED_VALUE"""),100.05)</f>
        <v>100.05</v>
      </c>
      <c r="N762" s="121"/>
      <c r="O762" s="120">
        <f ca="1">IFERROR(__xludf.DUMMYFUNCTION("""COMPUTED_VALUE"""),78.5)</f>
        <v>78.5</v>
      </c>
      <c r="P762" s="122"/>
      <c r="Q762" s="123" t="str">
        <f ca="1">IFERROR(__xludf.DUMMYFUNCTION("""COMPUTED_VALUE"""),"Nora Kalfus")</f>
        <v>Nora Kalfus</v>
      </c>
      <c r="R762" s="123"/>
      <c r="S762" s="123" t="str">
        <f ca="1">IFERROR(__xludf.DUMMYFUNCTION("""COMPUTED_VALUE"""),"Liliana Cappoli")</f>
        <v>Liliana Cappoli</v>
      </c>
      <c r="T762" s="123" t="str">
        <f ca="1">IFERROR(__xludf.DUMMYFUNCTION("""COMPUTED_VALUE"""),"Ren Newton")</f>
        <v>Ren Newton</v>
      </c>
    </row>
    <row r="763" spans="1:20" ht="13.8">
      <c r="A763" s="118" t="str">
        <f ca="1">IFERROR(__xludf.DUMMYFUNCTION("""COMPUTED_VALUE"""),"HF")</f>
        <v>HF</v>
      </c>
      <c r="B763" s="119" t="str">
        <f ca="1">IFERROR(__xludf.DUMMYFUNCTION("""COMPUTED_VALUE"""),"Nate Johnson")</f>
        <v>Nate Johnson</v>
      </c>
      <c r="C763" s="118">
        <f ca="1">IFERROR(__xludf.DUMMYFUNCTION("""COMPUTED_VALUE"""),13)</f>
        <v>13</v>
      </c>
      <c r="D763" s="118" t="str">
        <f ca="1">IFERROR(__xludf.DUMMYFUNCTION("""COMPUTED_VALUE"""),"B")</f>
        <v>B</v>
      </c>
      <c r="E763" s="118" t="str">
        <f ca="1">IFERROR(__xludf.DUMMYFUNCTION("""COMPUTED_VALUE"""),"I")</f>
        <v>I</v>
      </c>
      <c r="F763" s="118" t="str">
        <f ca="1">IFERROR(__xludf.DUMMYFUNCTION("""COMPUTED_VALUE"""),"S")</f>
        <v>S</v>
      </c>
      <c r="G763" s="118">
        <f ca="1">IFERROR(__xludf.DUMMYFUNCTION("""COMPUTED_VALUE"""),4)</f>
        <v>4</v>
      </c>
      <c r="H763" s="118" t="str">
        <f ca="1">IFERROR(__xludf.DUMMYFUNCTION("""COMPUTED_VALUE"""),"HF")</f>
        <v>HF</v>
      </c>
      <c r="I763" s="118">
        <f ca="1">IFERROR(__xludf.DUMMYFUNCTION("""COMPUTED_VALUE"""),9)</f>
        <v>9</v>
      </c>
      <c r="J763" s="118">
        <f ca="1">IFERROR(__xludf.DUMMYFUNCTION("""COMPUTED_VALUE"""),5)</f>
        <v>5</v>
      </c>
      <c r="K763" s="120">
        <f ca="1">IFERROR(__xludf.DUMMYFUNCTION("""COMPUTED_VALUE"""),113.65)</f>
        <v>113.65</v>
      </c>
      <c r="L763" s="121"/>
      <c r="M763" s="120">
        <f ca="1">IFERROR(__xludf.DUMMYFUNCTION("""COMPUTED_VALUE"""),113.65)</f>
        <v>113.65</v>
      </c>
      <c r="N763" s="121"/>
      <c r="O763" s="120">
        <f ca="1">IFERROR(__xludf.DUMMYFUNCTION("""COMPUTED_VALUE"""),105.8)</f>
        <v>105.8</v>
      </c>
      <c r="P763" s="122"/>
      <c r="Q763" s="123" t="str">
        <f ca="1">IFERROR(__xludf.DUMMYFUNCTION("""COMPUTED_VALUE"""),"Nora Maxey")</f>
        <v>Nora Maxey</v>
      </c>
      <c r="R763" s="123"/>
      <c r="S763" s="123" t="str">
        <f ca="1">IFERROR(__xludf.DUMMYFUNCTION("""COMPUTED_VALUE"""),"Lillian Engle")</f>
        <v>Lillian Engle</v>
      </c>
      <c r="T763" s="123" t="str">
        <f ca="1">IFERROR(__xludf.DUMMYFUNCTION("""COMPUTED_VALUE"""),"Renner Davis")</f>
        <v>Renner Davis</v>
      </c>
    </row>
    <row r="764" spans="1:20" ht="13.8">
      <c r="A764" s="118" t="str">
        <f ca="1">IFERROR(__xludf.DUMMYFUNCTION("""COMPUTED_VALUE"""),"HF")</f>
        <v>HF</v>
      </c>
      <c r="B764" s="119" t="str">
        <f ca="1">IFERROR(__xludf.DUMMYFUNCTION("""COMPUTED_VALUE"""),"Clayre Payne")</f>
        <v>Clayre Payne</v>
      </c>
      <c r="C764" s="118">
        <f ca="1">IFERROR(__xludf.DUMMYFUNCTION("""COMPUTED_VALUE"""),15)</f>
        <v>15</v>
      </c>
      <c r="D764" s="118" t="str">
        <f ca="1">IFERROR(__xludf.DUMMYFUNCTION("""COMPUTED_VALUE"""),"G")</f>
        <v>G</v>
      </c>
      <c r="E764" s="118" t="str">
        <f ca="1">IFERROR(__xludf.DUMMYFUNCTION("""COMPUTED_VALUE"""),"S")</f>
        <v>S</v>
      </c>
      <c r="F764" s="118" t="str">
        <f ca="1">IFERROR(__xludf.DUMMYFUNCTION("""COMPUTED_VALUE"""),"S")</f>
        <v>S</v>
      </c>
      <c r="G764" s="118">
        <f ca="1">IFERROR(__xludf.DUMMYFUNCTION("""COMPUTED_VALUE"""),4)</f>
        <v>4</v>
      </c>
      <c r="H764" s="118" t="str">
        <f ca="1">IFERROR(__xludf.DUMMYFUNCTION("""COMPUTED_VALUE"""),"HF")</f>
        <v>HF</v>
      </c>
      <c r="I764" s="118">
        <f ca="1">IFERROR(__xludf.DUMMYFUNCTION("""COMPUTED_VALUE"""),10)</f>
        <v>10</v>
      </c>
      <c r="J764" s="118">
        <f ca="1">IFERROR(__xludf.DUMMYFUNCTION("""COMPUTED_VALUE"""),3)</f>
        <v>3</v>
      </c>
      <c r="K764" s="120">
        <f ca="1">IFERROR(__xludf.DUMMYFUNCTION("""COMPUTED_VALUE"""),151.45)</f>
        <v>151.44999999999999</v>
      </c>
      <c r="L764" s="121"/>
      <c r="M764" s="120">
        <f ca="1">IFERROR(__xludf.DUMMYFUNCTION("""COMPUTED_VALUE"""),151.45)</f>
        <v>151.44999999999999</v>
      </c>
      <c r="N764" s="121"/>
      <c r="O764" s="120">
        <f ca="1">IFERROR(__xludf.DUMMYFUNCTION("""COMPUTED_VALUE"""),128.9)</f>
        <v>128.9</v>
      </c>
      <c r="P764" s="122"/>
      <c r="Q764" s="123" t="str">
        <f ca="1">IFERROR(__xludf.DUMMYFUNCTION("""COMPUTED_VALUE"""),"Nora Morgan")</f>
        <v>Nora Morgan</v>
      </c>
      <c r="R764" s="123"/>
      <c r="S764" s="123" t="str">
        <f ca="1">IFERROR(__xludf.DUMMYFUNCTION("""COMPUTED_VALUE"""),"Lillian Ferguson")</f>
        <v>Lillian Ferguson</v>
      </c>
      <c r="T764" s="123" t="str">
        <f ca="1">IFERROR(__xludf.DUMMYFUNCTION("""COMPUTED_VALUE"""),"Rhys Willet")</f>
        <v>Rhys Willet</v>
      </c>
    </row>
    <row r="765" spans="1:20" ht="13.8">
      <c r="A765" s="118" t="str">
        <f ca="1">IFERROR(__xludf.DUMMYFUNCTION("""COMPUTED_VALUE"""),"HF")</f>
        <v>HF</v>
      </c>
      <c r="B765" s="119" t="str">
        <f ca="1">IFERROR(__xludf.DUMMYFUNCTION("""COMPUTED_VALUE"""),"Clover Kennelly")</f>
        <v>Clover Kennelly</v>
      </c>
      <c r="C765" s="118">
        <f ca="1">IFERROR(__xludf.DUMMYFUNCTION("""COMPUTED_VALUE"""),15)</f>
        <v>15</v>
      </c>
      <c r="D765" s="118" t="str">
        <f ca="1">IFERROR(__xludf.DUMMYFUNCTION("""COMPUTED_VALUE"""),"G")</f>
        <v>G</v>
      </c>
      <c r="E765" s="118" t="str">
        <f ca="1">IFERROR(__xludf.DUMMYFUNCTION("""COMPUTED_VALUE"""),"S")</f>
        <v>S</v>
      </c>
      <c r="F765" s="118" t="str">
        <f ca="1">IFERROR(__xludf.DUMMYFUNCTION("""COMPUTED_VALUE"""),"S")</f>
        <v>S</v>
      </c>
      <c r="G765" s="118">
        <f ca="1">IFERROR(__xludf.DUMMYFUNCTION("""COMPUTED_VALUE"""),4)</f>
        <v>4</v>
      </c>
      <c r="H765" s="118" t="str">
        <f ca="1">IFERROR(__xludf.DUMMYFUNCTION("""COMPUTED_VALUE"""),"HF")</f>
        <v>HF</v>
      </c>
      <c r="I765" s="118">
        <f ca="1">IFERROR(__xludf.DUMMYFUNCTION("""COMPUTED_VALUE"""),10)</f>
        <v>10</v>
      </c>
      <c r="J765" s="118">
        <f ca="1">IFERROR(__xludf.DUMMYFUNCTION("""COMPUTED_VALUE"""),4)</f>
        <v>4</v>
      </c>
      <c r="K765" s="120">
        <f ca="1">IFERROR(__xludf.DUMMYFUNCTION("""COMPUTED_VALUE"""),133.65)</f>
        <v>133.65</v>
      </c>
      <c r="L765" s="121"/>
      <c r="M765" s="120">
        <f ca="1">IFERROR(__xludf.DUMMYFUNCTION("""COMPUTED_VALUE"""),133.65)</f>
        <v>133.65</v>
      </c>
      <c r="N765" s="121"/>
      <c r="O765" s="120"/>
      <c r="P765" s="122"/>
      <c r="Q765" s="123" t="str">
        <f ca="1">IFERROR(__xludf.DUMMYFUNCTION("""COMPUTED_VALUE"""),"Norah Wittman")</f>
        <v>Norah Wittman</v>
      </c>
      <c r="R765" s="123"/>
      <c r="S765" s="123" t="str">
        <f ca="1">IFERROR(__xludf.DUMMYFUNCTION("""COMPUTED_VALUE"""),"Lillian Gunderson")</f>
        <v>Lillian Gunderson</v>
      </c>
      <c r="T765" s="123" t="str">
        <f ca="1">IFERROR(__xludf.DUMMYFUNCTION("""COMPUTED_VALUE"""),"Ricky Nguyen")</f>
        <v>Ricky Nguyen</v>
      </c>
    </row>
    <row r="766" spans="1:20" ht="13.8">
      <c r="A766" s="118" t="str">
        <f ca="1">IFERROR(__xludf.DUMMYFUNCTION("""COMPUTED_VALUE"""),"HF")</f>
        <v>HF</v>
      </c>
      <c r="B766" s="119" t="str">
        <f ca="1">IFERROR(__xludf.DUMMYFUNCTION("""COMPUTED_VALUE"""),"Kathleen Ferguson")</f>
        <v>Kathleen Ferguson</v>
      </c>
      <c r="C766" s="118">
        <f ca="1">IFERROR(__xludf.DUMMYFUNCTION("""COMPUTED_VALUE"""),16)</f>
        <v>16</v>
      </c>
      <c r="D766" s="118" t="str">
        <f ca="1">IFERROR(__xludf.DUMMYFUNCTION("""COMPUTED_VALUE"""),"G")</f>
        <v>G</v>
      </c>
      <c r="E766" s="118" t="str">
        <f ca="1">IFERROR(__xludf.DUMMYFUNCTION("""COMPUTED_VALUE"""),"S")</f>
        <v>S</v>
      </c>
      <c r="F766" s="118" t="str">
        <f ca="1">IFERROR(__xludf.DUMMYFUNCTION("""COMPUTED_VALUE"""),"S")</f>
        <v>S</v>
      </c>
      <c r="G766" s="118">
        <f ca="1">IFERROR(__xludf.DUMMYFUNCTION("""COMPUTED_VALUE"""),4)</f>
        <v>4</v>
      </c>
      <c r="H766" s="118" t="str">
        <f ca="1">IFERROR(__xludf.DUMMYFUNCTION("""COMPUTED_VALUE"""),"HF")</f>
        <v>HF</v>
      </c>
      <c r="I766" s="118">
        <f ca="1">IFERROR(__xludf.DUMMYFUNCTION("""COMPUTED_VALUE"""),10)</f>
        <v>10</v>
      </c>
      <c r="J766" s="118">
        <f ca="1">IFERROR(__xludf.DUMMYFUNCTION("""COMPUTED_VALUE"""),4)</f>
        <v>4</v>
      </c>
      <c r="K766" s="120">
        <f ca="1">IFERROR(__xludf.DUMMYFUNCTION("""COMPUTED_VALUE"""),127.35)</f>
        <v>127.35</v>
      </c>
      <c r="L766" s="121"/>
      <c r="M766" s="120"/>
      <c r="N766" s="121"/>
      <c r="O766" s="120">
        <f ca="1">IFERROR(__xludf.DUMMYFUNCTION("""COMPUTED_VALUE"""),115.7)</f>
        <v>115.7</v>
      </c>
      <c r="P766" s="122"/>
      <c r="Q766" s="123" t="str">
        <f ca="1">IFERROR(__xludf.DUMMYFUNCTION("""COMPUTED_VALUE"""),"Noreen Dhaliwal")</f>
        <v>Noreen Dhaliwal</v>
      </c>
      <c r="R766" s="123"/>
      <c r="S766" s="123" t="str">
        <f ca="1">IFERROR(__xludf.DUMMYFUNCTION("""COMPUTED_VALUE"""),"Lillian Haigh")</f>
        <v>Lillian Haigh</v>
      </c>
      <c r="T766" s="123" t="str">
        <f ca="1">IFERROR(__xludf.DUMMYFUNCTION("""COMPUTED_VALUE"""),"Riley Burgess Carpenter")</f>
        <v>Riley Burgess Carpenter</v>
      </c>
    </row>
    <row r="767" spans="1:20" ht="13.8">
      <c r="A767" s="118" t="str">
        <f ca="1">IFERROR(__xludf.DUMMYFUNCTION("""COMPUTED_VALUE"""),"HF")</f>
        <v>HF</v>
      </c>
      <c r="B767" s="119" t="str">
        <f ca="1">IFERROR(__xludf.DUMMYFUNCTION("""COMPUTED_VALUE"""),"Maeve McGuire")</f>
        <v>Maeve McGuire</v>
      </c>
      <c r="C767" s="118">
        <f ca="1">IFERROR(__xludf.DUMMYFUNCTION("""COMPUTED_VALUE"""),15)</f>
        <v>15</v>
      </c>
      <c r="D767" s="118" t="str">
        <f ca="1">IFERROR(__xludf.DUMMYFUNCTION("""COMPUTED_VALUE"""),"G")</f>
        <v>G</v>
      </c>
      <c r="E767" s="118" t="str">
        <f ca="1">IFERROR(__xludf.DUMMYFUNCTION("""COMPUTED_VALUE"""),"S")</f>
        <v>S</v>
      </c>
      <c r="F767" s="118" t="str">
        <f ca="1">IFERROR(__xludf.DUMMYFUNCTION("""COMPUTED_VALUE"""),"S")</f>
        <v>S</v>
      </c>
      <c r="G767" s="118">
        <f ca="1">IFERROR(__xludf.DUMMYFUNCTION("""COMPUTED_VALUE"""),4)</f>
        <v>4</v>
      </c>
      <c r="H767" s="118" t="str">
        <f ca="1">IFERROR(__xludf.DUMMYFUNCTION("""COMPUTED_VALUE"""),"HF")</f>
        <v>HF</v>
      </c>
      <c r="I767" s="118">
        <f ca="1">IFERROR(__xludf.DUMMYFUNCTION("""COMPUTED_VALUE"""),10)</f>
        <v>10</v>
      </c>
      <c r="J767" s="118">
        <f ca="1">IFERROR(__xludf.DUMMYFUNCTION("""COMPUTED_VALUE"""),3)</f>
        <v>3</v>
      </c>
      <c r="K767" s="120">
        <f ca="1">IFERROR(__xludf.DUMMYFUNCTION("""COMPUTED_VALUE"""),144.3)</f>
        <v>144.30000000000001</v>
      </c>
      <c r="L767" s="121"/>
      <c r="M767" s="120"/>
      <c r="N767" s="121"/>
      <c r="O767" s="120">
        <f ca="1">IFERROR(__xludf.DUMMYFUNCTION("""COMPUTED_VALUE"""),137.65)</f>
        <v>137.65</v>
      </c>
      <c r="P767" s="122"/>
      <c r="Q767" s="123" t="str">
        <f ca="1">IFERROR(__xludf.DUMMYFUNCTION("""COMPUTED_VALUE"""),"Nyah Smith")</f>
        <v>Nyah Smith</v>
      </c>
      <c r="R767" s="123"/>
      <c r="S767" s="123" t="str">
        <f ca="1">IFERROR(__xludf.DUMMYFUNCTION("""COMPUTED_VALUE"""),"Lillian Kent")</f>
        <v>Lillian Kent</v>
      </c>
      <c r="T767" s="123" t="str">
        <f ca="1">IFERROR(__xludf.DUMMYFUNCTION("""COMPUTED_VALUE"""),"Rob Freeman")</f>
        <v>Rob Freeman</v>
      </c>
    </row>
    <row r="768" spans="1:20" ht="13.8">
      <c r="A768" s="118" t="str">
        <f ca="1">IFERROR(__xludf.DUMMYFUNCTION("""COMPUTED_VALUE"""),"HF")</f>
        <v>HF</v>
      </c>
      <c r="B768" s="119" t="str">
        <f ca="1">IFERROR(__xludf.DUMMYFUNCTION("""COMPUTED_VALUE"""),"Cooper Belt")</f>
        <v>Cooper Belt</v>
      </c>
      <c r="C768" s="118">
        <f ca="1">IFERROR(__xludf.DUMMYFUNCTION("""COMPUTED_VALUE"""),17)</f>
        <v>17</v>
      </c>
      <c r="D768" s="118" t="str">
        <f ca="1">IFERROR(__xludf.DUMMYFUNCTION("""COMPUTED_VALUE"""),"B")</f>
        <v>B</v>
      </c>
      <c r="E768" s="118" t="str">
        <f ca="1">IFERROR(__xludf.DUMMYFUNCTION("""COMPUTED_VALUE"""),"S")</f>
        <v>S</v>
      </c>
      <c r="F768" s="118" t="str">
        <f ca="1">IFERROR(__xludf.DUMMYFUNCTION("""COMPUTED_VALUE"""),"S")</f>
        <v>S</v>
      </c>
      <c r="G768" s="118">
        <f ca="1">IFERROR(__xludf.DUMMYFUNCTION("""COMPUTED_VALUE"""),4)</f>
        <v>4</v>
      </c>
      <c r="H768" s="118" t="str">
        <f ca="1">IFERROR(__xludf.DUMMYFUNCTION("""COMPUTED_VALUE"""),"HF")</f>
        <v>HF</v>
      </c>
      <c r="I768" s="118">
        <f ca="1">IFERROR(__xludf.DUMMYFUNCTION("""COMPUTED_VALUE"""),11)</f>
        <v>11</v>
      </c>
      <c r="J768" s="118">
        <f ca="1">IFERROR(__xludf.DUMMYFUNCTION("""COMPUTED_VALUE"""),4)</f>
        <v>4</v>
      </c>
      <c r="K768" s="120">
        <f ca="1">IFERROR(__xludf.DUMMYFUNCTION("""COMPUTED_VALUE"""),167.65)</f>
        <v>167.65</v>
      </c>
      <c r="L768" s="121"/>
      <c r="M768" s="120">
        <f ca="1">IFERROR(__xludf.DUMMYFUNCTION("""COMPUTED_VALUE"""),167.65)</f>
        <v>167.65</v>
      </c>
      <c r="N768" s="121"/>
      <c r="O768" s="120">
        <f ca="1">IFERROR(__xludf.DUMMYFUNCTION("""COMPUTED_VALUE"""),160)</f>
        <v>160</v>
      </c>
      <c r="P768" s="122"/>
      <c r="Q768" s="123" t="str">
        <f ca="1">IFERROR(__xludf.DUMMYFUNCTION("""COMPUTED_VALUE"""),"Odile Burke")</f>
        <v>Odile Burke</v>
      </c>
      <c r="R768" s="123"/>
      <c r="S768" s="123" t="str">
        <f ca="1">IFERROR(__xludf.DUMMYFUNCTION("""COMPUTED_VALUE"""),"Lillian Miller")</f>
        <v>Lillian Miller</v>
      </c>
      <c r="T768" s="123" t="str">
        <f ca="1">IFERROR(__xludf.DUMMYFUNCTION("""COMPUTED_VALUE"""),"Robert Burke")</f>
        <v>Robert Burke</v>
      </c>
    </row>
    <row r="769" spans="1:20" ht="13.8">
      <c r="A769" s="118" t="str">
        <f ca="1">IFERROR(__xludf.DUMMYFUNCTION("""COMPUTED_VALUE"""),"HF")</f>
        <v>HF</v>
      </c>
      <c r="B769" s="119" t="str">
        <f ca="1">IFERROR(__xludf.DUMMYFUNCTION("""COMPUTED_VALUE"""),"Sam Johnson")</f>
        <v>Sam Johnson</v>
      </c>
      <c r="C769" s="118">
        <f ca="1">IFERROR(__xludf.DUMMYFUNCTION("""COMPUTED_VALUE"""),16)</f>
        <v>16</v>
      </c>
      <c r="D769" s="118" t="str">
        <f ca="1">IFERROR(__xludf.DUMMYFUNCTION("""COMPUTED_VALUE"""),"B")</f>
        <v>B</v>
      </c>
      <c r="E769" s="118" t="str">
        <f ca="1">IFERROR(__xludf.DUMMYFUNCTION("""COMPUTED_VALUE"""),"S")</f>
        <v>S</v>
      </c>
      <c r="F769" s="118" t="str">
        <f ca="1">IFERROR(__xludf.DUMMYFUNCTION("""COMPUTED_VALUE"""),"S")</f>
        <v>S</v>
      </c>
      <c r="G769" s="118">
        <f ca="1">IFERROR(__xludf.DUMMYFUNCTION("""COMPUTED_VALUE"""),4)</f>
        <v>4</v>
      </c>
      <c r="H769" s="118" t="str">
        <f ca="1">IFERROR(__xludf.DUMMYFUNCTION("""COMPUTED_VALUE"""),"HF")</f>
        <v>HF</v>
      </c>
      <c r="I769" s="118">
        <f ca="1">IFERROR(__xludf.DUMMYFUNCTION("""COMPUTED_VALUE"""),11)</f>
        <v>11</v>
      </c>
      <c r="J769" s="118">
        <f ca="1">IFERROR(__xludf.DUMMYFUNCTION("""COMPUTED_VALUE"""),5)</f>
        <v>5</v>
      </c>
      <c r="K769" s="120">
        <f ca="1">IFERROR(__xludf.DUMMYFUNCTION("""COMPUTED_VALUE"""),147.5)</f>
        <v>147.5</v>
      </c>
      <c r="L769" s="121"/>
      <c r="M769" s="120">
        <f ca="1">IFERROR(__xludf.DUMMYFUNCTION("""COMPUTED_VALUE"""),147.5)</f>
        <v>147.5</v>
      </c>
      <c r="N769" s="121"/>
      <c r="O769" s="120">
        <f ca="1">IFERROR(__xludf.DUMMYFUNCTION("""COMPUTED_VALUE"""),115.95)</f>
        <v>115.95</v>
      </c>
      <c r="P769" s="122"/>
      <c r="Q769" s="123" t="str">
        <f ca="1">IFERROR(__xludf.DUMMYFUNCTION("""COMPUTED_VALUE"""),"Olive Slother")</f>
        <v>Olive Slother</v>
      </c>
      <c r="R769" s="123"/>
      <c r="S769" s="123" t="str">
        <f ca="1">IFERROR(__xludf.DUMMYFUNCTION("""COMPUTED_VALUE"""),"Lillian Morschauser")</f>
        <v>Lillian Morschauser</v>
      </c>
      <c r="T769" s="123" t="str">
        <f ca="1">IFERROR(__xludf.DUMMYFUNCTION("""COMPUTED_VALUE"""),"Rodeen Kia")</f>
        <v>Rodeen Kia</v>
      </c>
    </row>
    <row r="770" spans="1:20" ht="13.8">
      <c r="A770" s="118" t="str">
        <f ca="1">IFERROR(__xludf.DUMMYFUNCTION("""COMPUTED_VALUE"""),"HF")</f>
        <v>HF</v>
      </c>
      <c r="B770" s="119" t="str">
        <f ca="1">IFERROR(__xludf.DUMMYFUNCTION("""COMPUTED_VALUE"""),"Will Townes")</f>
        <v>Will Townes</v>
      </c>
      <c r="C770" s="118">
        <f ca="1">IFERROR(__xludf.DUMMYFUNCTION("""COMPUTED_VALUE"""),17)</f>
        <v>17</v>
      </c>
      <c r="D770" s="118" t="str">
        <f ca="1">IFERROR(__xludf.DUMMYFUNCTION("""COMPUTED_VALUE"""),"B")</f>
        <v>B</v>
      </c>
      <c r="E770" s="118" t="str">
        <f ca="1">IFERROR(__xludf.DUMMYFUNCTION("""COMPUTED_VALUE"""),"S")</f>
        <v>S</v>
      </c>
      <c r="F770" s="118" t="str">
        <f ca="1">IFERROR(__xludf.DUMMYFUNCTION("""COMPUTED_VALUE"""),"S")</f>
        <v>S</v>
      </c>
      <c r="G770" s="118">
        <f ca="1">IFERROR(__xludf.DUMMYFUNCTION("""COMPUTED_VALUE"""),4)</f>
        <v>4</v>
      </c>
      <c r="H770" s="118" t="str">
        <f ca="1">IFERROR(__xludf.DUMMYFUNCTION("""COMPUTED_VALUE"""),"HF")</f>
        <v>HF</v>
      </c>
      <c r="I770" s="118">
        <f ca="1">IFERROR(__xludf.DUMMYFUNCTION("""COMPUTED_VALUE"""),11)</f>
        <v>11</v>
      </c>
      <c r="J770" s="118">
        <f ca="1">IFERROR(__xludf.DUMMYFUNCTION("""COMPUTED_VALUE"""),5)</f>
        <v>5</v>
      </c>
      <c r="K770" s="120">
        <f ca="1">IFERROR(__xludf.DUMMYFUNCTION("""COMPUTED_VALUE"""),195.35)</f>
        <v>195.35</v>
      </c>
      <c r="L770" s="121"/>
      <c r="M770" s="120">
        <f ca="1">IFERROR(__xludf.DUMMYFUNCTION("""COMPUTED_VALUE"""),195.35)</f>
        <v>195.35</v>
      </c>
      <c r="N770" s="121"/>
      <c r="O770" s="120">
        <f ca="1">IFERROR(__xludf.DUMMYFUNCTION("""COMPUTED_VALUE"""),174.5)</f>
        <v>174.5</v>
      </c>
      <c r="P770" s="122"/>
      <c r="Q770" s="123" t="str">
        <f ca="1">IFERROR(__xludf.DUMMYFUNCTION("""COMPUTED_VALUE"""),"Olivia Ahern")</f>
        <v>Olivia Ahern</v>
      </c>
      <c r="R770" s="123"/>
      <c r="S770" s="123" t="str">
        <f ca="1">IFERROR(__xludf.DUMMYFUNCTION("""COMPUTED_VALUE"""),"Lillian Rakip")</f>
        <v>Lillian Rakip</v>
      </c>
      <c r="T770" s="123" t="str">
        <f ca="1">IFERROR(__xludf.DUMMYFUNCTION("""COMPUTED_VALUE"""),"Ronan Gallagher")</f>
        <v>Ronan Gallagher</v>
      </c>
    </row>
    <row r="771" spans="1:20" ht="13.8">
      <c r="A771" s="118" t="str">
        <f ca="1">IFERROR(__xludf.DUMMYFUNCTION("""COMPUTED_VALUE"""),"HP")</f>
        <v>HP</v>
      </c>
      <c r="B771" s="119" t="str">
        <f ca="1">IFERROR(__xludf.DUMMYFUNCTION("""COMPUTED_VALUE"""),"Bridget Snyder")</f>
        <v>Bridget Snyder</v>
      </c>
      <c r="C771" s="118">
        <f ca="1">IFERROR(__xludf.DUMMYFUNCTION("""COMPUTED_VALUE"""),9)</f>
        <v>9</v>
      </c>
      <c r="D771" s="118" t="str">
        <f ca="1">IFERROR(__xludf.DUMMYFUNCTION("""COMPUTED_VALUE"""),"G")</f>
        <v>G</v>
      </c>
      <c r="E771" s="118" t="str">
        <f ca="1">IFERROR(__xludf.DUMMYFUNCTION("""COMPUTED_VALUE"""),"F")</f>
        <v>F</v>
      </c>
      <c r="F771" s="118" t="str">
        <f ca="1">IFERROR(__xludf.DUMMYFUNCTION("""COMPUTED_VALUE"""),"J")</f>
        <v>J</v>
      </c>
      <c r="G771" s="118">
        <f ca="1">IFERROR(__xludf.DUMMYFUNCTION("""COMPUTED_VALUE"""),4)</f>
        <v>4</v>
      </c>
      <c r="H771" s="118" t="str">
        <f ca="1">IFERROR(__xludf.DUMMYFUNCTION("""COMPUTED_VALUE"""),"HP")</f>
        <v>HP</v>
      </c>
      <c r="I771" s="118">
        <f ca="1">IFERROR(__xludf.DUMMYFUNCTION("""COMPUTED_VALUE"""),4)</f>
        <v>4</v>
      </c>
      <c r="J771" s="118">
        <f ca="1">IFERROR(__xludf.DUMMYFUNCTION("""COMPUTED_VALUE"""),5)</f>
        <v>5</v>
      </c>
      <c r="K771" s="120">
        <f ca="1">IFERROR(__xludf.DUMMYFUNCTION("""COMPUTED_VALUE"""),49.95)</f>
        <v>49.95</v>
      </c>
      <c r="L771" s="121"/>
      <c r="M771" s="120">
        <f ca="1">IFERROR(__xludf.DUMMYFUNCTION("""COMPUTED_VALUE"""),43.35)</f>
        <v>43.35</v>
      </c>
      <c r="N771" s="121"/>
      <c r="O771" s="120">
        <f ca="1">IFERROR(__xludf.DUMMYFUNCTION("""COMPUTED_VALUE"""),39.25)</f>
        <v>39.25</v>
      </c>
      <c r="P771" s="122"/>
      <c r="Q771" s="123" t="str">
        <f ca="1">IFERROR(__xludf.DUMMYFUNCTION("""COMPUTED_VALUE"""),"Olivia Anderson")</f>
        <v>Olivia Anderson</v>
      </c>
      <c r="R771" s="123"/>
      <c r="S771" s="123" t="str">
        <f ca="1">IFERROR(__xludf.DUMMYFUNCTION("""COMPUTED_VALUE"""),"Lillian Sinclair")</f>
        <v>Lillian Sinclair</v>
      </c>
      <c r="T771" s="123" t="str">
        <f ca="1">IFERROR(__xludf.DUMMYFUNCTION("""COMPUTED_VALUE"""),"Ronin Pickenheim")</f>
        <v>Ronin Pickenheim</v>
      </c>
    </row>
    <row r="772" spans="1:20" ht="13.8">
      <c r="A772" s="118" t="str">
        <f ca="1">IFERROR(__xludf.DUMMYFUNCTION("""COMPUTED_VALUE"""),"HP")</f>
        <v>HP</v>
      </c>
      <c r="B772" s="119" t="str">
        <f ca="1">IFERROR(__xludf.DUMMYFUNCTION("""COMPUTED_VALUE"""),"Eleanor Dannen")</f>
        <v>Eleanor Dannen</v>
      </c>
      <c r="C772" s="118">
        <f ca="1">IFERROR(__xludf.DUMMYFUNCTION("""COMPUTED_VALUE"""),10)</f>
        <v>10</v>
      </c>
      <c r="D772" s="118" t="str">
        <f ca="1">IFERROR(__xludf.DUMMYFUNCTION("""COMPUTED_VALUE"""),"G")</f>
        <v>G</v>
      </c>
      <c r="E772" s="118" t="str">
        <f ca="1">IFERROR(__xludf.DUMMYFUNCTION("""COMPUTED_VALUE"""),"F")</f>
        <v>F</v>
      </c>
      <c r="F772" s="118" t="str">
        <f ca="1">IFERROR(__xludf.DUMMYFUNCTION("""COMPUTED_VALUE"""),"J")</f>
        <v>J</v>
      </c>
      <c r="G772" s="118">
        <f ca="1">IFERROR(__xludf.DUMMYFUNCTION("""COMPUTED_VALUE"""),4)</f>
        <v>4</v>
      </c>
      <c r="H772" s="118" t="str">
        <f ca="1">IFERROR(__xludf.DUMMYFUNCTION("""COMPUTED_VALUE"""),"HP")</f>
        <v>HP</v>
      </c>
      <c r="I772" s="118">
        <f ca="1">IFERROR(__xludf.DUMMYFUNCTION("""COMPUTED_VALUE"""),4)</f>
        <v>4</v>
      </c>
      <c r="J772" s="118">
        <f ca="1">IFERROR(__xludf.DUMMYFUNCTION("""COMPUTED_VALUE"""),5)</f>
        <v>5</v>
      </c>
      <c r="K772" s="120">
        <f ca="1">IFERROR(__xludf.DUMMYFUNCTION("""COMPUTED_VALUE"""),53.15)</f>
        <v>53.15</v>
      </c>
      <c r="L772" s="121"/>
      <c r="M772" s="120">
        <f ca="1">IFERROR(__xludf.DUMMYFUNCTION("""COMPUTED_VALUE"""),53.15)</f>
        <v>53.15</v>
      </c>
      <c r="N772" s="121"/>
      <c r="O772" s="120">
        <f ca="1">IFERROR(__xludf.DUMMYFUNCTION("""COMPUTED_VALUE"""),42.4)</f>
        <v>42.4</v>
      </c>
      <c r="P772" s="122"/>
      <c r="Q772" s="123" t="str">
        <f ca="1">IFERROR(__xludf.DUMMYFUNCTION("""COMPUTED_VALUE"""),"Olivia Chen")</f>
        <v>Olivia Chen</v>
      </c>
      <c r="R772" s="123"/>
      <c r="S772" s="123" t="str">
        <f ca="1">IFERROR(__xludf.DUMMYFUNCTION("""COMPUTED_VALUE"""),"Lillian Wade")</f>
        <v>Lillian Wade</v>
      </c>
      <c r="T772" s="123" t="str">
        <f ca="1">IFERROR(__xludf.DUMMYFUNCTION("""COMPUTED_VALUE"""),"Ronin Thornsbury")</f>
        <v>Ronin Thornsbury</v>
      </c>
    </row>
    <row r="773" spans="1:20" ht="13.8">
      <c r="A773" s="118" t="str">
        <f ca="1">IFERROR(__xludf.DUMMYFUNCTION("""COMPUTED_VALUE"""),"HP")</f>
        <v>HP</v>
      </c>
      <c r="B773" s="119" t="str">
        <f ca="1">IFERROR(__xludf.DUMMYFUNCTION("""COMPUTED_VALUE"""),"Ellie Tenor")</f>
        <v>Ellie Tenor</v>
      </c>
      <c r="C773" s="118">
        <f ca="1">IFERROR(__xludf.DUMMYFUNCTION("""COMPUTED_VALUE"""),10)</f>
        <v>10</v>
      </c>
      <c r="D773" s="118" t="str">
        <f ca="1">IFERROR(__xludf.DUMMYFUNCTION("""COMPUTED_VALUE"""),"G")</f>
        <v>G</v>
      </c>
      <c r="E773" s="118" t="str">
        <f ca="1">IFERROR(__xludf.DUMMYFUNCTION("""COMPUTED_VALUE"""),"F")</f>
        <v>F</v>
      </c>
      <c r="F773" s="118" t="str">
        <f ca="1">IFERROR(__xludf.DUMMYFUNCTION("""COMPUTED_VALUE"""),"J")</f>
        <v>J</v>
      </c>
      <c r="G773" s="118">
        <f ca="1">IFERROR(__xludf.DUMMYFUNCTION("""COMPUTED_VALUE"""),4)</f>
        <v>4</v>
      </c>
      <c r="H773" s="118" t="str">
        <f ca="1">IFERROR(__xludf.DUMMYFUNCTION("""COMPUTED_VALUE"""),"HP")</f>
        <v>HP</v>
      </c>
      <c r="I773" s="118">
        <f ca="1">IFERROR(__xludf.DUMMYFUNCTION("""COMPUTED_VALUE"""),4)</f>
        <v>4</v>
      </c>
      <c r="J773" s="118">
        <f ca="1">IFERROR(__xludf.DUMMYFUNCTION("""COMPUTED_VALUE"""),0)</f>
        <v>0</v>
      </c>
      <c r="K773" s="120"/>
      <c r="L773" s="121"/>
      <c r="M773" s="120"/>
      <c r="N773" s="121"/>
      <c r="O773" s="120"/>
      <c r="P773" s="122"/>
      <c r="Q773" s="123" t="str">
        <f ca="1">IFERROR(__xludf.DUMMYFUNCTION("""COMPUTED_VALUE"""),"Olivia Dyer")</f>
        <v>Olivia Dyer</v>
      </c>
      <c r="R773" s="123"/>
      <c r="S773" s="123" t="str">
        <f ca="1">IFERROR(__xludf.DUMMYFUNCTION("""COMPUTED_VALUE"""),"Lilliana Chu")</f>
        <v>Lilliana Chu</v>
      </c>
      <c r="T773" s="123" t="str">
        <f ca="1">IFERROR(__xludf.DUMMYFUNCTION("""COMPUTED_VALUE"""),"Rowan O'Leary")</f>
        <v>Rowan O'Leary</v>
      </c>
    </row>
    <row r="774" spans="1:20" ht="13.8">
      <c r="A774" s="118" t="str">
        <f ca="1">IFERROR(__xludf.DUMMYFUNCTION("""COMPUTED_VALUE"""),"HP")</f>
        <v>HP</v>
      </c>
      <c r="B774" s="119" t="str">
        <f ca="1">IFERROR(__xludf.DUMMYFUNCTION("""COMPUTED_VALUE"""),"Emme Guy")</f>
        <v>Emme Guy</v>
      </c>
      <c r="C774" s="118">
        <f ca="1">IFERROR(__xludf.DUMMYFUNCTION("""COMPUTED_VALUE"""),10)</f>
        <v>10</v>
      </c>
      <c r="D774" s="118" t="str">
        <f ca="1">IFERROR(__xludf.DUMMYFUNCTION("""COMPUTED_VALUE"""),"G")</f>
        <v>G</v>
      </c>
      <c r="E774" s="118" t="str">
        <f ca="1">IFERROR(__xludf.DUMMYFUNCTION("""COMPUTED_VALUE"""),"F")</f>
        <v>F</v>
      </c>
      <c r="F774" s="118" t="str">
        <f ca="1">IFERROR(__xludf.DUMMYFUNCTION("""COMPUTED_VALUE"""),"J")</f>
        <v>J</v>
      </c>
      <c r="G774" s="118">
        <f ca="1">IFERROR(__xludf.DUMMYFUNCTION("""COMPUTED_VALUE"""),4)</f>
        <v>4</v>
      </c>
      <c r="H774" s="118" t="str">
        <f ca="1">IFERROR(__xludf.DUMMYFUNCTION("""COMPUTED_VALUE"""),"HP")</f>
        <v>HP</v>
      </c>
      <c r="I774" s="118">
        <f ca="1">IFERROR(__xludf.DUMMYFUNCTION("""COMPUTED_VALUE"""),4)</f>
        <v>4</v>
      </c>
      <c r="J774" s="118">
        <f ca="1">IFERROR(__xludf.DUMMYFUNCTION("""COMPUTED_VALUE"""),5)</f>
        <v>5</v>
      </c>
      <c r="K774" s="120">
        <f ca="1">IFERROR(__xludf.DUMMYFUNCTION("""COMPUTED_VALUE"""),58.8)</f>
        <v>58.8</v>
      </c>
      <c r="L774" s="121"/>
      <c r="M774" s="120">
        <f ca="1">IFERROR(__xludf.DUMMYFUNCTION("""COMPUTED_VALUE"""),58.8)</f>
        <v>58.8</v>
      </c>
      <c r="N774" s="121"/>
      <c r="O774" s="120">
        <f ca="1">IFERROR(__xludf.DUMMYFUNCTION("""COMPUTED_VALUE"""),47.35)</f>
        <v>47.35</v>
      </c>
      <c r="P774" s="122"/>
      <c r="Q774" s="123" t="str">
        <f ca="1">IFERROR(__xludf.DUMMYFUNCTION("""COMPUTED_VALUE"""),"Olivia Gentry")</f>
        <v>Olivia Gentry</v>
      </c>
      <c r="R774" s="123"/>
      <c r="S774" s="123" t="str">
        <f ca="1">IFERROR(__xludf.DUMMYFUNCTION("""COMPUTED_VALUE"""),"Lilly Apgar")</f>
        <v>Lilly Apgar</v>
      </c>
      <c r="T774" s="123" t="str">
        <f ca="1">IFERROR(__xludf.DUMMYFUNCTION("""COMPUTED_VALUE"""),"Rowen Haldeman")</f>
        <v>Rowen Haldeman</v>
      </c>
    </row>
    <row r="775" spans="1:20" ht="13.8">
      <c r="A775" s="118" t="str">
        <f ca="1">IFERROR(__xludf.DUMMYFUNCTION("""COMPUTED_VALUE"""),"HP")</f>
        <v>HP</v>
      </c>
      <c r="B775" s="119" t="str">
        <f ca="1">IFERROR(__xludf.DUMMYFUNCTION("""COMPUTED_VALUE"""),"Gloria Johnson")</f>
        <v>Gloria Johnson</v>
      </c>
      <c r="C775" s="118">
        <f ca="1">IFERROR(__xludf.DUMMYFUNCTION("""COMPUTED_VALUE"""),10)</f>
        <v>10</v>
      </c>
      <c r="D775" s="118" t="str">
        <f ca="1">IFERROR(__xludf.DUMMYFUNCTION("""COMPUTED_VALUE"""),"G")</f>
        <v>G</v>
      </c>
      <c r="E775" s="118" t="str">
        <f ca="1">IFERROR(__xludf.DUMMYFUNCTION("""COMPUTED_VALUE"""),"F")</f>
        <v>F</v>
      </c>
      <c r="F775" s="118" t="str">
        <f ca="1">IFERROR(__xludf.DUMMYFUNCTION("""COMPUTED_VALUE"""),"J")</f>
        <v>J</v>
      </c>
      <c r="G775" s="118">
        <f ca="1">IFERROR(__xludf.DUMMYFUNCTION("""COMPUTED_VALUE"""),4)</f>
        <v>4</v>
      </c>
      <c r="H775" s="118" t="str">
        <f ca="1">IFERROR(__xludf.DUMMYFUNCTION("""COMPUTED_VALUE"""),"HP")</f>
        <v>HP</v>
      </c>
      <c r="I775" s="118">
        <f ca="1">IFERROR(__xludf.DUMMYFUNCTION("""COMPUTED_VALUE"""),4)</f>
        <v>4</v>
      </c>
      <c r="J775" s="118">
        <f ca="1">IFERROR(__xludf.DUMMYFUNCTION("""COMPUTED_VALUE"""),5)</f>
        <v>5</v>
      </c>
      <c r="K775" s="120">
        <f ca="1">IFERROR(__xludf.DUMMYFUNCTION("""COMPUTED_VALUE"""),52.85)</f>
        <v>52.85</v>
      </c>
      <c r="L775" s="121"/>
      <c r="M775" s="120">
        <f ca="1">IFERROR(__xludf.DUMMYFUNCTION("""COMPUTED_VALUE"""),39.55)</f>
        <v>39.549999999999997</v>
      </c>
      <c r="N775" s="121"/>
      <c r="O775" s="120">
        <f ca="1">IFERROR(__xludf.DUMMYFUNCTION("""COMPUTED_VALUE"""),41.25)</f>
        <v>41.25</v>
      </c>
      <c r="P775" s="122"/>
      <c r="Q775" s="123" t="str">
        <f ca="1">IFERROR(__xludf.DUMMYFUNCTION("""COMPUTED_VALUE"""),"Olivia Jozefczyk")</f>
        <v>Olivia Jozefczyk</v>
      </c>
      <c r="R775" s="123"/>
      <c r="S775" s="123" t="str">
        <f ca="1">IFERROR(__xludf.DUMMYFUNCTION("""COMPUTED_VALUE"""),"Lilly Cameron")</f>
        <v>Lilly Cameron</v>
      </c>
      <c r="T775" s="123" t="str">
        <f ca="1">IFERROR(__xludf.DUMMYFUNCTION("""COMPUTED_VALUE"""),"Rowen Stenberg")</f>
        <v>Rowen Stenberg</v>
      </c>
    </row>
    <row r="776" spans="1:20" ht="13.8">
      <c r="A776" s="118" t="str">
        <f ca="1">IFERROR(__xludf.DUMMYFUNCTION("""COMPUTED_VALUE"""),"HP")</f>
        <v>HP</v>
      </c>
      <c r="B776" s="119" t="str">
        <f ca="1">IFERROR(__xludf.DUMMYFUNCTION("""COMPUTED_VALUE"""),"Grace Hawk")</f>
        <v>Grace Hawk</v>
      </c>
      <c r="C776" s="118">
        <f ca="1">IFERROR(__xludf.DUMMYFUNCTION("""COMPUTED_VALUE"""),8)</f>
        <v>8</v>
      </c>
      <c r="D776" s="118" t="str">
        <f ca="1">IFERROR(__xludf.DUMMYFUNCTION("""COMPUTED_VALUE"""),"G")</f>
        <v>G</v>
      </c>
      <c r="E776" s="118" t="str">
        <f ca="1">IFERROR(__xludf.DUMMYFUNCTION("""COMPUTED_VALUE"""),"F")</f>
        <v>F</v>
      </c>
      <c r="F776" s="118" t="str">
        <f ca="1">IFERROR(__xludf.DUMMYFUNCTION("""COMPUTED_VALUE"""),"J")</f>
        <v>J</v>
      </c>
      <c r="G776" s="118">
        <f ca="1">IFERROR(__xludf.DUMMYFUNCTION("""COMPUTED_VALUE"""),4)</f>
        <v>4</v>
      </c>
      <c r="H776" s="118" t="str">
        <f ca="1">IFERROR(__xludf.DUMMYFUNCTION("""COMPUTED_VALUE"""),"HP")</f>
        <v>HP</v>
      </c>
      <c r="I776" s="118">
        <f ca="1">IFERROR(__xludf.DUMMYFUNCTION("""COMPUTED_VALUE"""),4)</f>
        <v>4</v>
      </c>
      <c r="J776" s="118">
        <f ca="1">IFERROR(__xludf.DUMMYFUNCTION("""COMPUTED_VALUE"""),5)</f>
        <v>5</v>
      </c>
      <c r="K776" s="120">
        <f ca="1">IFERROR(__xludf.DUMMYFUNCTION("""COMPUTED_VALUE"""),35.05)</f>
        <v>35.049999999999997</v>
      </c>
      <c r="L776" s="121"/>
      <c r="M776" s="120">
        <f ca="1">IFERROR(__xludf.DUMMYFUNCTION("""COMPUTED_VALUE"""),16.45)</f>
        <v>16.45</v>
      </c>
      <c r="N776" s="121"/>
      <c r="O776" s="120">
        <f ca="1">IFERROR(__xludf.DUMMYFUNCTION("""COMPUTED_VALUE"""),20.55)</f>
        <v>20.55</v>
      </c>
      <c r="P776" s="122"/>
      <c r="Q776" s="123" t="str">
        <f ca="1">IFERROR(__xludf.DUMMYFUNCTION("""COMPUTED_VALUE"""),"Olivia Risley")</f>
        <v>Olivia Risley</v>
      </c>
      <c r="R776" s="123"/>
      <c r="S776" s="123" t="str">
        <f ca="1">IFERROR(__xludf.DUMMYFUNCTION("""COMPUTED_VALUE"""),"Lilly Coulby")</f>
        <v>Lilly Coulby</v>
      </c>
      <c r="T776" s="123" t="str">
        <f ca="1">IFERROR(__xludf.DUMMYFUNCTION("""COMPUTED_VALUE"""),"Ruby Herbig")</f>
        <v>Ruby Herbig</v>
      </c>
    </row>
    <row r="777" spans="1:20" ht="13.8">
      <c r="A777" s="118" t="str">
        <f ca="1">IFERROR(__xludf.DUMMYFUNCTION("""COMPUTED_VALUE"""),"HP")</f>
        <v>HP</v>
      </c>
      <c r="B777" s="119" t="str">
        <f ca="1">IFERROR(__xludf.DUMMYFUNCTION("""COMPUTED_VALUE"""),"Grace Johnson")</f>
        <v>Grace Johnson</v>
      </c>
      <c r="C777" s="118">
        <f ca="1">IFERROR(__xludf.DUMMYFUNCTION("""COMPUTED_VALUE"""),7)</f>
        <v>7</v>
      </c>
      <c r="D777" s="118" t="str">
        <f ca="1">IFERROR(__xludf.DUMMYFUNCTION("""COMPUTED_VALUE"""),"G")</f>
        <v>G</v>
      </c>
      <c r="E777" s="118" t="str">
        <f ca="1">IFERROR(__xludf.DUMMYFUNCTION("""COMPUTED_VALUE"""),"F")</f>
        <v>F</v>
      </c>
      <c r="F777" s="118" t="str">
        <f ca="1">IFERROR(__xludf.DUMMYFUNCTION("""COMPUTED_VALUE"""),"J")</f>
        <v>J</v>
      </c>
      <c r="G777" s="118">
        <f ca="1">IFERROR(__xludf.DUMMYFUNCTION("""COMPUTED_VALUE"""),4)</f>
        <v>4</v>
      </c>
      <c r="H777" s="118" t="str">
        <f ca="1">IFERROR(__xludf.DUMMYFUNCTION("""COMPUTED_VALUE"""),"HP")</f>
        <v>HP</v>
      </c>
      <c r="I777" s="118">
        <f ca="1">IFERROR(__xludf.DUMMYFUNCTION("""COMPUTED_VALUE"""),4)</f>
        <v>4</v>
      </c>
      <c r="J777" s="118">
        <f ca="1">IFERROR(__xludf.DUMMYFUNCTION("""COMPUTED_VALUE"""),4)</f>
        <v>4</v>
      </c>
      <c r="K777" s="120">
        <f ca="1">IFERROR(__xludf.DUMMYFUNCTION("""COMPUTED_VALUE"""),31.85)</f>
        <v>31.85</v>
      </c>
      <c r="L777" s="121"/>
      <c r="M777" s="120"/>
      <c r="N777" s="121"/>
      <c r="O777" s="120">
        <f ca="1">IFERROR(__xludf.DUMMYFUNCTION("""COMPUTED_VALUE"""),26.65)</f>
        <v>26.65</v>
      </c>
      <c r="P777" s="122"/>
      <c r="Q777" s="123" t="str">
        <f ca="1">IFERROR(__xludf.DUMMYFUNCTION("""COMPUTED_VALUE"""),"Olivia Swatt")</f>
        <v>Olivia Swatt</v>
      </c>
      <c r="R777" s="123"/>
      <c r="S777" s="123" t="str">
        <f ca="1">IFERROR(__xludf.DUMMYFUNCTION("""COMPUTED_VALUE"""),"Lilly Jessup")</f>
        <v>Lilly Jessup</v>
      </c>
      <c r="T777" s="123" t="str">
        <f ca="1">IFERROR(__xludf.DUMMYFUNCTION("""COMPUTED_VALUE"""),"Russell Velasco")</f>
        <v>Russell Velasco</v>
      </c>
    </row>
    <row r="778" spans="1:20" ht="13.8">
      <c r="A778" s="118" t="str">
        <f ca="1">IFERROR(__xludf.DUMMYFUNCTION("""COMPUTED_VALUE"""),"HP")</f>
        <v>HP</v>
      </c>
      <c r="B778" s="119" t="str">
        <f ca="1">IFERROR(__xludf.DUMMYFUNCTION("""COMPUTED_VALUE"""),"Harleigh Spencer")</f>
        <v>Harleigh Spencer</v>
      </c>
      <c r="C778" s="118">
        <f ca="1">IFERROR(__xludf.DUMMYFUNCTION("""COMPUTED_VALUE"""),8)</f>
        <v>8</v>
      </c>
      <c r="D778" s="118" t="str">
        <f ca="1">IFERROR(__xludf.DUMMYFUNCTION("""COMPUTED_VALUE"""),"G")</f>
        <v>G</v>
      </c>
      <c r="E778" s="118" t="str">
        <f ca="1">IFERROR(__xludf.DUMMYFUNCTION("""COMPUTED_VALUE"""),"F")</f>
        <v>F</v>
      </c>
      <c r="F778" s="118" t="str">
        <f ca="1">IFERROR(__xludf.DUMMYFUNCTION("""COMPUTED_VALUE"""),"J")</f>
        <v>J</v>
      </c>
      <c r="G778" s="118">
        <f ca="1">IFERROR(__xludf.DUMMYFUNCTION("""COMPUTED_VALUE"""),4)</f>
        <v>4</v>
      </c>
      <c r="H778" s="118" t="str">
        <f ca="1">IFERROR(__xludf.DUMMYFUNCTION("""COMPUTED_VALUE"""),"HP")</f>
        <v>HP</v>
      </c>
      <c r="I778" s="118">
        <f ca="1">IFERROR(__xludf.DUMMYFUNCTION("""COMPUTED_VALUE"""),4)</f>
        <v>4</v>
      </c>
      <c r="J778" s="118">
        <f ca="1">IFERROR(__xludf.DUMMYFUNCTION("""COMPUTED_VALUE"""),3)</f>
        <v>3</v>
      </c>
      <c r="K778" s="120">
        <f ca="1">IFERROR(__xludf.DUMMYFUNCTION("""COMPUTED_VALUE"""),35)</f>
        <v>35</v>
      </c>
      <c r="L778" s="121"/>
      <c r="M778" s="120">
        <f ca="1">IFERROR(__xludf.DUMMYFUNCTION("""COMPUTED_VALUE"""),35)</f>
        <v>35</v>
      </c>
      <c r="N778" s="121"/>
      <c r="O778" s="120"/>
      <c r="P778" s="122"/>
      <c r="Q778" s="123" t="str">
        <f ca="1">IFERROR(__xludf.DUMMYFUNCTION("""COMPUTED_VALUE"""),"Olivia Verdi")</f>
        <v>Olivia Verdi</v>
      </c>
      <c r="R778" s="123"/>
      <c r="S778" s="123" t="str">
        <f ca="1">IFERROR(__xludf.DUMMYFUNCTION("""COMPUTED_VALUE"""),"Lily Boger")</f>
        <v>Lily Boger</v>
      </c>
      <c r="T778" s="123" t="str">
        <f ca="1">IFERROR(__xludf.DUMMYFUNCTION("""COMPUTED_VALUE"""),"Ryan Calligaro")</f>
        <v>Ryan Calligaro</v>
      </c>
    </row>
    <row r="779" spans="1:20" ht="13.8">
      <c r="A779" s="118" t="str">
        <f ca="1">IFERROR(__xludf.DUMMYFUNCTION("""COMPUTED_VALUE"""),"HP")</f>
        <v>HP</v>
      </c>
      <c r="B779" s="119" t="str">
        <f ca="1">IFERROR(__xludf.DUMMYFUNCTION("""COMPUTED_VALUE"""),"Hazel Johnson")</f>
        <v>Hazel Johnson</v>
      </c>
      <c r="C779" s="118">
        <f ca="1">IFERROR(__xludf.DUMMYFUNCTION("""COMPUTED_VALUE"""),7)</f>
        <v>7</v>
      </c>
      <c r="D779" s="118" t="str">
        <f ca="1">IFERROR(__xludf.DUMMYFUNCTION("""COMPUTED_VALUE"""),"G")</f>
        <v>G</v>
      </c>
      <c r="E779" s="118" t="str">
        <f ca="1">IFERROR(__xludf.DUMMYFUNCTION("""COMPUTED_VALUE"""),"F")</f>
        <v>F</v>
      </c>
      <c r="F779" s="118" t="str">
        <f ca="1">IFERROR(__xludf.DUMMYFUNCTION("""COMPUTED_VALUE"""),"J")</f>
        <v>J</v>
      </c>
      <c r="G779" s="118">
        <f ca="1">IFERROR(__xludf.DUMMYFUNCTION("""COMPUTED_VALUE"""),4)</f>
        <v>4</v>
      </c>
      <c r="H779" s="118" t="str">
        <f ca="1">IFERROR(__xludf.DUMMYFUNCTION("""COMPUTED_VALUE"""),"HP")</f>
        <v>HP</v>
      </c>
      <c r="I779" s="118">
        <f ca="1">IFERROR(__xludf.DUMMYFUNCTION("""COMPUTED_VALUE"""),4)</f>
        <v>4</v>
      </c>
      <c r="J779" s="118">
        <f ca="1">IFERROR(__xludf.DUMMYFUNCTION("""COMPUTED_VALUE"""),0)</f>
        <v>0</v>
      </c>
      <c r="K779" s="120"/>
      <c r="L779" s="121"/>
      <c r="M779" s="120"/>
      <c r="N779" s="121"/>
      <c r="O779" s="120"/>
      <c r="P779" s="122"/>
      <c r="Q779" s="123" t="str">
        <f ca="1">IFERROR(__xludf.DUMMYFUNCTION("""COMPUTED_VALUE"""),"Olivia Wisecarver")</f>
        <v>Olivia Wisecarver</v>
      </c>
      <c r="R779" s="123"/>
      <c r="S779" s="123" t="str">
        <f ca="1">IFERROR(__xludf.DUMMYFUNCTION("""COMPUTED_VALUE"""),"Lily Booher")</f>
        <v>Lily Booher</v>
      </c>
      <c r="T779" s="123" t="str">
        <f ca="1">IFERROR(__xludf.DUMMYFUNCTION("""COMPUTED_VALUE"""),"Ryan Foshay")</f>
        <v>Ryan Foshay</v>
      </c>
    </row>
    <row r="780" spans="1:20" ht="13.8">
      <c r="A780" s="118" t="str">
        <f ca="1">IFERROR(__xludf.DUMMYFUNCTION("""COMPUTED_VALUE"""),"HP")</f>
        <v>HP</v>
      </c>
      <c r="B780" s="119" t="str">
        <f ca="1">IFERROR(__xludf.DUMMYFUNCTION("""COMPUTED_VALUE"""),"Kisma Sarsour")</f>
        <v>Kisma Sarsour</v>
      </c>
      <c r="C780" s="118">
        <f ca="1">IFERROR(__xludf.DUMMYFUNCTION("""COMPUTED_VALUE"""),9)</f>
        <v>9</v>
      </c>
      <c r="D780" s="118" t="str">
        <f ca="1">IFERROR(__xludf.DUMMYFUNCTION("""COMPUTED_VALUE"""),"G")</f>
        <v>G</v>
      </c>
      <c r="E780" s="118" t="str">
        <f ca="1">IFERROR(__xludf.DUMMYFUNCTION("""COMPUTED_VALUE"""),"F")</f>
        <v>F</v>
      </c>
      <c r="F780" s="118" t="str">
        <f ca="1">IFERROR(__xludf.DUMMYFUNCTION("""COMPUTED_VALUE"""),"J")</f>
        <v>J</v>
      </c>
      <c r="G780" s="118">
        <f ca="1">IFERROR(__xludf.DUMMYFUNCTION("""COMPUTED_VALUE"""),4)</f>
        <v>4</v>
      </c>
      <c r="H780" s="118" t="str">
        <f ca="1">IFERROR(__xludf.DUMMYFUNCTION("""COMPUTED_VALUE"""),"HP")</f>
        <v>HP</v>
      </c>
      <c r="I780" s="118">
        <f ca="1">IFERROR(__xludf.DUMMYFUNCTION("""COMPUTED_VALUE"""),4)</f>
        <v>4</v>
      </c>
      <c r="J780" s="118">
        <f ca="1">IFERROR(__xludf.DUMMYFUNCTION("""COMPUTED_VALUE"""),1)</f>
        <v>1</v>
      </c>
      <c r="K780" s="120">
        <f ca="1">IFERROR(__xludf.DUMMYFUNCTION("""COMPUTED_VALUE"""),24.05)</f>
        <v>24.05</v>
      </c>
      <c r="L780" s="121"/>
      <c r="M780" s="120">
        <f ca="1">IFERROR(__xludf.DUMMYFUNCTION("""COMPUTED_VALUE"""),24.05)</f>
        <v>24.05</v>
      </c>
      <c r="N780" s="121"/>
      <c r="O780" s="120"/>
      <c r="P780" s="122"/>
      <c r="Q780" s="123" t="str">
        <f ca="1">IFERROR(__xludf.DUMMYFUNCTION("""COMPUTED_VALUE"""),"Orla Powles")</f>
        <v>Orla Powles</v>
      </c>
      <c r="R780" s="123"/>
      <c r="S780" s="123" t="str">
        <f ca="1">IFERROR(__xludf.DUMMYFUNCTION("""COMPUTED_VALUE"""),"Lily Brubeck")</f>
        <v>Lily Brubeck</v>
      </c>
      <c r="T780" s="123" t="str">
        <f ca="1">IFERROR(__xludf.DUMMYFUNCTION("""COMPUTED_VALUE"""),"Ryan Guy")</f>
        <v>Ryan Guy</v>
      </c>
    </row>
    <row r="781" spans="1:20" ht="13.8">
      <c r="A781" s="118" t="str">
        <f ca="1">IFERROR(__xludf.DUMMYFUNCTION("""COMPUTED_VALUE"""),"HP")</f>
        <v>HP</v>
      </c>
      <c r="B781" s="119" t="str">
        <f ca="1">IFERROR(__xludf.DUMMYFUNCTION("""COMPUTED_VALUE"""),"Meredith Turkstra")</f>
        <v>Meredith Turkstra</v>
      </c>
      <c r="C781" s="118">
        <f ca="1">IFERROR(__xludf.DUMMYFUNCTION("""COMPUTED_VALUE"""),7)</f>
        <v>7</v>
      </c>
      <c r="D781" s="118" t="str">
        <f ca="1">IFERROR(__xludf.DUMMYFUNCTION("""COMPUTED_VALUE"""),"G")</f>
        <v>G</v>
      </c>
      <c r="E781" s="118" t="str">
        <f ca="1">IFERROR(__xludf.DUMMYFUNCTION("""COMPUTED_VALUE"""),"F")</f>
        <v>F</v>
      </c>
      <c r="F781" s="118" t="str">
        <f ca="1">IFERROR(__xludf.DUMMYFUNCTION("""COMPUTED_VALUE"""),"J")</f>
        <v>J</v>
      </c>
      <c r="G781" s="118">
        <f ca="1">IFERROR(__xludf.DUMMYFUNCTION("""COMPUTED_VALUE"""),4)</f>
        <v>4</v>
      </c>
      <c r="H781" s="118" t="str">
        <f ca="1">IFERROR(__xludf.DUMMYFUNCTION("""COMPUTED_VALUE"""),"HP")</f>
        <v>HP</v>
      </c>
      <c r="I781" s="118">
        <f ca="1">IFERROR(__xludf.DUMMYFUNCTION("""COMPUTED_VALUE"""),4)</f>
        <v>4</v>
      </c>
      <c r="J781" s="118">
        <f ca="1">IFERROR(__xludf.DUMMYFUNCTION("""COMPUTED_VALUE"""),0)</f>
        <v>0</v>
      </c>
      <c r="K781" s="120"/>
      <c r="L781" s="121"/>
      <c r="M781" s="120"/>
      <c r="N781" s="121"/>
      <c r="O781" s="120"/>
      <c r="P781" s="122"/>
      <c r="Q781" s="123" t="str">
        <f ca="1">IFERROR(__xludf.DUMMYFUNCTION("""COMPUTED_VALUE"""),"Orley Allsbrook")</f>
        <v>Orley Allsbrook</v>
      </c>
      <c r="R781" s="123"/>
      <c r="S781" s="123" t="str">
        <f ca="1">IFERROR(__xludf.DUMMYFUNCTION("""COMPUTED_VALUE"""),"Lily Carpenter")</f>
        <v>Lily Carpenter</v>
      </c>
      <c r="T781" s="123" t="str">
        <f ca="1">IFERROR(__xludf.DUMMYFUNCTION("""COMPUTED_VALUE"""),"Ryan Howsare")</f>
        <v>Ryan Howsare</v>
      </c>
    </row>
    <row r="782" spans="1:20" ht="13.8">
      <c r="A782" s="118" t="str">
        <f ca="1">IFERROR(__xludf.DUMMYFUNCTION("""COMPUTED_VALUE"""),"HP")</f>
        <v>HP</v>
      </c>
      <c r="B782" s="119" t="str">
        <f ca="1">IFERROR(__xludf.DUMMYFUNCTION("""COMPUTED_VALUE"""),"Nora Jandrain")</f>
        <v>Nora Jandrain</v>
      </c>
      <c r="C782" s="118">
        <f ca="1">IFERROR(__xludf.DUMMYFUNCTION("""COMPUTED_VALUE"""),9)</f>
        <v>9</v>
      </c>
      <c r="D782" s="118" t="str">
        <f ca="1">IFERROR(__xludf.DUMMYFUNCTION("""COMPUTED_VALUE"""),"G")</f>
        <v>G</v>
      </c>
      <c r="E782" s="118" t="str">
        <f ca="1">IFERROR(__xludf.DUMMYFUNCTION("""COMPUTED_VALUE"""),"F")</f>
        <v>F</v>
      </c>
      <c r="F782" s="118" t="str">
        <f ca="1">IFERROR(__xludf.DUMMYFUNCTION("""COMPUTED_VALUE"""),"J")</f>
        <v>J</v>
      </c>
      <c r="G782" s="118">
        <f ca="1">IFERROR(__xludf.DUMMYFUNCTION("""COMPUTED_VALUE"""),4)</f>
        <v>4</v>
      </c>
      <c r="H782" s="118" t="str">
        <f ca="1">IFERROR(__xludf.DUMMYFUNCTION("""COMPUTED_VALUE"""),"HP")</f>
        <v>HP</v>
      </c>
      <c r="I782" s="118">
        <f ca="1">IFERROR(__xludf.DUMMYFUNCTION("""COMPUTED_VALUE"""),4)</f>
        <v>4</v>
      </c>
      <c r="J782" s="118">
        <f ca="1">IFERROR(__xludf.DUMMYFUNCTION("""COMPUTED_VALUE"""),4)</f>
        <v>4</v>
      </c>
      <c r="K782" s="120">
        <f ca="1">IFERROR(__xludf.DUMMYFUNCTION("""COMPUTED_VALUE"""),46.8)</f>
        <v>46.8</v>
      </c>
      <c r="L782" s="121"/>
      <c r="M782" s="120">
        <f ca="1">IFERROR(__xludf.DUMMYFUNCTION("""COMPUTED_VALUE"""),42.85)</f>
        <v>42.85</v>
      </c>
      <c r="N782" s="121"/>
      <c r="O782" s="120"/>
      <c r="P782" s="122"/>
      <c r="Q782" s="123" t="str">
        <f ca="1">IFERROR(__xludf.DUMMYFUNCTION("""COMPUTED_VALUE"""),"Paige Lobue")</f>
        <v>Paige Lobue</v>
      </c>
      <c r="R782" s="123"/>
      <c r="S782" s="123" t="str">
        <f ca="1">IFERROR(__xludf.DUMMYFUNCTION("""COMPUTED_VALUE"""),"Lily Dhalla")</f>
        <v>Lily Dhalla</v>
      </c>
      <c r="T782" s="123" t="str">
        <f ca="1">IFERROR(__xludf.DUMMYFUNCTION("""COMPUTED_VALUE"""),"Ryan Kalfus")</f>
        <v>Ryan Kalfus</v>
      </c>
    </row>
    <row r="783" spans="1:20" ht="13.8">
      <c r="A783" s="118" t="str">
        <f ca="1">IFERROR(__xludf.DUMMYFUNCTION("""COMPUTED_VALUE"""),"HP")</f>
        <v>HP</v>
      </c>
      <c r="B783" s="119" t="str">
        <f ca="1">IFERROR(__xludf.DUMMYFUNCTION("""COMPUTED_VALUE"""),"Olive Slother")</f>
        <v>Olive Slother</v>
      </c>
      <c r="C783" s="118">
        <f ca="1">IFERROR(__xludf.DUMMYFUNCTION("""COMPUTED_VALUE"""),7)</f>
        <v>7</v>
      </c>
      <c r="D783" s="118" t="str">
        <f ca="1">IFERROR(__xludf.DUMMYFUNCTION("""COMPUTED_VALUE"""),"G")</f>
        <v>G</v>
      </c>
      <c r="E783" s="118" t="str">
        <f ca="1">IFERROR(__xludf.DUMMYFUNCTION("""COMPUTED_VALUE"""),"F")</f>
        <v>F</v>
      </c>
      <c r="F783" s="118" t="str">
        <f ca="1">IFERROR(__xludf.DUMMYFUNCTION("""COMPUTED_VALUE"""),"J")</f>
        <v>J</v>
      </c>
      <c r="G783" s="118">
        <f ca="1">IFERROR(__xludf.DUMMYFUNCTION("""COMPUTED_VALUE"""),4)</f>
        <v>4</v>
      </c>
      <c r="H783" s="118" t="str">
        <f ca="1">IFERROR(__xludf.DUMMYFUNCTION("""COMPUTED_VALUE"""),"HP")</f>
        <v>HP</v>
      </c>
      <c r="I783" s="118">
        <f ca="1">IFERROR(__xludf.DUMMYFUNCTION("""COMPUTED_VALUE"""),4)</f>
        <v>4</v>
      </c>
      <c r="J783" s="118">
        <f ca="1">IFERROR(__xludf.DUMMYFUNCTION("""COMPUTED_VALUE"""),0)</f>
        <v>0</v>
      </c>
      <c r="K783" s="120"/>
      <c r="L783" s="121"/>
      <c r="M783" s="120"/>
      <c r="N783" s="121"/>
      <c r="O783" s="120"/>
      <c r="P783" s="122"/>
      <c r="Q783" s="123" t="str">
        <f ca="1">IFERROR(__xludf.DUMMYFUNCTION("""COMPUTED_VALUE"""),"Paige Randall")</f>
        <v>Paige Randall</v>
      </c>
      <c r="R783" s="123"/>
      <c r="S783" s="123" t="str">
        <f ca="1">IFERROR(__xludf.DUMMYFUNCTION("""COMPUTED_VALUE"""),"Lily Kissinger")</f>
        <v>Lily Kissinger</v>
      </c>
      <c r="T783" s="123" t="str">
        <f ca="1">IFERROR(__xludf.DUMMYFUNCTION("""COMPUTED_VALUE"""),"Ryan Linegang")</f>
        <v>Ryan Linegang</v>
      </c>
    </row>
    <row r="784" spans="1:20" ht="13.8">
      <c r="A784" s="118" t="str">
        <f ca="1">IFERROR(__xludf.DUMMYFUNCTION("""COMPUTED_VALUE"""),"HP")</f>
        <v>HP</v>
      </c>
      <c r="B784" s="119" t="str">
        <f ca="1">IFERROR(__xludf.DUMMYFUNCTION("""COMPUTED_VALUE"""),"Olivia Jozefczyk")</f>
        <v>Olivia Jozefczyk</v>
      </c>
      <c r="C784" s="118">
        <f ca="1">IFERROR(__xludf.DUMMYFUNCTION("""COMPUTED_VALUE"""),9)</f>
        <v>9</v>
      </c>
      <c r="D784" s="118" t="str">
        <f ca="1">IFERROR(__xludf.DUMMYFUNCTION("""COMPUTED_VALUE"""),"G")</f>
        <v>G</v>
      </c>
      <c r="E784" s="118" t="str">
        <f ca="1">IFERROR(__xludf.DUMMYFUNCTION("""COMPUTED_VALUE"""),"F")</f>
        <v>F</v>
      </c>
      <c r="F784" s="118" t="str">
        <f ca="1">IFERROR(__xludf.DUMMYFUNCTION("""COMPUTED_VALUE"""),"J")</f>
        <v>J</v>
      </c>
      <c r="G784" s="118">
        <f ca="1">IFERROR(__xludf.DUMMYFUNCTION("""COMPUTED_VALUE"""),4)</f>
        <v>4</v>
      </c>
      <c r="H784" s="118" t="str">
        <f ca="1">IFERROR(__xludf.DUMMYFUNCTION("""COMPUTED_VALUE"""),"HP")</f>
        <v>HP</v>
      </c>
      <c r="I784" s="118">
        <f ca="1">IFERROR(__xludf.DUMMYFUNCTION("""COMPUTED_VALUE"""),4)</f>
        <v>4</v>
      </c>
      <c r="J784" s="118">
        <f ca="1">IFERROR(__xludf.DUMMYFUNCTION("""COMPUTED_VALUE"""),3)</f>
        <v>3</v>
      </c>
      <c r="K784" s="120">
        <f ca="1">IFERROR(__xludf.DUMMYFUNCTION("""COMPUTED_VALUE"""),35.45)</f>
        <v>35.450000000000003</v>
      </c>
      <c r="L784" s="121"/>
      <c r="M784" s="120">
        <f ca="1">IFERROR(__xludf.DUMMYFUNCTION("""COMPUTED_VALUE"""),35.45)</f>
        <v>35.450000000000003</v>
      </c>
      <c r="N784" s="121"/>
      <c r="O784" s="120"/>
      <c r="P784" s="122"/>
      <c r="Q784" s="123" t="str">
        <f ca="1">IFERROR(__xludf.DUMMYFUNCTION("""COMPUTED_VALUE"""),"Parker Domnitch")</f>
        <v>Parker Domnitch</v>
      </c>
      <c r="R784" s="123"/>
      <c r="S784" s="123" t="str">
        <f ca="1">IFERROR(__xludf.DUMMYFUNCTION("""COMPUTED_VALUE"""),"Lily Klein")</f>
        <v>Lily Klein</v>
      </c>
      <c r="T784" s="123" t="str">
        <f ca="1">IFERROR(__xludf.DUMMYFUNCTION("""COMPUTED_VALUE"""),"Ryan Mitchell")</f>
        <v>Ryan Mitchell</v>
      </c>
    </row>
    <row r="785" spans="1:20" ht="13.8">
      <c r="A785" s="118" t="str">
        <f ca="1">IFERROR(__xludf.DUMMYFUNCTION("""COMPUTED_VALUE"""),"HP")</f>
        <v>HP</v>
      </c>
      <c r="B785" s="119" t="str">
        <f ca="1">IFERROR(__xludf.DUMMYFUNCTION("""COMPUTED_VALUE"""),"Payton McCarrison")</f>
        <v>Payton McCarrison</v>
      </c>
      <c r="C785" s="118">
        <f ca="1">IFERROR(__xludf.DUMMYFUNCTION("""COMPUTED_VALUE"""),7)</f>
        <v>7</v>
      </c>
      <c r="D785" s="118" t="str">
        <f ca="1">IFERROR(__xludf.DUMMYFUNCTION("""COMPUTED_VALUE"""),"G")</f>
        <v>G</v>
      </c>
      <c r="E785" s="118" t="str">
        <f ca="1">IFERROR(__xludf.DUMMYFUNCTION("""COMPUTED_VALUE"""),"F")</f>
        <v>F</v>
      </c>
      <c r="F785" s="118" t="str">
        <f ca="1">IFERROR(__xludf.DUMMYFUNCTION("""COMPUTED_VALUE"""),"J")</f>
        <v>J</v>
      </c>
      <c r="G785" s="118">
        <f ca="1">IFERROR(__xludf.DUMMYFUNCTION("""COMPUTED_VALUE"""),4)</f>
        <v>4</v>
      </c>
      <c r="H785" s="118" t="str">
        <f ca="1">IFERROR(__xludf.DUMMYFUNCTION("""COMPUTED_VALUE"""),"HP")</f>
        <v>HP</v>
      </c>
      <c r="I785" s="118">
        <f ca="1">IFERROR(__xludf.DUMMYFUNCTION("""COMPUTED_VALUE"""),4)</f>
        <v>4</v>
      </c>
      <c r="J785" s="118">
        <f ca="1">IFERROR(__xludf.DUMMYFUNCTION("""COMPUTED_VALUE"""),1)</f>
        <v>1</v>
      </c>
      <c r="K785" s="120">
        <f ca="1">IFERROR(__xludf.DUMMYFUNCTION("""COMPUTED_VALUE"""),23.1)</f>
        <v>23.1</v>
      </c>
      <c r="L785" s="121"/>
      <c r="M785" s="120">
        <f ca="1">IFERROR(__xludf.DUMMYFUNCTION("""COMPUTED_VALUE"""),23.1)</f>
        <v>23.1</v>
      </c>
      <c r="N785" s="121"/>
      <c r="O785" s="120"/>
      <c r="P785" s="122"/>
      <c r="Q785" s="123" t="str">
        <f ca="1">IFERROR(__xludf.DUMMYFUNCTION("""COMPUTED_VALUE"""),"Parker Georgas")</f>
        <v>Parker Georgas</v>
      </c>
      <c r="R785" s="123"/>
      <c r="S785" s="123" t="str">
        <f ca="1">IFERROR(__xludf.DUMMYFUNCTION("""COMPUTED_VALUE"""),"Lily Larson")</f>
        <v>Lily Larson</v>
      </c>
      <c r="T785" s="123" t="str">
        <f ca="1">IFERROR(__xludf.DUMMYFUNCTION("""COMPUTED_VALUE"""),"Ryan Phung")</f>
        <v>Ryan Phung</v>
      </c>
    </row>
    <row r="786" spans="1:20" ht="13.8">
      <c r="A786" s="118" t="str">
        <f ca="1">IFERROR(__xludf.DUMMYFUNCTION("""COMPUTED_VALUE"""),"HP")</f>
        <v>HP</v>
      </c>
      <c r="B786" s="119" t="str">
        <f ca="1">IFERROR(__xludf.DUMMYFUNCTION("""COMPUTED_VALUE"""),"Sasha Wimpey")</f>
        <v>Sasha Wimpey</v>
      </c>
      <c r="C786" s="118">
        <f ca="1">IFERROR(__xludf.DUMMYFUNCTION("""COMPUTED_VALUE"""),7)</f>
        <v>7</v>
      </c>
      <c r="D786" s="118" t="str">
        <f ca="1">IFERROR(__xludf.DUMMYFUNCTION("""COMPUTED_VALUE"""),"G")</f>
        <v>G</v>
      </c>
      <c r="E786" s="118" t="str">
        <f ca="1">IFERROR(__xludf.DUMMYFUNCTION("""COMPUTED_VALUE"""),"F")</f>
        <v>F</v>
      </c>
      <c r="F786" s="118" t="str">
        <f ca="1">IFERROR(__xludf.DUMMYFUNCTION("""COMPUTED_VALUE"""),"J")</f>
        <v>J</v>
      </c>
      <c r="G786" s="118">
        <f ca="1">IFERROR(__xludf.DUMMYFUNCTION("""COMPUTED_VALUE"""),4)</f>
        <v>4</v>
      </c>
      <c r="H786" s="118" t="str">
        <f ca="1">IFERROR(__xludf.DUMMYFUNCTION("""COMPUTED_VALUE"""),"HP")</f>
        <v>HP</v>
      </c>
      <c r="I786" s="118">
        <f ca="1">IFERROR(__xludf.DUMMYFUNCTION("""COMPUTED_VALUE"""),4)</f>
        <v>4</v>
      </c>
      <c r="J786" s="118">
        <f ca="1">IFERROR(__xludf.DUMMYFUNCTION("""COMPUTED_VALUE"""),4)</f>
        <v>4</v>
      </c>
      <c r="K786" s="120">
        <f ca="1">IFERROR(__xludf.DUMMYFUNCTION("""COMPUTED_VALUE"""),32.6)</f>
        <v>32.6</v>
      </c>
      <c r="L786" s="121"/>
      <c r="M786" s="120">
        <f ca="1">IFERROR(__xludf.DUMMYFUNCTION("""COMPUTED_VALUE"""),27.9)</f>
        <v>27.9</v>
      </c>
      <c r="N786" s="121"/>
      <c r="O786" s="120">
        <f ca="1">IFERROR(__xludf.DUMMYFUNCTION("""COMPUTED_VALUE"""),32.15)</f>
        <v>32.15</v>
      </c>
      <c r="P786" s="122"/>
      <c r="Q786" s="123" t="str">
        <f ca="1">IFERROR(__xludf.DUMMYFUNCTION("""COMPUTED_VALUE"""),"Parker Sachs")</f>
        <v>Parker Sachs</v>
      </c>
      <c r="R786" s="123"/>
      <c r="S786" s="123" t="str">
        <f ca="1">IFERROR(__xludf.DUMMYFUNCTION("""COMPUTED_VALUE"""),"Lily McConnell")</f>
        <v>Lily McConnell</v>
      </c>
      <c r="T786" s="123" t="str">
        <f ca="1">IFERROR(__xludf.DUMMYFUNCTION("""COMPUTED_VALUE"""),"Ryan Wells")</f>
        <v>Ryan Wells</v>
      </c>
    </row>
    <row r="787" spans="1:20" ht="13.8">
      <c r="A787" s="118" t="str">
        <f ca="1">IFERROR(__xludf.DUMMYFUNCTION("""COMPUTED_VALUE"""),"HP")</f>
        <v>HP</v>
      </c>
      <c r="B787" s="119" t="str">
        <f ca="1">IFERROR(__xludf.DUMMYFUNCTION("""COMPUTED_VALUE"""),"Scarlet Johnson")</f>
        <v>Scarlet Johnson</v>
      </c>
      <c r="C787" s="118">
        <f ca="1">IFERROR(__xludf.DUMMYFUNCTION("""COMPUTED_VALUE"""),8)</f>
        <v>8</v>
      </c>
      <c r="D787" s="118" t="str">
        <f ca="1">IFERROR(__xludf.DUMMYFUNCTION("""COMPUTED_VALUE"""),"G")</f>
        <v>G</v>
      </c>
      <c r="E787" s="118" t="str">
        <f ca="1">IFERROR(__xludf.DUMMYFUNCTION("""COMPUTED_VALUE"""),"F")</f>
        <v>F</v>
      </c>
      <c r="F787" s="118" t="str">
        <f ca="1">IFERROR(__xludf.DUMMYFUNCTION("""COMPUTED_VALUE"""),"J")</f>
        <v>J</v>
      </c>
      <c r="G787" s="118">
        <f ca="1">IFERROR(__xludf.DUMMYFUNCTION("""COMPUTED_VALUE"""),4)</f>
        <v>4</v>
      </c>
      <c r="H787" s="118" t="str">
        <f ca="1">IFERROR(__xludf.DUMMYFUNCTION("""COMPUTED_VALUE"""),"HP")</f>
        <v>HP</v>
      </c>
      <c r="I787" s="118">
        <f ca="1">IFERROR(__xludf.DUMMYFUNCTION("""COMPUTED_VALUE"""),4)</f>
        <v>4</v>
      </c>
      <c r="J787" s="118">
        <f ca="1">IFERROR(__xludf.DUMMYFUNCTION("""COMPUTED_VALUE"""),1)</f>
        <v>1</v>
      </c>
      <c r="K787" s="120">
        <f ca="1">IFERROR(__xludf.DUMMYFUNCTION("""COMPUTED_VALUE"""),15.75)</f>
        <v>15.75</v>
      </c>
      <c r="L787" s="121"/>
      <c r="M787" s="120">
        <f ca="1">IFERROR(__xludf.DUMMYFUNCTION("""COMPUTED_VALUE"""),15.75)</f>
        <v>15.75</v>
      </c>
      <c r="N787" s="121"/>
      <c r="O787" s="120"/>
      <c r="P787" s="122"/>
      <c r="Q787" s="123" t="str">
        <f ca="1">IFERROR(__xludf.DUMMYFUNCTION("""COMPUTED_VALUE"""),"Payton Bennett")</f>
        <v>Payton Bennett</v>
      </c>
      <c r="R787" s="123"/>
      <c r="S787" s="123" t="str">
        <f ca="1">IFERROR(__xludf.DUMMYFUNCTION("""COMPUTED_VALUE"""),"Lily Miller")</f>
        <v>Lily Miller</v>
      </c>
      <c r="T787" s="123" t="str">
        <f ca="1">IFERROR(__xludf.DUMMYFUNCTION("""COMPUTED_VALUE"""),"Ryker Ellis")</f>
        <v>Ryker Ellis</v>
      </c>
    </row>
    <row r="788" spans="1:20" ht="13.8">
      <c r="A788" s="118" t="str">
        <f ca="1">IFERROR(__xludf.DUMMYFUNCTION("""COMPUTED_VALUE"""),"HP")</f>
        <v>HP</v>
      </c>
      <c r="B788" s="119" t="str">
        <f ca="1">IFERROR(__xludf.DUMMYFUNCTION("""COMPUTED_VALUE"""),"Violet Pearce")</f>
        <v>Violet Pearce</v>
      </c>
      <c r="C788" s="118">
        <f ca="1">IFERROR(__xludf.DUMMYFUNCTION("""COMPUTED_VALUE"""),7)</f>
        <v>7</v>
      </c>
      <c r="D788" s="118" t="str">
        <f ca="1">IFERROR(__xludf.DUMMYFUNCTION("""COMPUTED_VALUE"""),"G")</f>
        <v>G</v>
      </c>
      <c r="E788" s="118" t="str">
        <f ca="1">IFERROR(__xludf.DUMMYFUNCTION("""COMPUTED_VALUE"""),"F")</f>
        <v>F</v>
      </c>
      <c r="F788" s="118" t="str">
        <f ca="1">IFERROR(__xludf.DUMMYFUNCTION("""COMPUTED_VALUE"""),"J")</f>
        <v>J</v>
      </c>
      <c r="G788" s="118">
        <f ca="1">IFERROR(__xludf.DUMMYFUNCTION("""COMPUTED_VALUE"""),4)</f>
        <v>4</v>
      </c>
      <c r="H788" s="118" t="str">
        <f ca="1">IFERROR(__xludf.DUMMYFUNCTION("""COMPUTED_VALUE"""),"HP")</f>
        <v>HP</v>
      </c>
      <c r="I788" s="118">
        <f ca="1">IFERROR(__xludf.DUMMYFUNCTION("""COMPUTED_VALUE"""),4)</f>
        <v>4</v>
      </c>
      <c r="J788" s="118">
        <f ca="1">IFERROR(__xludf.DUMMYFUNCTION("""COMPUTED_VALUE"""),1)</f>
        <v>1</v>
      </c>
      <c r="K788" s="120"/>
      <c r="L788" s="121"/>
      <c r="M788" s="120"/>
      <c r="N788" s="121"/>
      <c r="O788" s="120"/>
      <c r="P788" s="122"/>
      <c r="Q788" s="123" t="str">
        <f ca="1">IFERROR(__xludf.DUMMYFUNCTION("""COMPUTED_VALUE"""),"Payton McCarrison")</f>
        <v>Payton McCarrison</v>
      </c>
      <c r="R788" s="123"/>
      <c r="S788" s="123" t="str">
        <f ca="1">IFERROR(__xludf.DUMMYFUNCTION("""COMPUTED_VALUE"""),"Lily Sabo")</f>
        <v>Lily Sabo</v>
      </c>
      <c r="T788" s="123" t="str">
        <f ca="1">IFERROR(__xludf.DUMMYFUNCTION("""COMPUTED_VALUE"""),"Salvatore Matias")</f>
        <v>Salvatore Matias</v>
      </c>
    </row>
    <row r="789" spans="1:20" ht="13.8">
      <c r="A789" s="118" t="str">
        <f ca="1">IFERROR(__xludf.DUMMYFUNCTION("""COMPUTED_VALUE"""),"HP")</f>
        <v>HP</v>
      </c>
      <c r="B789" s="119" t="str">
        <f ca="1">IFERROR(__xludf.DUMMYFUNCTION("""COMPUTED_VALUE"""),"Alexander Moch")</f>
        <v>Alexander Moch</v>
      </c>
      <c r="C789" s="118">
        <f ca="1">IFERROR(__xludf.DUMMYFUNCTION("""COMPUTED_VALUE"""),8)</f>
        <v>8</v>
      </c>
      <c r="D789" s="118" t="str">
        <f ca="1">IFERROR(__xludf.DUMMYFUNCTION("""COMPUTED_VALUE"""),"B")</f>
        <v>B</v>
      </c>
      <c r="E789" s="118" t="str">
        <f ca="1">IFERROR(__xludf.DUMMYFUNCTION("""COMPUTED_VALUE"""),"F")</f>
        <v>F</v>
      </c>
      <c r="F789" s="118" t="str">
        <f ca="1">IFERROR(__xludf.DUMMYFUNCTION("""COMPUTED_VALUE"""),"J")</f>
        <v>J</v>
      </c>
      <c r="G789" s="118">
        <f ca="1">IFERROR(__xludf.DUMMYFUNCTION("""COMPUTED_VALUE"""),4)</f>
        <v>4</v>
      </c>
      <c r="H789" s="118" t="str">
        <f ca="1">IFERROR(__xludf.DUMMYFUNCTION("""COMPUTED_VALUE"""),"HP")</f>
        <v>HP</v>
      </c>
      <c r="I789" s="118">
        <f ca="1">IFERROR(__xludf.DUMMYFUNCTION("""COMPUTED_VALUE"""),5)</f>
        <v>5</v>
      </c>
      <c r="J789" s="118">
        <f ca="1">IFERROR(__xludf.DUMMYFUNCTION("""COMPUTED_VALUE"""),0)</f>
        <v>0</v>
      </c>
      <c r="K789" s="120"/>
      <c r="L789" s="121"/>
      <c r="M789" s="120"/>
      <c r="N789" s="121"/>
      <c r="O789" s="120"/>
      <c r="P789" s="122"/>
      <c r="Q789" s="123" t="str">
        <f ca="1">IFERROR(__xludf.DUMMYFUNCTION("""COMPUTED_VALUE"""),"Penelope Cummings")</f>
        <v>Penelope Cummings</v>
      </c>
      <c r="R789" s="123"/>
      <c r="S789" s="123" t="str">
        <f ca="1">IFERROR(__xludf.DUMMYFUNCTION("""COMPUTED_VALUE"""),"Lina Arenstein")</f>
        <v>Lina Arenstein</v>
      </c>
      <c r="T789" s="123" t="str">
        <f ca="1">IFERROR(__xludf.DUMMYFUNCTION("""COMPUTED_VALUE"""),"Sam Carrado")</f>
        <v>Sam Carrado</v>
      </c>
    </row>
    <row r="790" spans="1:20" ht="13.8">
      <c r="A790" s="118" t="str">
        <f ca="1">IFERROR(__xludf.DUMMYFUNCTION("""COMPUTED_VALUE"""),"HP")</f>
        <v>HP</v>
      </c>
      <c r="B790" s="119" t="str">
        <f ca="1">IFERROR(__xludf.DUMMYFUNCTION("""COMPUTED_VALUE"""),"Arthur Jozefczyk")</f>
        <v>Arthur Jozefczyk</v>
      </c>
      <c r="C790" s="118">
        <f ca="1">IFERROR(__xludf.DUMMYFUNCTION("""COMPUTED_VALUE"""),6)</f>
        <v>6</v>
      </c>
      <c r="D790" s="118" t="str">
        <f ca="1">IFERROR(__xludf.DUMMYFUNCTION("""COMPUTED_VALUE"""),"B")</f>
        <v>B</v>
      </c>
      <c r="E790" s="118" t="str">
        <f ca="1">IFERROR(__xludf.DUMMYFUNCTION("""COMPUTED_VALUE"""),"F")</f>
        <v>F</v>
      </c>
      <c r="F790" s="118" t="str">
        <f ca="1">IFERROR(__xludf.DUMMYFUNCTION("""COMPUTED_VALUE"""),"J")</f>
        <v>J</v>
      </c>
      <c r="G790" s="118">
        <f ca="1">IFERROR(__xludf.DUMMYFUNCTION("""COMPUTED_VALUE"""),4)</f>
        <v>4</v>
      </c>
      <c r="H790" s="118" t="str">
        <f ca="1">IFERROR(__xludf.DUMMYFUNCTION("""COMPUTED_VALUE"""),"HP")</f>
        <v>HP</v>
      </c>
      <c r="I790" s="118">
        <f ca="1">IFERROR(__xludf.DUMMYFUNCTION("""COMPUTED_VALUE"""),5)</f>
        <v>5</v>
      </c>
      <c r="J790" s="118">
        <f ca="1">IFERROR(__xludf.DUMMYFUNCTION("""COMPUTED_VALUE"""),1)</f>
        <v>1</v>
      </c>
      <c r="K790" s="120">
        <f ca="1">IFERROR(__xludf.DUMMYFUNCTION("""COMPUTED_VALUE"""),5)</f>
        <v>5</v>
      </c>
      <c r="L790" s="121"/>
      <c r="M790" s="120">
        <f ca="1">IFERROR(__xludf.DUMMYFUNCTION("""COMPUTED_VALUE"""),5)</f>
        <v>5</v>
      </c>
      <c r="N790" s="121"/>
      <c r="O790" s="120"/>
      <c r="P790" s="122"/>
      <c r="Q790" s="123" t="str">
        <f ca="1">IFERROR(__xludf.DUMMYFUNCTION("""COMPUTED_VALUE"""),"Penelope Hodgins")</f>
        <v>Penelope Hodgins</v>
      </c>
      <c r="R790" s="123"/>
      <c r="S790" s="123" t="str">
        <f ca="1">IFERROR(__xludf.DUMMYFUNCTION("""COMPUTED_VALUE"""),"Lina Kamenov")</f>
        <v>Lina Kamenov</v>
      </c>
      <c r="T790" s="123" t="str">
        <f ca="1">IFERROR(__xludf.DUMMYFUNCTION("""COMPUTED_VALUE"""),"Sam Johnson")</f>
        <v>Sam Johnson</v>
      </c>
    </row>
    <row r="791" spans="1:20" ht="13.8">
      <c r="A791" s="118" t="str">
        <f ca="1">IFERROR(__xludf.DUMMYFUNCTION("""COMPUTED_VALUE"""),"HP")</f>
        <v>HP</v>
      </c>
      <c r="B791" s="119" t="str">
        <f ca="1">IFERROR(__xludf.DUMMYFUNCTION("""COMPUTED_VALUE"""),"Declan Fitzsimmons")</f>
        <v>Declan Fitzsimmons</v>
      </c>
      <c r="C791" s="118">
        <f ca="1">IFERROR(__xludf.DUMMYFUNCTION("""COMPUTED_VALUE"""),10)</f>
        <v>10</v>
      </c>
      <c r="D791" s="118" t="str">
        <f ca="1">IFERROR(__xludf.DUMMYFUNCTION("""COMPUTED_VALUE"""),"B")</f>
        <v>B</v>
      </c>
      <c r="E791" s="118" t="str">
        <f ca="1">IFERROR(__xludf.DUMMYFUNCTION("""COMPUTED_VALUE"""),"F")</f>
        <v>F</v>
      </c>
      <c r="F791" s="118" t="str">
        <f ca="1">IFERROR(__xludf.DUMMYFUNCTION("""COMPUTED_VALUE"""),"J")</f>
        <v>J</v>
      </c>
      <c r="G791" s="118">
        <f ca="1">IFERROR(__xludf.DUMMYFUNCTION("""COMPUTED_VALUE"""),4)</f>
        <v>4</v>
      </c>
      <c r="H791" s="118" t="str">
        <f ca="1">IFERROR(__xludf.DUMMYFUNCTION("""COMPUTED_VALUE"""),"HP")</f>
        <v>HP</v>
      </c>
      <c r="I791" s="118">
        <f ca="1">IFERROR(__xludf.DUMMYFUNCTION("""COMPUTED_VALUE"""),5)</f>
        <v>5</v>
      </c>
      <c r="J791" s="118">
        <f ca="1">IFERROR(__xludf.DUMMYFUNCTION("""COMPUTED_VALUE"""),4)</f>
        <v>4</v>
      </c>
      <c r="K791" s="120">
        <f ca="1">IFERROR(__xludf.DUMMYFUNCTION("""COMPUTED_VALUE"""),72.4)</f>
        <v>72.400000000000006</v>
      </c>
      <c r="L791" s="121"/>
      <c r="M791" s="120"/>
      <c r="N791" s="121"/>
      <c r="O791" s="120">
        <f ca="1">IFERROR(__xludf.DUMMYFUNCTION("""COMPUTED_VALUE"""),53.35)</f>
        <v>53.35</v>
      </c>
      <c r="P791" s="122"/>
      <c r="Q791" s="123" t="str">
        <f ca="1">IFERROR(__xludf.DUMMYFUNCTION("""COMPUTED_VALUE"""),"Penelope Ricaldes")</f>
        <v>Penelope Ricaldes</v>
      </c>
      <c r="R791" s="123"/>
      <c r="S791" s="123" t="str">
        <f ca="1">IFERROR(__xludf.DUMMYFUNCTION("""COMPUTED_VALUE"""),"Lindsay Li")</f>
        <v>Lindsay Li</v>
      </c>
      <c r="T791" s="123" t="str">
        <f ca="1">IFERROR(__xludf.DUMMYFUNCTION("""COMPUTED_VALUE"""),"Sam Martin")</f>
        <v>Sam Martin</v>
      </c>
    </row>
    <row r="792" spans="1:20" ht="13.8">
      <c r="A792" s="118" t="str">
        <f ca="1">IFERROR(__xludf.DUMMYFUNCTION("""COMPUTED_VALUE"""),"HP")</f>
        <v>HP</v>
      </c>
      <c r="B792" s="119" t="str">
        <f ca="1">IFERROR(__xludf.DUMMYFUNCTION("""COMPUTED_VALUE"""),"Isacc Peterson")</f>
        <v>Isacc Peterson</v>
      </c>
      <c r="C792" s="118">
        <f ca="1">IFERROR(__xludf.DUMMYFUNCTION("""COMPUTED_VALUE"""),8)</f>
        <v>8</v>
      </c>
      <c r="D792" s="118" t="str">
        <f ca="1">IFERROR(__xludf.DUMMYFUNCTION("""COMPUTED_VALUE"""),"B")</f>
        <v>B</v>
      </c>
      <c r="E792" s="118" t="str">
        <f ca="1">IFERROR(__xludf.DUMMYFUNCTION("""COMPUTED_VALUE"""),"F")</f>
        <v>F</v>
      </c>
      <c r="F792" s="118" t="str">
        <f ca="1">IFERROR(__xludf.DUMMYFUNCTION("""COMPUTED_VALUE"""),"J")</f>
        <v>J</v>
      </c>
      <c r="G792" s="118">
        <f ca="1">IFERROR(__xludf.DUMMYFUNCTION("""COMPUTED_VALUE"""),4)</f>
        <v>4</v>
      </c>
      <c r="H792" s="118" t="str">
        <f ca="1">IFERROR(__xludf.DUMMYFUNCTION("""COMPUTED_VALUE"""),"HP")</f>
        <v>HP</v>
      </c>
      <c r="I792" s="118">
        <f ca="1">IFERROR(__xludf.DUMMYFUNCTION("""COMPUTED_VALUE"""),5)</f>
        <v>5</v>
      </c>
      <c r="J792" s="118">
        <f ca="1">IFERROR(__xludf.DUMMYFUNCTION("""COMPUTED_VALUE"""),1)</f>
        <v>1</v>
      </c>
      <c r="K792" s="120"/>
      <c r="L792" s="121"/>
      <c r="M792" s="120"/>
      <c r="N792" s="121"/>
      <c r="O792" s="120"/>
      <c r="P792" s="122"/>
      <c r="Q792" s="123" t="str">
        <f ca="1">IFERROR(__xludf.DUMMYFUNCTION("""COMPUTED_VALUE"""),"Pennie Erwin")</f>
        <v>Pennie Erwin</v>
      </c>
      <c r="R792" s="123"/>
      <c r="S792" s="123" t="str">
        <f ca="1">IFERROR(__xludf.DUMMYFUNCTION("""COMPUTED_VALUE"""),"Linnea Brolin")</f>
        <v>Linnea Brolin</v>
      </c>
      <c r="T792" s="123" t="str">
        <f ca="1">IFERROR(__xludf.DUMMYFUNCTION("""COMPUTED_VALUE"""),"Sam Mulchandani")</f>
        <v>Sam Mulchandani</v>
      </c>
    </row>
    <row r="793" spans="1:20" ht="13.8">
      <c r="A793" s="118" t="str">
        <f ca="1">IFERROR(__xludf.DUMMYFUNCTION("""COMPUTED_VALUE"""),"HP")</f>
        <v>HP</v>
      </c>
      <c r="B793" s="119" t="str">
        <f ca="1">IFERROR(__xludf.DUMMYFUNCTION("""COMPUTED_VALUE"""),"Josh Hirsch")</f>
        <v>Josh Hirsch</v>
      </c>
      <c r="C793" s="118">
        <f ca="1">IFERROR(__xludf.DUMMYFUNCTION("""COMPUTED_VALUE"""),7)</f>
        <v>7</v>
      </c>
      <c r="D793" s="118" t="str">
        <f ca="1">IFERROR(__xludf.DUMMYFUNCTION("""COMPUTED_VALUE"""),"B")</f>
        <v>B</v>
      </c>
      <c r="E793" s="118" t="str">
        <f ca="1">IFERROR(__xludf.DUMMYFUNCTION("""COMPUTED_VALUE"""),"F")</f>
        <v>F</v>
      </c>
      <c r="F793" s="118" t="str">
        <f ca="1">IFERROR(__xludf.DUMMYFUNCTION("""COMPUTED_VALUE"""),"J")</f>
        <v>J</v>
      </c>
      <c r="G793" s="118">
        <f ca="1">IFERROR(__xludf.DUMMYFUNCTION("""COMPUTED_VALUE"""),4)</f>
        <v>4</v>
      </c>
      <c r="H793" s="118" t="str">
        <f ca="1">IFERROR(__xludf.DUMMYFUNCTION("""COMPUTED_VALUE"""),"HP")</f>
        <v>HP</v>
      </c>
      <c r="I793" s="118">
        <f ca="1">IFERROR(__xludf.DUMMYFUNCTION("""COMPUTED_VALUE"""),5)</f>
        <v>5</v>
      </c>
      <c r="J793" s="118">
        <f ca="1">IFERROR(__xludf.DUMMYFUNCTION("""COMPUTED_VALUE"""),0)</f>
        <v>0</v>
      </c>
      <c r="K793" s="120"/>
      <c r="L793" s="121"/>
      <c r="M793" s="120"/>
      <c r="N793" s="121"/>
      <c r="O793" s="120"/>
      <c r="P793" s="122"/>
      <c r="Q793" s="123" t="str">
        <f ca="1">IFERROR(__xludf.DUMMYFUNCTION("""COMPUTED_VALUE"""),"Penny Cotter")</f>
        <v>Penny Cotter</v>
      </c>
      <c r="R793" s="123"/>
      <c r="S793" s="123" t="str">
        <f ca="1">IFERROR(__xludf.DUMMYFUNCTION("""COMPUTED_VALUE"""),"Liv Freeman")</f>
        <v>Liv Freeman</v>
      </c>
      <c r="T793" s="123" t="str">
        <f ca="1">IFERROR(__xludf.DUMMYFUNCTION("""COMPUTED_VALUE"""),"Sam Rosser")</f>
        <v>Sam Rosser</v>
      </c>
    </row>
    <row r="794" spans="1:20" ht="13.8">
      <c r="A794" s="118" t="str">
        <f ca="1">IFERROR(__xludf.DUMMYFUNCTION("""COMPUTED_VALUE"""),"HP")</f>
        <v>HP</v>
      </c>
      <c r="B794" s="119" t="str">
        <f ca="1">IFERROR(__xludf.DUMMYFUNCTION("""COMPUTED_VALUE"""),"Nolan Walsh")</f>
        <v>Nolan Walsh</v>
      </c>
      <c r="C794" s="118">
        <f ca="1">IFERROR(__xludf.DUMMYFUNCTION("""COMPUTED_VALUE"""),6)</f>
        <v>6</v>
      </c>
      <c r="D794" s="118" t="str">
        <f ca="1">IFERROR(__xludf.DUMMYFUNCTION("""COMPUTED_VALUE"""),"B")</f>
        <v>B</v>
      </c>
      <c r="E794" s="118" t="str">
        <f ca="1">IFERROR(__xludf.DUMMYFUNCTION("""COMPUTED_VALUE"""),"F")</f>
        <v>F</v>
      </c>
      <c r="F794" s="118" t="str">
        <f ca="1">IFERROR(__xludf.DUMMYFUNCTION("""COMPUTED_VALUE"""),"J")</f>
        <v>J</v>
      </c>
      <c r="G794" s="118">
        <f ca="1">IFERROR(__xludf.DUMMYFUNCTION("""COMPUTED_VALUE"""),4)</f>
        <v>4</v>
      </c>
      <c r="H794" s="118" t="str">
        <f ca="1">IFERROR(__xludf.DUMMYFUNCTION("""COMPUTED_VALUE"""),"HP")</f>
        <v>HP</v>
      </c>
      <c r="I794" s="118">
        <f ca="1">IFERROR(__xludf.DUMMYFUNCTION("""COMPUTED_VALUE"""),5)</f>
        <v>5</v>
      </c>
      <c r="J794" s="118">
        <f ca="1">IFERROR(__xludf.DUMMYFUNCTION("""COMPUTED_VALUE"""),2)</f>
        <v>2</v>
      </c>
      <c r="K794" s="120">
        <f ca="1">IFERROR(__xludf.DUMMYFUNCTION("""COMPUTED_VALUE"""),21.05)</f>
        <v>21.05</v>
      </c>
      <c r="L794" s="121"/>
      <c r="M794" s="120">
        <f ca="1">IFERROR(__xludf.DUMMYFUNCTION("""COMPUTED_VALUE"""),21.05)</f>
        <v>21.05</v>
      </c>
      <c r="N794" s="121"/>
      <c r="O794" s="120">
        <f ca="1">IFERROR(__xludf.DUMMYFUNCTION("""COMPUTED_VALUE"""),16)</f>
        <v>16</v>
      </c>
      <c r="P794" s="122"/>
      <c r="Q794" s="123" t="str">
        <f ca="1">IFERROR(__xludf.DUMMYFUNCTION("""COMPUTED_VALUE"""),"Penny Fairchild")</f>
        <v>Penny Fairchild</v>
      </c>
      <c r="R794" s="123"/>
      <c r="S794" s="123" t="str">
        <f ca="1">IFERROR(__xludf.DUMMYFUNCTION("""COMPUTED_VALUE"""),"Livy Jane Abbey")</f>
        <v>Livy Jane Abbey</v>
      </c>
      <c r="T794" s="123" t="str">
        <f ca="1">IFERROR(__xludf.DUMMYFUNCTION("""COMPUTED_VALUE"""),"Sam Signer")</f>
        <v>Sam Signer</v>
      </c>
    </row>
    <row r="795" spans="1:20" ht="13.8">
      <c r="A795" s="118" t="str">
        <f ca="1">IFERROR(__xludf.DUMMYFUNCTION("""COMPUTED_VALUE"""),"HP")</f>
        <v>HP</v>
      </c>
      <c r="B795" s="119" t="str">
        <f ca="1">IFERROR(__xludf.DUMMYFUNCTION("""COMPUTED_VALUE"""),"Sean Tighe")</f>
        <v>Sean Tighe</v>
      </c>
      <c r="C795" s="118">
        <f ca="1">IFERROR(__xludf.DUMMYFUNCTION("""COMPUTED_VALUE"""),8)</f>
        <v>8</v>
      </c>
      <c r="D795" s="118" t="str">
        <f ca="1">IFERROR(__xludf.DUMMYFUNCTION("""COMPUTED_VALUE"""),"B")</f>
        <v>B</v>
      </c>
      <c r="E795" s="118" t="str">
        <f ca="1">IFERROR(__xludf.DUMMYFUNCTION("""COMPUTED_VALUE"""),"F")</f>
        <v>F</v>
      </c>
      <c r="F795" s="118" t="str">
        <f ca="1">IFERROR(__xludf.DUMMYFUNCTION("""COMPUTED_VALUE"""),"J")</f>
        <v>J</v>
      </c>
      <c r="G795" s="118">
        <f ca="1">IFERROR(__xludf.DUMMYFUNCTION("""COMPUTED_VALUE"""),4)</f>
        <v>4</v>
      </c>
      <c r="H795" s="118" t="str">
        <f ca="1">IFERROR(__xludf.DUMMYFUNCTION("""COMPUTED_VALUE"""),"HP")</f>
        <v>HP</v>
      </c>
      <c r="I795" s="118">
        <f ca="1">IFERROR(__xludf.DUMMYFUNCTION("""COMPUTED_VALUE"""),5)</f>
        <v>5</v>
      </c>
      <c r="J795" s="118">
        <f ca="1">IFERROR(__xludf.DUMMYFUNCTION("""COMPUTED_VALUE"""),4)</f>
        <v>4</v>
      </c>
      <c r="K795" s="120">
        <f ca="1">IFERROR(__xludf.DUMMYFUNCTION("""COMPUTED_VALUE"""),36.7)</f>
        <v>36.700000000000003</v>
      </c>
      <c r="L795" s="121"/>
      <c r="M795" s="120">
        <f ca="1">IFERROR(__xludf.DUMMYFUNCTION("""COMPUTED_VALUE"""),28)</f>
        <v>28</v>
      </c>
      <c r="N795" s="121"/>
      <c r="O795" s="120">
        <f ca="1">IFERROR(__xludf.DUMMYFUNCTION("""COMPUTED_VALUE"""),34.2)</f>
        <v>34.200000000000003</v>
      </c>
      <c r="P795" s="122"/>
      <c r="Q795" s="123" t="str">
        <f ca="1">IFERROR(__xludf.DUMMYFUNCTION("""COMPUTED_VALUE"""),"Perrin Malko")</f>
        <v>Perrin Malko</v>
      </c>
      <c r="R795" s="123"/>
      <c r="S795" s="123" t="str">
        <f ca="1">IFERROR(__xludf.DUMMYFUNCTION("""COMPUTED_VALUE"""),"Liyat Amman")</f>
        <v>Liyat Amman</v>
      </c>
      <c r="T795" s="123" t="str">
        <f ca="1">IFERROR(__xludf.DUMMYFUNCTION("""COMPUTED_VALUE"""),"Sam Stankus")</f>
        <v>Sam Stankus</v>
      </c>
    </row>
    <row r="796" spans="1:20" ht="13.8">
      <c r="A796" s="118" t="str">
        <f ca="1">IFERROR(__xludf.DUMMYFUNCTION("""COMPUTED_VALUE"""),"HP")</f>
        <v>HP</v>
      </c>
      <c r="B796" s="119" t="str">
        <f ca="1">IFERROR(__xludf.DUMMYFUNCTION("""COMPUTED_VALUE"""),"Eleanor Howell")</f>
        <v>Eleanor Howell</v>
      </c>
      <c r="C796" s="118">
        <f ca="1">IFERROR(__xludf.DUMMYFUNCTION("""COMPUTED_VALUE"""),11)</f>
        <v>11</v>
      </c>
      <c r="D796" s="118" t="str">
        <f ca="1">IFERROR(__xludf.DUMMYFUNCTION("""COMPUTED_VALUE"""),"G")</f>
        <v>G</v>
      </c>
      <c r="E796" s="118" t="str">
        <f ca="1">IFERROR(__xludf.DUMMYFUNCTION("""COMPUTED_VALUE"""),"J")</f>
        <v>J</v>
      </c>
      <c r="F796" s="118" t="str">
        <f ca="1">IFERROR(__xludf.DUMMYFUNCTION("""COMPUTED_VALUE"""),"I")</f>
        <v>I</v>
      </c>
      <c r="G796" s="118">
        <f ca="1">IFERROR(__xludf.DUMMYFUNCTION("""COMPUTED_VALUE"""),4)</f>
        <v>4</v>
      </c>
      <c r="H796" s="118" t="str">
        <f ca="1">IFERROR(__xludf.DUMMYFUNCTION("""COMPUTED_VALUE"""),"HP")</f>
        <v>HP</v>
      </c>
      <c r="I796" s="118">
        <f ca="1">IFERROR(__xludf.DUMMYFUNCTION("""COMPUTED_VALUE"""),6)</f>
        <v>6</v>
      </c>
      <c r="J796" s="118">
        <f ca="1">IFERROR(__xludf.DUMMYFUNCTION("""COMPUTED_VALUE"""),2)</f>
        <v>2</v>
      </c>
      <c r="K796" s="120">
        <f ca="1">IFERROR(__xludf.DUMMYFUNCTION("""COMPUTED_VALUE"""),59.45)</f>
        <v>59.45</v>
      </c>
      <c r="L796" s="121"/>
      <c r="M796" s="120"/>
      <c r="N796" s="121"/>
      <c r="O796" s="120"/>
      <c r="P796" s="122"/>
      <c r="Q796" s="123" t="str">
        <f ca="1">IFERROR(__xludf.DUMMYFUNCTION("""COMPUTED_VALUE"""),"Peyton Ma")</f>
        <v>Peyton Ma</v>
      </c>
      <c r="R796" s="123"/>
      <c r="S796" s="123" t="str">
        <f ca="1">IFERROR(__xludf.DUMMYFUNCTION("""COMPUTED_VALUE"""),"Liza Ferguson")</f>
        <v>Liza Ferguson</v>
      </c>
      <c r="T796" s="123" t="str">
        <f ca="1">IFERROR(__xludf.DUMMYFUNCTION("""COMPUTED_VALUE"""),"Sam Thoman")</f>
        <v>Sam Thoman</v>
      </c>
    </row>
    <row r="797" spans="1:20" ht="13.8">
      <c r="A797" s="118" t="str">
        <f ca="1">IFERROR(__xludf.DUMMYFUNCTION("""COMPUTED_VALUE"""),"HP")</f>
        <v>HP</v>
      </c>
      <c r="B797" s="119" t="str">
        <f ca="1">IFERROR(__xludf.DUMMYFUNCTION("""COMPUTED_VALUE"""),"Leah Jandrain")</f>
        <v>Leah Jandrain</v>
      </c>
      <c r="C797" s="118">
        <f ca="1">IFERROR(__xludf.DUMMYFUNCTION("""COMPUTED_VALUE"""),11)</f>
        <v>11</v>
      </c>
      <c r="D797" s="118" t="str">
        <f ca="1">IFERROR(__xludf.DUMMYFUNCTION("""COMPUTED_VALUE"""),"G")</f>
        <v>G</v>
      </c>
      <c r="E797" s="118" t="str">
        <f ca="1">IFERROR(__xludf.DUMMYFUNCTION("""COMPUTED_VALUE"""),"J")</f>
        <v>J</v>
      </c>
      <c r="F797" s="118" t="str">
        <f ca="1">IFERROR(__xludf.DUMMYFUNCTION("""COMPUTED_VALUE"""),"I")</f>
        <v>I</v>
      </c>
      <c r="G797" s="118">
        <f ca="1">IFERROR(__xludf.DUMMYFUNCTION("""COMPUTED_VALUE"""),4)</f>
        <v>4</v>
      </c>
      <c r="H797" s="118" t="str">
        <f ca="1">IFERROR(__xludf.DUMMYFUNCTION("""COMPUTED_VALUE"""),"HP")</f>
        <v>HP</v>
      </c>
      <c r="I797" s="118">
        <f ca="1">IFERROR(__xludf.DUMMYFUNCTION("""COMPUTED_VALUE"""),6)</f>
        <v>6</v>
      </c>
      <c r="J797" s="118">
        <f ca="1">IFERROR(__xludf.DUMMYFUNCTION("""COMPUTED_VALUE"""),4)</f>
        <v>4</v>
      </c>
      <c r="K797" s="120">
        <f ca="1">IFERROR(__xludf.DUMMYFUNCTION("""COMPUTED_VALUE"""),90.05)</f>
        <v>90.05</v>
      </c>
      <c r="L797" s="121"/>
      <c r="M797" s="120">
        <f ca="1">IFERROR(__xludf.DUMMYFUNCTION("""COMPUTED_VALUE"""),90.05)</f>
        <v>90.05</v>
      </c>
      <c r="N797" s="121"/>
      <c r="O797" s="120"/>
      <c r="P797" s="122"/>
      <c r="Q797" s="123" t="str">
        <f ca="1">IFERROR(__xludf.DUMMYFUNCTION("""COMPUTED_VALUE"""),"Phoebe Guy")</f>
        <v>Phoebe Guy</v>
      </c>
      <c r="R797" s="123"/>
      <c r="S797" s="123" t="str">
        <f ca="1">IFERROR(__xludf.DUMMYFUNCTION("""COMPUTED_VALUE"""),"Lizzy Brown")</f>
        <v>Lizzy Brown</v>
      </c>
      <c r="T797" s="123" t="str">
        <f ca="1">IFERROR(__xludf.DUMMYFUNCTION("""COMPUTED_VALUE"""),"Sam Zarechnak")</f>
        <v>Sam Zarechnak</v>
      </c>
    </row>
    <row r="798" spans="1:20" ht="13.8">
      <c r="A798" s="118" t="str">
        <f ca="1">IFERROR(__xludf.DUMMYFUNCTION("""COMPUTED_VALUE"""),"HP")</f>
        <v>HP</v>
      </c>
      <c r="B798" s="119" t="str">
        <f ca="1">IFERROR(__xludf.DUMMYFUNCTION("""COMPUTED_VALUE"""),"Mouse Guy")</f>
        <v>Mouse Guy</v>
      </c>
      <c r="C798" s="118">
        <f ca="1">IFERROR(__xludf.DUMMYFUNCTION("""COMPUTED_VALUE"""),11)</f>
        <v>11</v>
      </c>
      <c r="D798" s="118" t="str">
        <f ca="1">IFERROR(__xludf.DUMMYFUNCTION("""COMPUTED_VALUE"""),"G")</f>
        <v>G</v>
      </c>
      <c r="E798" s="118" t="str">
        <f ca="1">IFERROR(__xludf.DUMMYFUNCTION("""COMPUTED_VALUE"""),"J")</f>
        <v>J</v>
      </c>
      <c r="F798" s="118" t="str">
        <f ca="1">IFERROR(__xludf.DUMMYFUNCTION("""COMPUTED_VALUE"""),"I")</f>
        <v>I</v>
      </c>
      <c r="G798" s="118">
        <f ca="1">IFERROR(__xludf.DUMMYFUNCTION("""COMPUTED_VALUE"""),4)</f>
        <v>4</v>
      </c>
      <c r="H798" s="118" t="str">
        <f ca="1">IFERROR(__xludf.DUMMYFUNCTION("""COMPUTED_VALUE"""),"HP")</f>
        <v>HP</v>
      </c>
      <c r="I798" s="118">
        <f ca="1">IFERROR(__xludf.DUMMYFUNCTION("""COMPUTED_VALUE"""),6)</f>
        <v>6</v>
      </c>
      <c r="J798" s="118">
        <f ca="1">IFERROR(__xludf.DUMMYFUNCTION("""COMPUTED_VALUE"""),5)</f>
        <v>5</v>
      </c>
      <c r="K798" s="120">
        <f ca="1">IFERROR(__xludf.DUMMYFUNCTION("""COMPUTED_VALUE"""),103.25)</f>
        <v>103.25</v>
      </c>
      <c r="L798" s="121"/>
      <c r="M798" s="120">
        <f ca="1">IFERROR(__xludf.DUMMYFUNCTION("""COMPUTED_VALUE"""),88.45)</f>
        <v>88.45</v>
      </c>
      <c r="N798" s="121"/>
      <c r="O798" s="120">
        <f ca="1">IFERROR(__xludf.DUMMYFUNCTION("""COMPUTED_VALUE"""),72.55)</f>
        <v>72.55</v>
      </c>
      <c r="P798" s="122"/>
      <c r="Q798" s="123" t="str">
        <f ca="1">IFERROR(__xludf.DUMMYFUNCTION("""COMPUTED_VALUE"""),"Phoebe Jeffery")</f>
        <v>Phoebe Jeffery</v>
      </c>
      <c r="R798" s="123"/>
      <c r="S798" s="123" t="str">
        <f ca="1">IFERROR(__xludf.DUMMYFUNCTION("""COMPUTED_VALUE"""),"London Duckett")</f>
        <v>London Duckett</v>
      </c>
      <c r="T798" s="123" t="str">
        <f ca="1">IFERROR(__xludf.DUMMYFUNCTION("""COMPUTED_VALUE"""),"Sami Ramon")</f>
        <v>Sami Ramon</v>
      </c>
    </row>
    <row r="799" spans="1:20" ht="13.8">
      <c r="A799" s="118" t="str">
        <f ca="1">IFERROR(__xludf.DUMMYFUNCTION("""COMPUTED_VALUE"""),"HP")</f>
        <v>HP</v>
      </c>
      <c r="B799" s="119" t="str">
        <f ca="1">IFERROR(__xludf.DUMMYFUNCTION("""COMPUTED_VALUE"""),"Phoebe Guy")</f>
        <v>Phoebe Guy</v>
      </c>
      <c r="C799" s="118">
        <f ca="1">IFERROR(__xludf.DUMMYFUNCTION("""COMPUTED_VALUE"""),12)</f>
        <v>12</v>
      </c>
      <c r="D799" s="118" t="str">
        <f ca="1">IFERROR(__xludf.DUMMYFUNCTION("""COMPUTED_VALUE"""),"G")</f>
        <v>G</v>
      </c>
      <c r="E799" s="118" t="str">
        <f ca="1">IFERROR(__xludf.DUMMYFUNCTION("""COMPUTED_VALUE"""),"J")</f>
        <v>J</v>
      </c>
      <c r="F799" s="118" t="str">
        <f ca="1">IFERROR(__xludf.DUMMYFUNCTION("""COMPUTED_VALUE"""),"I")</f>
        <v>I</v>
      </c>
      <c r="G799" s="118">
        <f ca="1">IFERROR(__xludf.DUMMYFUNCTION("""COMPUTED_VALUE"""),4)</f>
        <v>4</v>
      </c>
      <c r="H799" s="118" t="str">
        <f ca="1">IFERROR(__xludf.DUMMYFUNCTION("""COMPUTED_VALUE"""),"HP")</f>
        <v>HP</v>
      </c>
      <c r="I799" s="118">
        <f ca="1">IFERROR(__xludf.DUMMYFUNCTION("""COMPUTED_VALUE"""),6)</f>
        <v>6</v>
      </c>
      <c r="J799" s="118">
        <f ca="1">IFERROR(__xludf.DUMMYFUNCTION("""COMPUTED_VALUE"""),5)</f>
        <v>5</v>
      </c>
      <c r="K799" s="120">
        <f ca="1">IFERROR(__xludf.DUMMYFUNCTION("""COMPUTED_VALUE"""),51.9)</f>
        <v>51.9</v>
      </c>
      <c r="L799" s="121"/>
      <c r="M799" s="120">
        <f ca="1">IFERROR(__xludf.DUMMYFUNCTION("""COMPUTED_VALUE"""),51.9)</f>
        <v>51.9</v>
      </c>
      <c r="N799" s="121"/>
      <c r="O799" s="120">
        <f ca="1">IFERROR(__xludf.DUMMYFUNCTION("""COMPUTED_VALUE"""),41.05)</f>
        <v>41.05</v>
      </c>
      <c r="P799" s="122"/>
      <c r="Q799" s="123" t="str">
        <f ca="1">IFERROR(__xludf.DUMMYFUNCTION("""COMPUTED_VALUE"""),"Pippa Chin-Fatt")</f>
        <v>Pippa Chin-Fatt</v>
      </c>
      <c r="R799" s="123"/>
      <c r="S799" s="123" t="str">
        <f ca="1">IFERROR(__xludf.DUMMYFUNCTION("""COMPUTED_VALUE"""),"Lora Berkeley Macaranas")</f>
        <v>Lora Berkeley Macaranas</v>
      </c>
      <c r="T799" s="123" t="str">
        <f ca="1">IFERROR(__xludf.DUMMYFUNCTION("""COMPUTED_VALUE"""),"Samuel Gonzales")</f>
        <v>Samuel Gonzales</v>
      </c>
    </row>
    <row r="800" spans="1:20" ht="13.8">
      <c r="A800" s="118" t="str">
        <f ca="1">IFERROR(__xludf.DUMMYFUNCTION("""COMPUTED_VALUE"""),"HP")</f>
        <v>HP</v>
      </c>
      <c r="B800" s="119" t="str">
        <f ca="1">IFERROR(__xludf.DUMMYFUNCTION("""COMPUTED_VALUE"""),"Ben Margolis")</f>
        <v>Ben Margolis</v>
      </c>
      <c r="C800" s="118">
        <f ca="1">IFERROR(__xludf.DUMMYFUNCTION("""COMPUTED_VALUE"""),12)</f>
        <v>12</v>
      </c>
      <c r="D800" s="118" t="str">
        <f ca="1">IFERROR(__xludf.DUMMYFUNCTION("""COMPUTED_VALUE"""),"B")</f>
        <v>B</v>
      </c>
      <c r="E800" s="118" t="str">
        <f ca="1">IFERROR(__xludf.DUMMYFUNCTION("""COMPUTED_VALUE"""),"J")</f>
        <v>J</v>
      </c>
      <c r="F800" s="118" t="str">
        <f ca="1">IFERROR(__xludf.DUMMYFUNCTION("""COMPUTED_VALUE"""),"I")</f>
        <v>I</v>
      </c>
      <c r="G800" s="118">
        <f ca="1">IFERROR(__xludf.DUMMYFUNCTION("""COMPUTED_VALUE"""),4)</f>
        <v>4</v>
      </c>
      <c r="H800" s="118" t="str">
        <f ca="1">IFERROR(__xludf.DUMMYFUNCTION("""COMPUTED_VALUE"""),"HP")</f>
        <v>HP</v>
      </c>
      <c r="I800" s="118">
        <f ca="1">IFERROR(__xludf.DUMMYFUNCTION("""COMPUTED_VALUE"""),7)</f>
        <v>7</v>
      </c>
      <c r="J800" s="118">
        <f ca="1">IFERROR(__xludf.DUMMYFUNCTION("""COMPUTED_VALUE"""),5)</f>
        <v>5</v>
      </c>
      <c r="K800" s="120">
        <f ca="1">IFERROR(__xludf.DUMMYFUNCTION("""COMPUTED_VALUE"""),86.3)</f>
        <v>86.3</v>
      </c>
      <c r="L800" s="121"/>
      <c r="M800" s="120">
        <f ca="1">IFERROR(__xludf.DUMMYFUNCTION("""COMPUTED_VALUE"""),73.8)</f>
        <v>73.8</v>
      </c>
      <c r="N800" s="121"/>
      <c r="O800" s="120">
        <f ca="1">IFERROR(__xludf.DUMMYFUNCTION("""COMPUTED_VALUE"""),-96.65)</f>
        <v>-96.65</v>
      </c>
      <c r="P800" s="122"/>
      <c r="Q800" s="123" t="str">
        <f ca="1">IFERROR(__xludf.DUMMYFUNCTION("""COMPUTED_VALUE"""),"Polina Lisnik")</f>
        <v>Polina Lisnik</v>
      </c>
      <c r="R800" s="123"/>
      <c r="S800" s="123" t="str">
        <f ca="1">IFERROR(__xludf.DUMMYFUNCTION("""COMPUTED_VALUE"""),"Lorelei Powell")</f>
        <v>Lorelei Powell</v>
      </c>
      <c r="T800" s="123" t="str">
        <f ca="1">IFERROR(__xludf.DUMMYFUNCTION("""COMPUTED_VALUE"""),"Samuel Kim")</f>
        <v>Samuel Kim</v>
      </c>
    </row>
    <row r="801" spans="1:20" ht="13.8">
      <c r="A801" s="118" t="str">
        <f ca="1">IFERROR(__xludf.DUMMYFUNCTION("""COMPUTED_VALUE"""),"HP")</f>
        <v>HP</v>
      </c>
      <c r="B801" s="119" t="str">
        <f ca="1">IFERROR(__xludf.DUMMYFUNCTION("""COMPUTED_VALUE"""),"Cameron Cohen")</f>
        <v>Cameron Cohen</v>
      </c>
      <c r="C801" s="118">
        <f ca="1">IFERROR(__xludf.DUMMYFUNCTION("""COMPUTED_VALUE"""),11)</f>
        <v>11</v>
      </c>
      <c r="D801" s="118" t="str">
        <f ca="1">IFERROR(__xludf.DUMMYFUNCTION("""COMPUTED_VALUE"""),"B")</f>
        <v>B</v>
      </c>
      <c r="E801" s="118" t="str">
        <f ca="1">IFERROR(__xludf.DUMMYFUNCTION("""COMPUTED_VALUE"""),"J")</f>
        <v>J</v>
      </c>
      <c r="F801" s="118" t="str">
        <f ca="1">IFERROR(__xludf.DUMMYFUNCTION("""COMPUTED_VALUE"""),"I")</f>
        <v>I</v>
      </c>
      <c r="G801" s="118">
        <f ca="1">IFERROR(__xludf.DUMMYFUNCTION("""COMPUTED_VALUE"""),4)</f>
        <v>4</v>
      </c>
      <c r="H801" s="118" t="str">
        <f ca="1">IFERROR(__xludf.DUMMYFUNCTION("""COMPUTED_VALUE"""),"HP")</f>
        <v>HP</v>
      </c>
      <c r="I801" s="118">
        <f ca="1">IFERROR(__xludf.DUMMYFUNCTION("""COMPUTED_VALUE"""),7)</f>
        <v>7</v>
      </c>
      <c r="J801" s="118">
        <f ca="1">IFERROR(__xludf.DUMMYFUNCTION("""COMPUTED_VALUE"""),4)</f>
        <v>4</v>
      </c>
      <c r="K801" s="120">
        <f ca="1">IFERROR(__xludf.DUMMYFUNCTION("""COMPUTED_VALUE"""),67.05)</f>
        <v>67.05</v>
      </c>
      <c r="L801" s="121"/>
      <c r="M801" s="120">
        <f ca="1">IFERROR(__xludf.DUMMYFUNCTION("""COMPUTED_VALUE"""),67.05)</f>
        <v>67.05</v>
      </c>
      <c r="N801" s="121"/>
      <c r="O801" s="120">
        <f ca="1">IFERROR(__xludf.DUMMYFUNCTION("""COMPUTED_VALUE"""),62.05)</f>
        <v>62.05</v>
      </c>
      <c r="P801" s="122"/>
      <c r="Q801" s="123" t="str">
        <f ca="1">IFERROR(__xludf.DUMMYFUNCTION("""COMPUTED_VALUE"""),"Pranitha Reddy Vempalli")</f>
        <v>Pranitha Reddy Vempalli</v>
      </c>
      <c r="R801" s="123"/>
      <c r="S801" s="123" t="str">
        <f ca="1">IFERROR(__xludf.DUMMYFUNCTION("""COMPUTED_VALUE"""),"Lottie Robert")</f>
        <v>Lottie Robert</v>
      </c>
      <c r="T801" s="123" t="str">
        <f ca="1">IFERROR(__xludf.DUMMYFUNCTION("""COMPUTED_VALUE"""),"Samuel Rempe")</f>
        <v>Samuel Rempe</v>
      </c>
    </row>
    <row r="802" spans="1:20" ht="13.8">
      <c r="A802" s="118" t="str">
        <f ca="1">IFERROR(__xludf.DUMMYFUNCTION("""COMPUTED_VALUE"""),"HP")</f>
        <v>HP</v>
      </c>
      <c r="B802" s="119" t="str">
        <f ca="1">IFERROR(__xludf.DUMMYFUNCTION("""COMPUTED_VALUE"""),"Elliot Kobus")</f>
        <v>Elliot Kobus</v>
      </c>
      <c r="C802" s="118">
        <f ca="1">IFERROR(__xludf.DUMMYFUNCTION("""COMPUTED_VALUE"""),11)</f>
        <v>11</v>
      </c>
      <c r="D802" s="118" t="str">
        <f ca="1">IFERROR(__xludf.DUMMYFUNCTION("""COMPUTED_VALUE"""),"B")</f>
        <v>B</v>
      </c>
      <c r="E802" s="118" t="str">
        <f ca="1">IFERROR(__xludf.DUMMYFUNCTION("""COMPUTED_VALUE"""),"J")</f>
        <v>J</v>
      </c>
      <c r="F802" s="118" t="str">
        <f ca="1">IFERROR(__xludf.DUMMYFUNCTION("""COMPUTED_VALUE"""),"I")</f>
        <v>I</v>
      </c>
      <c r="G802" s="118">
        <f ca="1">IFERROR(__xludf.DUMMYFUNCTION("""COMPUTED_VALUE"""),4)</f>
        <v>4</v>
      </c>
      <c r="H802" s="118" t="str">
        <f ca="1">IFERROR(__xludf.DUMMYFUNCTION("""COMPUTED_VALUE"""),"HP")</f>
        <v>HP</v>
      </c>
      <c r="I802" s="118">
        <f ca="1">IFERROR(__xludf.DUMMYFUNCTION("""COMPUTED_VALUE"""),7)</f>
        <v>7</v>
      </c>
      <c r="J802" s="118">
        <f ca="1">IFERROR(__xludf.DUMMYFUNCTION("""COMPUTED_VALUE"""),2)</f>
        <v>2</v>
      </c>
      <c r="K802" s="120">
        <f ca="1">IFERROR(__xludf.DUMMYFUNCTION("""COMPUTED_VALUE"""),45.75)</f>
        <v>45.75</v>
      </c>
      <c r="L802" s="121"/>
      <c r="M802" s="120"/>
      <c r="N802" s="121"/>
      <c r="O802" s="120"/>
      <c r="P802" s="122"/>
      <c r="Q802" s="123" t="str">
        <f ca="1">IFERROR(__xludf.DUMMYFUNCTION("""COMPUTED_VALUE"""),"Quinn Brown")</f>
        <v>Quinn Brown</v>
      </c>
      <c r="R802" s="123"/>
      <c r="S802" s="123" t="str">
        <f ca="1">IFERROR(__xludf.DUMMYFUNCTION("""COMPUTED_VALUE"""),"Lourdes Schvind")</f>
        <v>Lourdes Schvind</v>
      </c>
      <c r="T802" s="123" t="str">
        <f ca="1">IFERROR(__xludf.DUMMYFUNCTION("""COMPUTED_VALUE"""),"Samyar Khodabandeh")</f>
        <v>Samyar Khodabandeh</v>
      </c>
    </row>
    <row r="803" spans="1:20" ht="13.8">
      <c r="A803" s="118" t="str">
        <f ca="1">IFERROR(__xludf.DUMMYFUNCTION("""COMPUTED_VALUE"""),"HP")</f>
        <v>HP</v>
      </c>
      <c r="B803" s="119" t="str">
        <f ca="1">IFERROR(__xludf.DUMMYFUNCTION("""COMPUTED_VALUE"""),"Gavin Stiens")</f>
        <v>Gavin Stiens</v>
      </c>
      <c r="C803" s="118">
        <f ca="1">IFERROR(__xludf.DUMMYFUNCTION("""COMPUTED_VALUE"""),12)</f>
        <v>12</v>
      </c>
      <c r="D803" s="118" t="str">
        <f ca="1">IFERROR(__xludf.DUMMYFUNCTION("""COMPUTED_VALUE"""),"B")</f>
        <v>B</v>
      </c>
      <c r="E803" s="118" t="str">
        <f ca="1">IFERROR(__xludf.DUMMYFUNCTION("""COMPUTED_VALUE"""),"J")</f>
        <v>J</v>
      </c>
      <c r="F803" s="118" t="str">
        <f ca="1">IFERROR(__xludf.DUMMYFUNCTION("""COMPUTED_VALUE"""),"I")</f>
        <v>I</v>
      </c>
      <c r="G803" s="118">
        <f ca="1">IFERROR(__xludf.DUMMYFUNCTION("""COMPUTED_VALUE"""),4)</f>
        <v>4</v>
      </c>
      <c r="H803" s="118" t="str">
        <f ca="1">IFERROR(__xludf.DUMMYFUNCTION("""COMPUTED_VALUE"""),"HP")</f>
        <v>HP</v>
      </c>
      <c r="I803" s="118">
        <f ca="1">IFERROR(__xludf.DUMMYFUNCTION("""COMPUTED_VALUE"""),7)</f>
        <v>7</v>
      </c>
      <c r="J803" s="118">
        <f ca="1">IFERROR(__xludf.DUMMYFUNCTION("""COMPUTED_VALUE"""),2)</f>
        <v>2</v>
      </c>
      <c r="K803" s="120">
        <f ca="1">IFERROR(__xludf.DUMMYFUNCTION("""COMPUTED_VALUE"""),60.25)</f>
        <v>60.25</v>
      </c>
      <c r="L803" s="121"/>
      <c r="M803" s="120"/>
      <c r="N803" s="121"/>
      <c r="O803" s="120"/>
      <c r="P803" s="122"/>
      <c r="Q803" s="123" t="str">
        <f ca="1">IFERROR(__xludf.DUMMYFUNCTION("""COMPUTED_VALUE"""),"Quinn McManus")</f>
        <v>Quinn McManus</v>
      </c>
      <c r="R803" s="123"/>
      <c r="S803" s="123" t="str">
        <f ca="1">IFERROR(__xludf.DUMMYFUNCTION("""COMPUTED_VALUE"""),"Luca Hennessey-Carter")</f>
        <v>Luca Hennessey-Carter</v>
      </c>
      <c r="T803" s="123" t="str">
        <f ca="1">IFERROR(__xludf.DUMMYFUNCTION("""COMPUTED_VALUE"""),"Santiago Fredes")</f>
        <v>Santiago Fredes</v>
      </c>
    </row>
    <row r="804" spans="1:20" ht="13.8">
      <c r="A804" s="118" t="str">
        <f ca="1">IFERROR(__xludf.DUMMYFUNCTION("""COMPUTED_VALUE"""),"HP")</f>
        <v>HP</v>
      </c>
      <c r="B804" s="119" t="str">
        <f ca="1">IFERROR(__xludf.DUMMYFUNCTION("""COMPUTED_VALUE"""),"JJ Snyder")</f>
        <v>JJ Snyder</v>
      </c>
      <c r="C804" s="118">
        <f ca="1">IFERROR(__xludf.DUMMYFUNCTION("""COMPUTED_VALUE"""),11)</f>
        <v>11</v>
      </c>
      <c r="D804" s="118" t="str">
        <f ca="1">IFERROR(__xludf.DUMMYFUNCTION("""COMPUTED_VALUE"""),"B")</f>
        <v>B</v>
      </c>
      <c r="E804" s="118" t="str">
        <f ca="1">IFERROR(__xludf.DUMMYFUNCTION("""COMPUTED_VALUE"""),"J")</f>
        <v>J</v>
      </c>
      <c r="F804" s="118" t="str">
        <f ca="1">IFERROR(__xludf.DUMMYFUNCTION("""COMPUTED_VALUE"""),"I")</f>
        <v>I</v>
      </c>
      <c r="G804" s="118">
        <f ca="1">IFERROR(__xludf.DUMMYFUNCTION("""COMPUTED_VALUE"""),4)</f>
        <v>4</v>
      </c>
      <c r="H804" s="118" t="str">
        <f ca="1">IFERROR(__xludf.DUMMYFUNCTION("""COMPUTED_VALUE"""),"HP")</f>
        <v>HP</v>
      </c>
      <c r="I804" s="118">
        <f ca="1">IFERROR(__xludf.DUMMYFUNCTION("""COMPUTED_VALUE"""),7)</f>
        <v>7</v>
      </c>
      <c r="J804" s="118">
        <f ca="1">IFERROR(__xludf.DUMMYFUNCTION("""COMPUTED_VALUE"""),4)</f>
        <v>4</v>
      </c>
      <c r="K804" s="120">
        <f ca="1">IFERROR(__xludf.DUMMYFUNCTION("""COMPUTED_VALUE"""),61.1)</f>
        <v>61.1</v>
      </c>
      <c r="L804" s="121"/>
      <c r="M804" s="120"/>
      <c r="N804" s="121"/>
      <c r="O804" s="120">
        <f ca="1">IFERROR(__xludf.DUMMYFUNCTION("""COMPUTED_VALUE"""),61.1)</f>
        <v>61.1</v>
      </c>
      <c r="P804" s="122"/>
      <c r="Q804" s="123" t="str">
        <f ca="1">IFERROR(__xludf.DUMMYFUNCTION("""COMPUTED_VALUE"""),"Quinn Rogers")</f>
        <v>Quinn Rogers</v>
      </c>
      <c r="R804" s="123"/>
      <c r="S804" s="123" t="str">
        <f ca="1">IFERROR(__xludf.DUMMYFUNCTION("""COMPUTED_VALUE"""),"Luciana Fernandez")</f>
        <v>Luciana Fernandez</v>
      </c>
      <c r="T804" s="123" t="str">
        <f ca="1">IFERROR(__xludf.DUMMYFUNCTION("""COMPUTED_VALUE"""),"Santiago Perez")</f>
        <v>Santiago Perez</v>
      </c>
    </row>
    <row r="805" spans="1:20" ht="13.8">
      <c r="A805" s="118" t="str">
        <f ca="1">IFERROR(__xludf.DUMMYFUNCTION("""COMPUTED_VALUE"""),"HP")</f>
        <v>HP</v>
      </c>
      <c r="B805" s="119" t="str">
        <f ca="1">IFERROR(__xludf.DUMMYFUNCTION("""COMPUTED_VALUE"""),"Joseph Mosinski")</f>
        <v>Joseph Mosinski</v>
      </c>
      <c r="C805" s="118">
        <f ca="1">IFERROR(__xludf.DUMMYFUNCTION("""COMPUTED_VALUE"""),12)</f>
        <v>12</v>
      </c>
      <c r="D805" s="118" t="str">
        <f ca="1">IFERROR(__xludf.DUMMYFUNCTION("""COMPUTED_VALUE"""),"B")</f>
        <v>B</v>
      </c>
      <c r="E805" s="118" t="str">
        <f ca="1">IFERROR(__xludf.DUMMYFUNCTION("""COMPUTED_VALUE"""),"J")</f>
        <v>J</v>
      </c>
      <c r="F805" s="118" t="str">
        <f ca="1">IFERROR(__xludf.DUMMYFUNCTION("""COMPUTED_VALUE"""),"I")</f>
        <v>I</v>
      </c>
      <c r="G805" s="118">
        <f ca="1">IFERROR(__xludf.DUMMYFUNCTION("""COMPUTED_VALUE"""),4)</f>
        <v>4</v>
      </c>
      <c r="H805" s="118" t="str">
        <f ca="1">IFERROR(__xludf.DUMMYFUNCTION("""COMPUTED_VALUE"""),"HP")</f>
        <v>HP</v>
      </c>
      <c r="I805" s="118">
        <f ca="1">IFERROR(__xludf.DUMMYFUNCTION("""COMPUTED_VALUE"""),7)</f>
        <v>7</v>
      </c>
      <c r="J805" s="118">
        <f ca="1">IFERROR(__xludf.DUMMYFUNCTION("""COMPUTED_VALUE"""),2)</f>
        <v>2</v>
      </c>
      <c r="K805" s="120">
        <f ca="1">IFERROR(__xludf.DUMMYFUNCTION("""COMPUTED_VALUE"""),61.85)</f>
        <v>61.85</v>
      </c>
      <c r="L805" s="121"/>
      <c r="M805" s="120">
        <f ca="1">IFERROR(__xludf.DUMMYFUNCTION("""COMPUTED_VALUE"""),61.05)</f>
        <v>61.05</v>
      </c>
      <c r="N805" s="121"/>
      <c r="O805" s="120"/>
      <c r="P805" s="122"/>
      <c r="Q805" s="123" t="str">
        <f ca="1">IFERROR(__xludf.DUMMYFUNCTION("""COMPUTED_VALUE"""),"Quinn Thomas")</f>
        <v>Quinn Thomas</v>
      </c>
      <c r="R805" s="123"/>
      <c r="S805" s="123" t="str">
        <f ca="1">IFERROR(__xludf.DUMMYFUNCTION("""COMPUTED_VALUE"""),"Lucinda Ross")</f>
        <v>Lucinda Ross</v>
      </c>
      <c r="T805" s="123" t="str">
        <f ca="1">IFERROR(__xludf.DUMMYFUNCTION("""COMPUTED_VALUE"""),"Sasha Gilstrap")</f>
        <v>Sasha Gilstrap</v>
      </c>
    </row>
    <row r="806" spans="1:20" ht="13.8">
      <c r="A806" s="118" t="str">
        <f ca="1">IFERROR(__xludf.DUMMYFUNCTION("""COMPUTED_VALUE"""),"HP")</f>
        <v>HP</v>
      </c>
      <c r="B806" s="119" t="str">
        <f ca="1">IFERROR(__xludf.DUMMYFUNCTION("""COMPUTED_VALUE"""),"Julian Castro")</f>
        <v>Julian Castro</v>
      </c>
      <c r="C806" s="118">
        <f ca="1">IFERROR(__xludf.DUMMYFUNCTION("""COMPUTED_VALUE"""),11)</f>
        <v>11</v>
      </c>
      <c r="D806" s="118" t="str">
        <f ca="1">IFERROR(__xludf.DUMMYFUNCTION("""COMPUTED_VALUE"""),"B")</f>
        <v>B</v>
      </c>
      <c r="E806" s="118" t="str">
        <f ca="1">IFERROR(__xludf.DUMMYFUNCTION("""COMPUTED_VALUE"""),"J")</f>
        <v>J</v>
      </c>
      <c r="F806" s="118" t="str">
        <f ca="1">IFERROR(__xludf.DUMMYFUNCTION("""COMPUTED_VALUE"""),"I")</f>
        <v>I</v>
      </c>
      <c r="G806" s="118">
        <f ca="1">IFERROR(__xludf.DUMMYFUNCTION("""COMPUTED_VALUE"""),4)</f>
        <v>4</v>
      </c>
      <c r="H806" s="118" t="str">
        <f ca="1">IFERROR(__xludf.DUMMYFUNCTION("""COMPUTED_VALUE"""),"HP")</f>
        <v>HP</v>
      </c>
      <c r="I806" s="118">
        <f ca="1">IFERROR(__xludf.DUMMYFUNCTION("""COMPUTED_VALUE"""),7)</f>
        <v>7</v>
      </c>
      <c r="J806" s="118">
        <f ca="1">IFERROR(__xludf.DUMMYFUNCTION("""COMPUTED_VALUE"""),5)</f>
        <v>5</v>
      </c>
      <c r="K806" s="120">
        <f ca="1">IFERROR(__xludf.DUMMYFUNCTION("""COMPUTED_VALUE"""),88.8)</f>
        <v>88.8</v>
      </c>
      <c r="L806" s="121"/>
      <c r="M806" s="120">
        <f ca="1">IFERROR(__xludf.DUMMYFUNCTION("""COMPUTED_VALUE"""),-88.85)</f>
        <v>-88.85</v>
      </c>
      <c r="N806" s="121"/>
      <c r="O806" s="120">
        <f ca="1">IFERROR(__xludf.DUMMYFUNCTION("""COMPUTED_VALUE"""),76.55)</f>
        <v>76.55</v>
      </c>
      <c r="P806" s="122"/>
      <c r="Q806" s="123" t="str">
        <f ca="1">IFERROR(__xludf.DUMMYFUNCTION("""COMPUTED_VALUE"""),"Quinn Warner")</f>
        <v>Quinn Warner</v>
      </c>
      <c r="R806" s="123"/>
      <c r="S806" s="123" t="str">
        <f ca="1">IFERROR(__xludf.DUMMYFUNCTION("""COMPUTED_VALUE"""),"Lucy Alizadeh")</f>
        <v>Lucy Alizadeh</v>
      </c>
      <c r="T806" s="123" t="str">
        <f ca="1">IFERROR(__xludf.DUMMYFUNCTION("""COMPUTED_VALUE"""),"Savas Emanuel")</f>
        <v>Savas Emanuel</v>
      </c>
    </row>
    <row r="807" spans="1:20" ht="13.8">
      <c r="A807" s="118" t="str">
        <f ca="1">IFERROR(__xludf.DUMMYFUNCTION("""COMPUTED_VALUE"""),"HP")</f>
        <v>HP</v>
      </c>
      <c r="B807" s="119" t="str">
        <f ca="1">IFERROR(__xludf.DUMMYFUNCTION("""COMPUTED_VALUE"""),"PJ Stigliano")</f>
        <v>PJ Stigliano</v>
      </c>
      <c r="C807" s="118">
        <f ca="1">IFERROR(__xludf.DUMMYFUNCTION("""COMPUTED_VALUE"""),11)</f>
        <v>11</v>
      </c>
      <c r="D807" s="118" t="str">
        <f ca="1">IFERROR(__xludf.DUMMYFUNCTION("""COMPUTED_VALUE"""),"B")</f>
        <v>B</v>
      </c>
      <c r="E807" s="118" t="str">
        <f ca="1">IFERROR(__xludf.DUMMYFUNCTION("""COMPUTED_VALUE"""),"J")</f>
        <v>J</v>
      </c>
      <c r="F807" s="118" t="str">
        <f ca="1">IFERROR(__xludf.DUMMYFUNCTION("""COMPUTED_VALUE"""),"I")</f>
        <v>I</v>
      </c>
      <c r="G807" s="118">
        <f ca="1">IFERROR(__xludf.DUMMYFUNCTION("""COMPUTED_VALUE"""),4)</f>
        <v>4</v>
      </c>
      <c r="H807" s="118" t="str">
        <f ca="1">IFERROR(__xludf.DUMMYFUNCTION("""COMPUTED_VALUE"""),"HP")</f>
        <v>HP</v>
      </c>
      <c r="I807" s="118">
        <f ca="1">IFERROR(__xludf.DUMMYFUNCTION("""COMPUTED_VALUE"""),7)</f>
        <v>7</v>
      </c>
      <c r="J807" s="118">
        <f ca="1">IFERROR(__xludf.DUMMYFUNCTION("""COMPUTED_VALUE"""),5)</f>
        <v>5</v>
      </c>
      <c r="K807" s="120">
        <f ca="1">IFERROR(__xludf.DUMMYFUNCTION("""COMPUTED_VALUE"""),89.25)</f>
        <v>89.25</v>
      </c>
      <c r="L807" s="121"/>
      <c r="M807" s="120">
        <f ca="1">IFERROR(__xludf.DUMMYFUNCTION("""COMPUTED_VALUE"""),89.25)</f>
        <v>89.25</v>
      </c>
      <c r="N807" s="121"/>
      <c r="O807" s="120">
        <f ca="1">IFERROR(__xludf.DUMMYFUNCTION("""COMPUTED_VALUE"""),65.65)</f>
        <v>65.650000000000006</v>
      </c>
      <c r="P807" s="122"/>
      <c r="Q807" s="123" t="str">
        <f ca="1">IFERROR(__xludf.DUMMYFUNCTION("""COMPUTED_VALUE"""),"Quinn Zahler")</f>
        <v>Quinn Zahler</v>
      </c>
      <c r="R807" s="123"/>
      <c r="S807" s="123" t="str">
        <f ca="1">IFERROR(__xludf.DUMMYFUNCTION("""COMPUTED_VALUE"""),"Lucy Barry")</f>
        <v>Lucy Barry</v>
      </c>
      <c r="T807" s="123" t="str">
        <f ca="1">IFERROR(__xludf.DUMMYFUNCTION("""COMPUTED_VALUE"""),"Sawyer Andrews")</f>
        <v>Sawyer Andrews</v>
      </c>
    </row>
    <row r="808" spans="1:20" ht="13.8">
      <c r="A808" s="118" t="str">
        <f ca="1">IFERROR(__xludf.DUMMYFUNCTION("""COMPUTED_VALUE"""),"HP")</f>
        <v>HP</v>
      </c>
      <c r="B808" s="119" t="str">
        <f ca="1">IFERROR(__xludf.DUMMYFUNCTION("""COMPUTED_VALUE"""),"Qader Sarsour")</f>
        <v>Qader Sarsour</v>
      </c>
      <c r="C808" s="118">
        <f ca="1">IFERROR(__xludf.DUMMYFUNCTION("""COMPUTED_VALUE"""),11)</f>
        <v>11</v>
      </c>
      <c r="D808" s="118" t="str">
        <f ca="1">IFERROR(__xludf.DUMMYFUNCTION("""COMPUTED_VALUE"""),"B")</f>
        <v>B</v>
      </c>
      <c r="E808" s="118" t="str">
        <f ca="1">IFERROR(__xludf.DUMMYFUNCTION("""COMPUTED_VALUE"""),"J")</f>
        <v>J</v>
      </c>
      <c r="F808" s="118" t="str">
        <f ca="1">IFERROR(__xludf.DUMMYFUNCTION("""COMPUTED_VALUE"""),"I")</f>
        <v>I</v>
      </c>
      <c r="G808" s="118">
        <f ca="1">IFERROR(__xludf.DUMMYFUNCTION("""COMPUTED_VALUE"""),4)</f>
        <v>4</v>
      </c>
      <c r="H808" s="118" t="str">
        <f ca="1">IFERROR(__xludf.DUMMYFUNCTION("""COMPUTED_VALUE"""),"HP")</f>
        <v>HP</v>
      </c>
      <c r="I808" s="118">
        <f ca="1">IFERROR(__xludf.DUMMYFUNCTION("""COMPUTED_VALUE"""),7)</f>
        <v>7</v>
      </c>
      <c r="J808" s="118">
        <f ca="1">IFERROR(__xludf.DUMMYFUNCTION("""COMPUTED_VALUE"""),0)</f>
        <v>0</v>
      </c>
      <c r="K808" s="120"/>
      <c r="L808" s="121"/>
      <c r="M808" s="120"/>
      <c r="N808" s="121"/>
      <c r="O808" s="120"/>
      <c r="P808" s="122"/>
      <c r="Q808" s="123" t="str">
        <f ca="1">IFERROR(__xludf.DUMMYFUNCTION("""COMPUTED_VALUE"""),"Rachel Wing")</f>
        <v>Rachel Wing</v>
      </c>
      <c r="R808" s="123"/>
      <c r="S808" s="123" t="str">
        <f ca="1">IFERROR(__xludf.DUMMYFUNCTION("""COMPUTED_VALUE"""),"Lucy Bennett")</f>
        <v>Lucy Bennett</v>
      </c>
      <c r="T808" s="123" t="str">
        <f ca="1">IFERROR(__xludf.DUMMYFUNCTION("""COMPUTED_VALUE"""),"Sawyer Cohen")</f>
        <v>Sawyer Cohen</v>
      </c>
    </row>
    <row r="809" spans="1:20" ht="13.8">
      <c r="A809" s="118" t="str">
        <f ca="1">IFERROR(__xludf.DUMMYFUNCTION("""COMPUTED_VALUE"""),"HP")</f>
        <v>HP</v>
      </c>
      <c r="B809" s="119" t="str">
        <f ca="1">IFERROR(__xludf.DUMMYFUNCTION("""COMPUTED_VALUE"""),"Christine Hackl")</f>
        <v>Christine Hackl</v>
      </c>
      <c r="C809" s="118">
        <f ca="1">IFERROR(__xludf.DUMMYFUNCTION("""COMPUTED_VALUE"""),13)</f>
        <v>13</v>
      </c>
      <c r="D809" s="118" t="str">
        <f ca="1">IFERROR(__xludf.DUMMYFUNCTION("""COMPUTED_VALUE"""),"G")</f>
        <v>G</v>
      </c>
      <c r="E809" s="118" t="str">
        <f ca="1">IFERROR(__xludf.DUMMYFUNCTION("""COMPUTED_VALUE"""),"I")</f>
        <v>I</v>
      </c>
      <c r="F809" s="118" t="str">
        <f ca="1">IFERROR(__xludf.DUMMYFUNCTION("""COMPUTED_VALUE"""),"S")</f>
        <v>S</v>
      </c>
      <c r="G809" s="118">
        <f ca="1">IFERROR(__xludf.DUMMYFUNCTION("""COMPUTED_VALUE"""),4)</f>
        <v>4</v>
      </c>
      <c r="H809" s="118" t="str">
        <f ca="1">IFERROR(__xludf.DUMMYFUNCTION("""COMPUTED_VALUE"""),"HP")</f>
        <v>HP</v>
      </c>
      <c r="I809" s="118">
        <f ca="1">IFERROR(__xludf.DUMMYFUNCTION("""COMPUTED_VALUE"""),8)</f>
        <v>8</v>
      </c>
      <c r="J809" s="118">
        <f ca="1">IFERROR(__xludf.DUMMYFUNCTION("""COMPUTED_VALUE"""),4)</f>
        <v>4</v>
      </c>
      <c r="K809" s="120">
        <f ca="1">IFERROR(__xludf.DUMMYFUNCTION("""COMPUTED_VALUE"""),85.75)</f>
        <v>85.75</v>
      </c>
      <c r="L809" s="121"/>
      <c r="M809" s="120">
        <f ca="1">IFERROR(__xludf.DUMMYFUNCTION("""COMPUTED_VALUE"""),40.3)</f>
        <v>40.299999999999997</v>
      </c>
      <c r="N809" s="121"/>
      <c r="O809" s="120">
        <f ca="1">IFERROR(__xludf.DUMMYFUNCTION("""COMPUTED_VALUE"""),75.75)</f>
        <v>75.75</v>
      </c>
      <c r="P809" s="122"/>
      <c r="Q809" s="123" t="str">
        <f ca="1">IFERROR(__xludf.DUMMYFUNCTION("""COMPUTED_VALUE"""),"Radha Bansal")</f>
        <v>Radha Bansal</v>
      </c>
      <c r="R809" s="123"/>
      <c r="S809" s="123" t="str">
        <f ca="1">IFERROR(__xludf.DUMMYFUNCTION("""COMPUTED_VALUE"""),"Lucy Brannan")</f>
        <v>Lucy Brannan</v>
      </c>
      <c r="T809" s="123" t="str">
        <f ca="1">IFERROR(__xludf.DUMMYFUNCTION("""COMPUTED_VALUE"""),"Sawyer Lawrence")</f>
        <v>Sawyer Lawrence</v>
      </c>
    </row>
    <row r="810" spans="1:20" ht="13.8">
      <c r="A810" s="118" t="str">
        <f ca="1">IFERROR(__xludf.DUMMYFUNCTION("""COMPUTED_VALUE"""),"HP")</f>
        <v>HP</v>
      </c>
      <c r="B810" s="119" t="str">
        <f ca="1">IFERROR(__xludf.DUMMYFUNCTION("""COMPUTED_VALUE"""),"Kimberly Kobus")</f>
        <v>Kimberly Kobus</v>
      </c>
      <c r="C810" s="118">
        <f ca="1">IFERROR(__xludf.DUMMYFUNCTION("""COMPUTED_VALUE"""),14)</f>
        <v>14</v>
      </c>
      <c r="D810" s="118" t="str">
        <f ca="1">IFERROR(__xludf.DUMMYFUNCTION("""COMPUTED_VALUE"""),"G")</f>
        <v>G</v>
      </c>
      <c r="E810" s="118" t="str">
        <f ca="1">IFERROR(__xludf.DUMMYFUNCTION("""COMPUTED_VALUE"""),"I")</f>
        <v>I</v>
      </c>
      <c r="F810" s="118" t="str">
        <f ca="1">IFERROR(__xludf.DUMMYFUNCTION("""COMPUTED_VALUE"""),"S")</f>
        <v>S</v>
      </c>
      <c r="G810" s="118">
        <f ca="1">IFERROR(__xludf.DUMMYFUNCTION("""COMPUTED_VALUE"""),4)</f>
        <v>4</v>
      </c>
      <c r="H810" s="118" t="str">
        <f ca="1">IFERROR(__xludf.DUMMYFUNCTION("""COMPUTED_VALUE"""),"HP")</f>
        <v>HP</v>
      </c>
      <c r="I810" s="118">
        <f ca="1">IFERROR(__xludf.DUMMYFUNCTION("""COMPUTED_VALUE"""),8)</f>
        <v>8</v>
      </c>
      <c r="J810" s="118">
        <f ca="1">IFERROR(__xludf.DUMMYFUNCTION("""COMPUTED_VALUE"""),0)</f>
        <v>0</v>
      </c>
      <c r="K810" s="120"/>
      <c r="L810" s="121"/>
      <c r="M810" s="120"/>
      <c r="N810" s="121"/>
      <c r="O810" s="120"/>
      <c r="P810" s="122"/>
      <c r="Q810" s="123" t="str">
        <f ca="1">IFERROR(__xludf.DUMMYFUNCTION("""COMPUTED_VALUE"""),"Raeya Murawski")</f>
        <v>Raeya Murawski</v>
      </c>
      <c r="R810" s="123"/>
      <c r="S810" s="123" t="str">
        <f ca="1">IFERROR(__xludf.DUMMYFUNCTION("""COMPUTED_VALUE"""),"Lucy Jonson")</f>
        <v>Lucy Jonson</v>
      </c>
      <c r="T810" s="123" t="str">
        <f ca="1">IFERROR(__xludf.DUMMYFUNCTION("""COMPUTED_VALUE"""),"Sawyer Wichert")</f>
        <v>Sawyer Wichert</v>
      </c>
    </row>
    <row r="811" spans="1:20" ht="13.8">
      <c r="A811" s="118" t="str">
        <f ca="1">IFERROR(__xludf.DUMMYFUNCTION("""COMPUTED_VALUE"""),"HP")</f>
        <v>HP</v>
      </c>
      <c r="B811" s="119" t="str">
        <f ca="1">IFERROR(__xludf.DUMMYFUNCTION("""COMPUTED_VALUE"""),"Lucinda Ross")</f>
        <v>Lucinda Ross</v>
      </c>
      <c r="C811" s="118">
        <f ca="1">IFERROR(__xludf.DUMMYFUNCTION("""COMPUTED_VALUE"""),13)</f>
        <v>13</v>
      </c>
      <c r="D811" s="118" t="str">
        <f ca="1">IFERROR(__xludf.DUMMYFUNCTION("""COMPUTED_VALUE"""),"G")</f>
        <v>G</v>
      </c>
      <c r="E811" s="118" t="str">
        <f ca="1">IFERROR(__xludf.DUMMYFUNCTION("""COMPUTED_VALUE"""),"I")</f>
        <v>I</v>
      </c>
      <c r="F811" s="118" t="str">
        <f ca="1">IFERROR(__xludf.DUMMYFUNCTION("""COMPUTED_VALUE"""),"S")</f>
        <v>S</v>
      </c>
      <c r="G811" s="118">
        <f ca="1">IFERROR(__xludf.DUMMYFUNCTION("""COMPUTED_VALUE"""),4)</f>
        <v>4</v>
      </c>
      <c r="H811" s="118" t="str">
        <f ca="1">IFERROR(__xludf.DUMMYFUNCTION("""COMPUTED_VALUE"""),"HP")</f>
        <v>HP</v>
      </c>
      <c r="I811" s="118">
        <f ca="1">IFERROR(__xludf.DUMMYFUNCTION("""COMPUTED_VALUE"""),8)</f>
        <v>8</v>
      </c>
      <c r="J811" s="118">
        <f ca="1">IFERROR(__xludf.DUMMYFUNCTION("""COMPUTED_VALUE"""),3)</f>
        <v>3</v>
      </c>
      <c r="K811" s="120">
        <f ca="1">IFERROR(__xludf.DUMMYFUNCTION("""COMPUTED_VALUE"""),62.75)</f>
        <v>62.75</v>
      </c>
      <c r="L811" s="121"/>
      <c r="M811" s="120">
        <f ca="1">IFERROR(__xludf.DUMMYFUNCTION("""COMPUTED_VALUE"""),56.45)</f>
        <v>56.45</v>
      </c>
      <c r="N811" s="121"/>
      <c r="O811" s="120">
        <f ca="1">IFERROR(__xludf.DUMMYFUNCTION("""COMPUTED_VALUE"""),62.75)</f>
        <v>62.75</v>
      </c>
      <c r="P811" s="122"/>
      <c r="Q811" s="123" t="str">
        <f ca="1">IFERROR(__xludf.DUMMYFUNCTION("""COMPUTED_VALUE"""),"Ramona Greeney")</f>
        <v>Ramona Greeney</v>
      </c>
      <c r="R811" s="123"/>
      <c r="S811" s="123" t="str">
        <f ca="1">IFERROR(__xludf.DUMMYFUNCTION("""COMPUTED_VALUE"""),"Lucy Leland")</f>
        <v>Lucy Leland</v>
      </c>
      <c r="T811" s="123" t="str">
        <f ca="1">IFERROR(__xludf.DUMMYFUNCTION("""COMPUTED_VALUE"""),"Seamus McNamara")</f>
        <v>Seamus McNamara</v>
      </c>
    </row>
    <row r="812" spans="1:20" ht="13.8">
      <c r="A812" s="118" t="str">
        <f ca="1">IFERROR(__xludf.DUMMYFUNCTION("""COMPUTED_VALUE"""),"HP")</f>
        <v>HP</v>
      </c>
      <c r="B812" s="119" t="str">
        <f ca="1">IFERROR(__xludf.DUMMYFUNCTION("""COMPUTED_VALUE"""),"Piper Guy")</f>
        <v>Piper Guy</v>
      </c>
      <c r="C812" s="118">
        <f ca="1">IFERROR(__xludf.DUMMYFUNCTION("""COMPUTED_VALUE"""),14)</f>
        <v>14</v>
      </c>
      <c r="D812" s="118" t="str">
        <f ca="1">IFERROR(__xludf.DUMMYFUNCTION("""COMPUTED_VALUE"""),"G")</f>
        <v>G</v>
      </c>
      <c r="E812" s="118" t="str">
        <f ca="1">IFERROR(__xludf.DUMMYFUNCTION("""COMPUTED_VALUE"""),"I")</f>
        <v>I</v>
      </c>
      <c r="F812" s="118" t="str">
        <f ca="1">IFERROR(__xludf.DUMMYFUNCTION("""COMPUTED_VALUE"""),"S")</f>
        <v>S</v>
      </c>
      <c r="G812" s="118">
        <f ca="1">IFERROR(__xludf.DUMMYFUNCTION("""COMPUTED_VALUE"""),4)</f>
        <v>4</v>
      </c>
      <c r="H812" s="118" t="str">
        <f ca="1">IFERROR(__xludf.DUMMYFUNCTION("""COMPUTED_VALUE"""),"HP")</f>
        <v>HP</v>
      </c>
      <c r="I812" s="118">
        <f ca="1">IFERROR(__xludf.DUMMYFUNCTION("""COMPUTED_VALUE"""),8)</f>
        <v>8</v>
      </c>
      <c r="J812" s="118">
        <f ca="1">IFERROR(__xludf.DUMMYFUNCTION("""COMPUTED_VALUE"""),5)</f>
        <v>5</v>
      </c>
      <c r="K812" s="120">
        <f ca="1">IFERROR(__xludf.DUMMYFUNCTION("""COMPUTED_VALUE"""),91.35)</f>
        <v>91.35</v>
      </c>
      <c r="L812" s="121"/>
      <c r="M812" s="120">
        <f ca="1">IFERROR(__xludf.DUMMYFUNCTION("""COMPUTED_VALUE"""),91.35)</f>
        <v>91.35</v>
      </c>
      <c r="N812" s="121"/>
      <c r="O812" s="120">
        <f ca="1">IFERROR(__xludf.DUMMYFUNCTION("""COMPUTED_VALUE"""),73.75)</f>
        <v>73.75</v>
      </c>
      <c r="P812" s="122"/>
      <c r="Q812" s="123" t="str">
        <f ca="1">IFERROR(__xludf.DUMMYFUNCTION("""COMPUTED_VALUE"""),"Rayleigh Baxa")</f>
        <v>Rayleigh Baxa</v>
      </c>
      <c r="R812" s="123"/>
      <c r="S812" s="123" t="str">
        <f ca="1">IFERROR(__xludf.DUMMYFUNCTION("""COMPUTED_VALUE"""),"Lucy McArdle")</f>
        <v>Lucy McArdle</v>
      </c>
      <c r="T812" s="123" t="str">
        <f ca="1">IFERROR(__xludf.DUMMYFUNCTION("""COMPUTED_VALUE"""),"Sean Borders")</f>
        <v>Sean Borders</v>
      </c>
    </row>
    <row r="813" spans="1:20" ht="13.8">
      <c r="A813" s="118" t="str">
        <f ca="1">IFERROR(__xludf.DUMMYFUNCTION("""COMPUTED_VALUE"""),"HP")</f>
        <v>HP</v>
      </c>
      <c r="B813" s="119" t="str">
        <f ca="1">IFERROR(__xludf.DUMMYFUNCTION("""COMPUTED_VALUE"""),"Karsten Tregaskis-Gordon")</f>
        <v>Karsten Tregaskis-Gordon</v>
      </c>
      <c r="C813" s="118">
        <f ca="1">IFERROR(__xludf.DUMMYFUNCTION("""COMPUTED_VALUE"""),14)</f>
        <v>14</v>
      </c>
      <c r="D813" s="118" t="str">
        <f ca="1">IFERROR(__xludf.DUMMYFUNCTION("""COMPUTED_VALUE"""),"B")</f>
        <v>B</v>
      </c>
      <c r="E813" s="118" t="str">
        <f ca="1">IFERROR(__xludf.DUMMYFUNCTION("""COMPUTED_VALUE"""),"I")</f>
        <v>I</v>
      </c>
      <c r="F813" s="118" t="str">
        <f ca="1">IFERROR(__xludf.DUMMYFUNCTION("""COMPUTED_VALUE"""),"S")</f>
        <v>S</v>
      </c>
      <c r="G813" s="118">
        <f ca="1">IFERROR(__xludf.DUMMYFUNCTION("""COMPUTED_VALUE"""),4)</f>
        <v>4</v>
      </c>
      <c r="H813" s="118" t="str">
        <f ca="1">IFERROR(__xludf.DUMMYFUNCTION("""COMPUTED_VALUE"""),"HP")</f>
        <v>HP</v>
      </c>
      <c r="I813" s="118">
        <f ca="1">IFERROR(__xludf.DUMMYFUNCTION("""COMPUTED_VALUE"""),9)</f>
        <v>9</v>
      </c>
      <c r="J813" s="118">
        <f ca="1">IFERROR(__xludf.DUMMYFUNCTION("""COMPUTED_VALUE"""),0)</f>
        <v>0</v>
      </c>
      <c r="K813" s="120"/>
      <c r="L813" s="121"/>
      <c r="M813" s="120"/>
      <c r="N813" s="121"/>
      <c r="O813" s="120"/>
      <c r="P813" s="122"/>
      <c r="Q813" s="123" t="str">
        <f ca="1">IFERROR(__xludf.DUMMYFUNCTION("""COMPUTED_VALUE"""),"Reagan Smith")</f>
        <v>Reagan Smith</v>
      </c>
      <c r="R813" s="123"/>
      <c r="S813" s="123" t="str">
        <f ca="1">IFERROR(__xludf.DUMMYFUNCTION("""COMPUTED_VALUE"""),"Lucy Mullinix")</f>
        <v>Lucy Mullinix</v>
      </c>
      <c r="T813" s="123" t="str">
        <f ca="1">IFERROR(__xludf.DUMMYFUNCTION("""COMPUTED_VALUE"""),"Sean Memon")</f>
        <v>Sean Memon</v>
      </c>
    </row>
    <row r="814" spans="1:20" ht="13.8">
      <c r="A814" s="118" t="str">
        <f ca="1">IFERROR(__xludf.DUMMYFUNCTION("""COMPUTED_VALUE"""),"HP")</f>
        <v>HP</v>
      </c>
      <c r="B814" s="119" t="str">
        <f ca="1">IFERROR(__xludf.DUMMYFUNCTION("""COMPUTED_VALUE"""),"Liam Painter")</f>
        <v>Liam Painter</v>
      </c>
      <c r="C814" s="118">
        <f ca="1">IFERROR(__xludf.DUMMYFUNCTION("""COMPUTED_VALUE"""),13)</f>
        <v>13</v>
      </c>
      <c r="D814" s="118" t="str">
        <f ca="1">IFERROR(__xludf.DUMMYFUNCTION("""COMPUTED_VALUE"""),"B")</f>
        <v>B</v>
      </c>
      <c r="E814" s="118" t="str">
        <f ca="1">IFERROR(__xludf.DUMMYFUNCTION("""COMPUTED_VALUE"""),"I")</f>
        <v>I</v>
      </c>
      <c r="F814" s="118" t="str">
        <f ca="1">IFERROR(__xludf.DUMMYFUNCTION("""COMPUTED_VALUE"""),"S")</f>
        <v>S</v>
      </c>
      <c r="G814" s="118">
        <f ca="1">IFERROR(__xludf.DUMMYFUNCTION("""COMPUTED_VALUE"""),4)</f>
        <v>4</v>
      </c>
      <c r="H814" s="118" t="str">
        <f ca="1">IFERROR(__xludf.DUMMYFUNCTION("""COMPUTED_VALUE"""),"HP")</f>
        <v>HP</v>
      </c>
      <c r="I814" s="118">
        <f ca="1">IFERROR(__xludf.DUMMYFUNCTION("""COMPUTED_VALUE"""),9)</f>
        <v>9</v>
      </c>
      <c r="J814" s="118">
        <f ca="1">IFERROR(__xludf.DUMMYFUNCTION("""COMPUTED_VALUE"""),0)</f>
        <v>0</v>
      </c>
      <c r="K814" s="120"/>
      <c r="L814" s="121"/>
      <c r="M814" s="120"/>
      <c r="N814" s="121"/>
      <c r="O814" s="120"/>
      <c r="P814" s="122"/>
      <c r="Q814" s="123" t="str">
        <f ca="1">IFERROR(__xludf.DUMMYFUNCTION("""COMPUTED_VALUE"""),"Reese Andresen")</f>
        <v>Reese Andresen</v>
      </c>
      <c r="R814" s="123"/>
      <c r="S814" s="123" t="str">
        <f ca="1">IFERROR(__xludf.DUMMYFUNCTION("""COMPUTED_VALUE"""),"Lucy Navarro")</f>
        <v>Lucy Navarro</v>
      </c>
      <c r="T814" s="123" t="str">
        <f ca="1">IFERROR(__xludf.DUMMYFUNCTION("""COMPUTED_VALUE"""),"Sean Tighe")</f>
        <v>Sean Tighe</v>
      </c>
    </row>
    <row r="815" spans="1:20" ht="13.8">
      <c r="A815" s="118" t="str">
        <f ca="1">IFERROR(__xludf.DUMMYFUNCTION("""COMPUTED_VALUE"""),"HP")</f>
        <v>HP</v>
      </c>
      <c r="B815" s="119" t="str">
        <f ca="1">IFERROR(__xludf.DUMMYFUNCTION("""COMPUTED_VALUE"""),"Lilly Coulby")</f>
        <v>Lilly Coulby</v>
      </c>
      <c r="C815" s="118">
        <f ca="1">IFERROR(__xludf.DUMMYFUNCTION("""COMPUTED_VALUE"""),15)</f>
        <v>15</v>
      </c>
      <c r="D815" s="118" t="str">
        <f ca="1">IFERROR(__xludf.DUMMYFUNCTION("""COMPUTED_VALUE"""),"G")</f>
        <v>G</v>
      </c>
      <c r="E815" s="118" t="str">
        <f ca="1">IFERROR(__xludf.DUMMYFUNCTION("""COMPUTED_VALUE"""),"S")</f>
        <v>S</v>
      </c>
      <c r="F815" s="118" t="str">
        <f ca="1">IFERROR(__xludf.DUMMYFUNCTION("""COMPUTED_VALUE"""),"S")</f>
        <v>S</v>
      </c>
      <c r="G815" s="118">
        <f ca="1">IFERROR(__xludf.DUMMYFUNCTION("""COMPUTED_VALUE"""),4)</f>
        <v>4</v>
      </c>
      <c r="H815" s="118" t="str">
        <f ca="1">IFERROR(__xludf.DUMMYFUNCTION("""COMPUTED_VALUE"""),"HP")</f>
        <v>HP</v>
      </c>
      <c r="I815" s="118">
        <f ca="1">IFERROR(__xludf.DUMMYFUNCTION("""COMPUTED_VALUE"""),10)</f>
        <v>10</v>
      </c>
      <c r="J815" s="118">
        <f ca="1">IFERROR(__xludf.DUMMYFUNCTION("""COMPUTED_VALUE"""),3)</f>
        <v>3</v>
      </c>
      <c r="K815" s="120">
        <f ca="1">IFERROR(__xludf.DUMMYFUNCTION("""COMPUTED_VALUE"""),118.7)</f>
        <v>118.7</v>
      </c>
      <c r="L815" s="121"/>
      <c r="M815" s="120">
        <f ca="1">IFERROR(__xludf.DUMMYFUNCTION("""COMPUTED_VALUE"""),106.45)</f>
        <v>106.45</v>
      </c>
      <c r="N815" s="121"/>
      <c r="O815" s="120"/>
      <c r="P815" s="122"/>
      <c r="Q815" s="123" t="str">
        <f ca="1">IFERROR(__xludf.DUMMYFUNCTION("""COMPUTED_VALUE"""),"Reese Marino")</f>
        <v>Reese Marino</v>
      </c>
      <c r="R815" s="123"/>
      <c r="S815" s="123" t="str">
        <f ca="1">IFERROR(__xludf.DUMMYFUNCTION("""COMPUTED_VALUE"""),"Lucy Silverstein")</f>
        <v>Lucy Silverstein</v>
      </c>
      <c r="T815" s="123" t="str">
        <f ca="1">IFERROR(__xludf.DUMMYFUNCTION("""COMPUTED_VALUE"""),"Seth Ventura")</f>
        <v>Seth Ventura</v>
      </c>
    </row>
    <row r="816" spans="1:20" ht="13.8">
      <c r="A816" s="118" t="str">
        <f ca="1">IFERROR(__xludf.DUMMYFUNCTION("""COMPUTED_VALUE"""),"HP")</f>
        <v>HP</v>
      </c>
      <c r="B816" s="119" t="str">
        <f ca="1">IFERROR(__xludf.DUMMYFUNCTION("""COMPUTED_VALUE"""),"Mabel Margolis")</f>
        <v>Mabel Margolis</v>
      </c>
      <c r="C816" s="118">
        <f ca="1">IFERROR(__xludf.DUMMYFUNCTION("""COMPUTED_VALUE"""),15)</f>
        <v>15</v>
      </c>
      <c r="D816" s="118" t="str">
        <f ca="1">IFERROR(__xludf.DUMMYFUNCTION("""COMPUTED_VALUE"""),"G")</f>
        <v>G</v>
      </c>
      <c r="E816" s="118" t="str">
        <f ca="1">IFERROR(__xludf.DUMMYFUNCTION("""COMPUTED_VALUE"""),"S")</f>
        <v>S</v>
      </c>
      <c r="F816" s="118" t="str">
        <f ca="1">IFERROR(__xludf.DUMMYFUNCTION("""COMPUTED_VALUE"""),"S")</f>
        <v>S</v>
      </c>
      <c r="G816" s="118">
        <f ca="1">IFERROR(__xludf.DUMMYFUNCTION("""COMPUTED_VALUE"""),4)</f>
        <v>4</v>
      </c>
      <c r="H816" s="118" t="str">
        <f ca="1">IFERROR(__xludf.DUMMYFUNCTION("""COMPUTED_VALUE"""),"HP")</f>
        <v>HP</v>
      </c>
      <c r="I816" s="118">
        <f ca="1">IFERROR(__xludf.DUMMYFUNCTION("""COMPUTED_VALUE"""),10)</f>
        <v>10</v>
      </c>
      <c r="J816" s="118">
        <f ca="1">IFERROR(__xludf.DUMMYFUNCTION("""COMPUTED_VALUE"""),4)</f>
        <v>4</v>
      </c>
      <c r="K816" s="120">
        <f ca="1">IFERROR(__xludf.DUMMYFUNCTION("""COMPUTED_VALUE"""),126.85)</f>
        <v>126.85</v>
      </c>
      <c r="L816" s="121"/>
      <c r="M816" s="120"/>
      <c r="N816" s="121"/>
      <c r="O816" s="120">
        <f ca="1">IFERROR(__xludf.DUMMYFUNCTION("""COMPUTED_VALUE"""),95.7)</f>
        <v>95.7</v>
      </c>
      <c r="P816" s="122"/>
      <c r="Q816" s="123" t="str">
        <f ca="1">IFERROR(__xludf.DUMMYFUNCTION("""COMPUTED_VALUE"""),"Remi Sobota")</f>
        <v>Remi Sobota</v>
      </c>
      <c r="R816" s="123"/>
      <c r="S816" s="123" t="str">
        <f ca="1">IFERROR(__xludf.DUMMYFUNCTION("""COMPUTED_VALUE"""),"Lucy Wolverton")</f>
        <v>Lucy Wolverton</v>
      </c>
      <c r="T816" s="123" t="str">
        <f ca="1">IFERROR(__xludf.DUMMYFUNCTION("""COMPUTED_VALUE"""),"Shawn Hubbard")</f>
        <v>Shawn Hubbard</v>
      </c>
    </row>
    <row r="817" spans="1:20" ht="13.8">
      <c r="A817" s="118" t="str">
        <f ca="1">IFERROR(__xludf.DUMMYFUNCTION("""COMPUTED_VALUE"""),"HP")</f>
        <v>HP</v>
      </c>
      <c r="B817" s="119" t="str">
        <f ca="1">IFERROR(__xludf.DUMMYFUNCTION("""COMPUTED_VALUE"""),"Nithy Pelekasis")</f>
        <v>Nithy Pelekasis</v>
      </c>
      <c r="C817" s="118">
        <f ca="1">IFERROR(__xludf.DUMMYFUNCTION("""COMPUTED_VALUE"""),15)</f>
        <v>15</v>
      </c>
      <c r="D817" s="118" t="str">
        <f ca="1">IFERROR(__xludf.DUMMYFUNCTION("""COMPUTED_VALUE"""),"G")</f>
        <v>G</v>
      </c>
      <c r="E817" s="118" t="str">
        <f ca="1">IFERROR(__xludf.DUMMYFUNCTION("""COMPUTED_VALUE"""),"S")</f>
        <v>S</v>
      </c>
      <c r="F817" s="118" t="str">
        <f ca="1">IFERROR(__xludf.DUMMYFUNCTION("""COMPUTED_VALUE"""),"S")</f>
        <v>S</v>
      </c>
      <c r="G817" s="118">
        <f ca="1">IFERROR(__xludf.DUMMYFUNCTION("""COMPUTED_VALUE"""),4)</f>
        <v>4</v>
      </c>
      <c r="H817" s="118" t="str">
        <f ca="1">IFERROR(__xludf.DUMMYFUNCTION("""COMPUTED_VALUE"""),"HP")</f>
        <v>HP</v>
      </c>
      <c r="I817" s="118">
        <f ca="1">IFERROR(__xludf.DUMMYFUNCTION("""COMPUTED_VALUE"""),10)</f>
        <v>10</v>
      </c>
      <c r="J817" s="118">
        <f ca="1">IFERROR(__xludf.DUMMYFUNCTION("""COMPUTED_VALUE"""),3)</f>
        <v>3</v>
      </c>
      <c r="K817" s="120">
        <f ca="1">IFERROR(__xludf.DUMMYFUNCTION("""COMPUTED_VALUE"""),82)</f>
        <v>82</v>
      </c>
      <c r="L817" s="121"/>
      <c r="M817" s="120">
        <f ca="1">IFERROR(__xludf.DUMMYFUNCTION("""COMPUTED_VALUE"""),82)</f>
        <v>82</v>
      </c>
      <c r="N817" s="121"/>
      <c r="O817" s="120"/>
      <c r="P817" s="122"/>
      <c r="Q817" s="123" t="str">
        <f ca="1">IFERROR(__xludf.DUMMYFUNCTION("""COMPUTED_VALUE"""),"Remy Noland")</f>
        <v>Remy Noland</v>
      </c>
      <c r="R817" s="123"/>
      <c r="S817" s="123" t="str">
        <f ca="1">IFERROR(__xludf.DUMMYFUNCTION("""COMPUTED_VALUE"""),"Lulu Reese")</f>
        <v>Lulu Reese</v>
      </c>
      <c r="T817" s="123" t="str">
        <f ca="1">IFERROR(__xludf.DUMMYFUNCTION("""COMPUTED_VALUE"""),"Shayan Dalilaltojari")</f>
        <v>Shayan Dalilaltojari</v>
      </c>
    </row>
    <row r="818" spans="1:20" ht="13.8">
      <c r="A818" s="118" t="str">
        <f ca="1">IFERROR(__xludf.DUMMYFUNCTION("""COMPUTED_VALUE"""),"HP")</f>
        <v>HP</v>
      </c>
      <c r="B818" s="119" t="str">
        <f ca="1">IFERROR(__xludf.DUMMYFUNCTION("""COMPUTED_VALUE"""),"Brett Townsend")</f>
        <v>Brett Townsend</v>
      </c>
      <c r="C818" s="118">
        <f ca="1">IFERROR(__xludf.DUMMYFUNCTION("""COMPUTED_VALUE"""),18)</f>
        <v>18</v>
      </c>
      <c r="D818" s="118" t="str">
        <f ca="1">IFERROR(__xludf.DUMMYFUNCTION("""COMPUTED_VALUE"""),"B")</f>
        <v>B</v>
      </c>
      <c r="E818" s="118" t="str">
        <f ca="1">IFERROR(__xludf.DUMMYFUNCTION("""COMPUTED_VALUE"""),"S")</f>
        <v>S</v>
      </c>
      <c r="F818" s="118" t="str">
        <f ca="1">IFERROR(__xludf.DUMMYFUNCTION("""COMPUTED_VALUE"""),"S")</f>
        <v>S</v>
      </c>
      <c r="G818" s="118">
        <f ca="1">IFERROR(__xludf.DUMMYFUNCTION("""COMPUTED_VALUE"""),4)</f>
        <v>4</v>
      </c>
      <c r="H818" s="118" t="str">
        <f ca="1">IFERROR(__xludf.DUMMYFUNCTION("""COMPUTED_VALUE"""),"HP")</f>
        <v>HP</v>
      </c>
      <c r="I818" s="118">
        <f ca="1">IFERROR(__xludf.DUMMYFUNCTION("""COMPUTED_VALUE"""),11)</f>
        <v>11</v>
      </c>
      <c r="J818" s="118">
        <f ca="1">IFERROR(__xludf.DUMMYFUNCTION("""COMPUTED_VALUE"""),3)</f>
        <v>3</v>
      </c>
      <c r="K818" s="120">
        <f ca="1">IFERROR(__xludf.DUMMYFUNCTION("""COMPUTED_VALUE"""),97.9)</f>
        <v>97.9</v>
      </c>
      <c r="L818" s="121"/>
      <c r="M818" s="120">
        <f ca="1">IFERROR(__xludf.DUMMYFUNCTION("""COMPUTED_VALUE"""),97.9)</f>
        <v>97.9</v>
      </c>
      <c r="N818" s="121"/>
      <c r="O818" s="120"/>
      <c r="P818" s="122"/>
      <c r="Q818" s="123" t="str">
        <f ca="1">IFERROR(__xludf.DUMMYFUNCTION("""COMPUTED_VALUE"""),"Renata Sondoval")</f>
        <v>Renata Sondoval</v>
      </c>
      <c r="R818" s="123"/>
      <c r="S818" s="123" t="str">
        <f ca="1">IFERROR(__xludf.DUMMYFUNCTION("""COMPUTED_VALUE"""),"Lydia Andac-Jones")</f>
        <v>Lydia Andac-Jones</v>
      </c>
      <c r="T818" s="123" t="str">
        <f ca="1">IFERROR(__xludf.DUMMYFUNCTION("""COMPUTED_VALUE"""),"Sheen Lee")</f>
        <v>Sheen Lee</v>
      </c>
    </row>
    <row r="819" spans="1:20" ht="13.8">
      <c r="A819" s="118" t="str">
        <f ca="1">IFERROR(__xludf.DUMMYFUNCTION("""COMPUTED_VALUE"""),"HP")</f>
        <v>HP</v>
      </c>
      <c r="B819" s="119" t="str">
        <f ca="1">IFERROR(__xludf.DUMMYFUNCTION("""COMPUTED_VALUE"""),"Caden Guy")</f>
        <v>Caden Guy</v>
      </c>
      <c r="C819" s="118">
        <f ca="1">IFERROR(__xludf.DUMMYFUNCTION("""COMPUTED_VALUE"""),18)</f>
        <v>18</v>
      </c>
      <c r="D819" s="118" t="str">
        <f ca="1">IFERROR(__xludf.DUMMYFUNCTION("""COMPUTED_VALUE"""),"B")</f>
        <v>B</v>
      </c>
      <c r="E819" s="118" t="str">
        <f ca="1">IFERROR(__xludf.DUMMYFUNCTION("""COMPUTED_VALUE"""),"S")</f>
        <v>S</v>
      </c>
      <c r="F819" s="118" t="str">
        <f ca="1">IFERROR(__xludf.DUMMYFUNCTION("""COMPUTED_VALUE"""),"S")</f>
        <v>S</v>
      </c>
      <c r="G819" s="118">
        <f ca="1">IFERROR(__xludf.DUMMYFUNCTION("""COMPUTED_VALUE"""),4)</f>
        <v>4</v>
      </c>
      <c r="H819" s="118" t="str">
        <f ca="1">IFERROR(__xludf.DUMMYFUNCTION("""COMPUTED_VALUE"""),"HP")</f>
        <v>HP</v>
      </c>
      <c r="I819" s="118">
        <f ca="1">IFERROR(__xludf.DUMMYFUNCTION("""COMPUTED_VALUE"""),11)</f>
        <v>11</v>
      </c>
      <c r="J819" s="118">
        <f ca="1">IFERROR(__xludf.DUMMYFUNCTION("""COMPUTED_VALUE"""),5)</f>
        <v>5</v>
      </c>
      <c r="K819" s="120">
        <f ca="1">IFERROR(__xludf.DUMMYFUNCTION("""COMPUTED_VALUE"""),227.6)</f>
        <v>227.6</v>
      </c>
      <c r="L819" s="121"/>
      <c r="M819" s="120">
        <f ca="1">IFERROR(__xludf.DUMMYFUNCTION("""COMPUTED_VALUE"""),221.95)</f>
        <v>221.95</v>
      </c>
      <c r="N819" s="121"/>
      <c r="O819" s="120">
        <f ca="1">IFERROR(__xludf.DUMMYFUNCTION("""COMPUTED_VALUE"""),195.9)</f>
        <v>195.9</v>
      </c>
      <c r="P819" s="122"/>
      <c r="Q819" s="123" t="str">
        <f ca="1">IFERROR(__xludf.DUMMYFUNCTION("""COMPUTED_VALUE"""),"Rian Farrelly")</f>
        <v>Rian Farrelly</v>
      </c>
      <c r="R819" s="123"/>
      <c r="S819" s="123" t="str">
        <f ca="1">IFERROR(__xludf.DUMMYFUNCTION("""COMPUTED_VALUE"""),"Lydia Fernandez")</f>
        <v>Lydia Fernandez</v>
      </c>
      <c r="T819" s="123" t="str">
        <f ca="1">IFERROR(__xludf.DUMMYFUNCTION("""COMPUTED_VALUE"""),"Shepard Whatley")</f>
        <v>Shepard Whatley</v>
      </c>
    </row>
    <row r="820" spans="1:20" ht="13.8">
      <c r="A820" s="118" t="str">
        <f ca="1">IFERROR(__xludf.DUMMYFUNCTION("""COMPUTED_VALUE"""),"HP")</f>
        <v>HP</v>
      </c>
      <c r="B820" s="119" t="str">
        <f ca="1">IFERROR(__xludf.DUMMYFUNCTION("""COMPUTED_VALUE"""),"Desmond Damico-Lassman")</f>
        <v>Desmond Damico-Lassman</v>
      </c>
      <c r="C820" s="118">
        <f ca="1">IFERROR(__xludf.DUMMYFUNCTION("""COMPUTED_VALUE"""),17)</f>
        <v>17</v>
      </c>
      <c r="D820" s="118" t="str">
        <f ca="1">IFERROR(__xludf.DUMMYFUNCTION("""COMPUTED_VALUE"""),"B")</f>
        <v>B</v>
      </c>
      <c r="E820" s="118" t="str">
        <f ca="1">IFERROR(__xludf.DUMMYFUNCTION("""COMPUTED_VALUE"""),"S")</f>
        <v>S</v>
      </c>
      <c r="F820" s="118" t="str">
        <f ca="1">IFERROR(__xludf.DUMMYFUNCTION("""COMPUTED_VALUE"""),"S")</f>
        <v>S</v>
      </c>
      <c r="G820" s="118">
        <f ca="1">IFERROR(__xludf.DUMMYFUNCTION("""COMPUTED_VALUE"""),4)</f>
        <v>4</v>
      </c>
      <c r="H820" s="118" t="str">
        <f ca="1">IFERROR(__xludf.DUMMYFUNCTION("""COMPUTED_VALUE"""),"HP")</f>
        <v>HP</v>
      </c>
      <c r="I820" s="118">
        <f ca="1">IFERROR(__xludf.DUMMYFUNCTION("""COMPUTED_VALUE"""),11)</f>
        <v>11</v>
      </c>
      <c r="J820" s="118">
        <f ca="1">IFERROR(__xludf.DUMMYFUNCTION("""COMPUTED_VALUE"""),4)</f>
        <v>4</v>
      </c>
      <c r="K820" s="120">
        <f ca="1">IFERROR(__xludf.DUMMYFUNCTION("""COMPUTED_VALUE"""),138.8)</f>
        <v>138.80000000000001</v>
      </c>
      <c r="L820" s="121"/>
      <c r="M820" s="120">
        <f ca="1">IFERROR(__xludf.DUMMYFUNCTION("""COMPUTED_VALUE"""),138.8)</f>
        <v>138.80000000000001</v>
      </c>
      <c r="N820" s="121"/>
      <c r="O820" s="120">
        <f ca="1">IFERROR(__xludf.DUMMYFUNCTION("""COMPUTED_VALUE"""),108.05)</f>
        <v>108.05</v>
      </c>
      <c r="P820" s="122"/>
      <c r="Q820" s="123" t="str">
        <f ca="1">IFERROR(__xludf.DUMMYFUNCTION("""COMPUTED_VALUE"""),"Riley Douglas")</f>
        <v>Riley Douglas</v>
      </c>
      <c r="R820" s="123"/>
      <c r="S820" s="123" t="str">
        <f ca="1">IFERROR(__xludf.DUMMYFUNCTION("""COMPUTED_VALUE"""),"Lydia Johnson")</f>
        <v>Lydia Johnson</v>
      </c>
      <c r="T820" s="123" t="str">
        <f ca="1">IFERROR(__xludf.DUMMYFUNCTION("""COMPUTED_VALUE"""),"Sheppard Turk")</f>
        <v>Sheppard Turk</v>
      </c>
    </row>
    <row r="821" spans="1:20" ht="13.8">
      <c r="A821" s="118" t="str">
        <f ca="1">IFERROR(__xludf.DUMMYFUNCTION("""COMPUTED_VALUE"""),"HP")</f>
        <v>HP</v>
      </c>
      <c r="B821" s="119" t="str">
        <f ca="1">IFERROR(__xludf.DUMMYFUNCTION("""COMPUTED_VALUE"""),"Jose Franco")</f>
        <v>Jose Franco</v>
      </c>
      <c r="C821" s="118">
        <f ca="1">IFERROR(__xludf.DUMMYFUNCTION("""COMPUTED_VALUE"""),16)</f>
        <v>16</v>
      </c>
      <c r="D821" s="118" t="str">
        <f ca="1">IFERROR(__xludf.DUMMYFUNCTION("""COMPUTED_VALUE"""),"B")</f>
        <v>B</v>
      </c>
      <c r="E821" s="118" t="str">
        <f ca="1">IFERROR(__xludf.DUMMYFUNCTION("""COMPUTED_VALUE"""),"S")</f>
        <v>S</v>
      </c>
      <c r="F821" s="118" t="str">
        <f ca="1">IFERROR(__xludf.DUMMYFUNCTION("""COMPUTED_VALUE"""),"S")</f>
        <v>S</v>
      </c>
      <c r="G821" s="118">
        <f ca="1">IFERROR(__xludf.DUMMYFUNCTION("""COMPUTED_VALUE"""),4)</f>
        <v>4</v>
      </c>
      <c r="H821" s="118" t="str">
        <f ca="1">IFERROR(__xludf.DUMMYFUNCTION("""COMPUTED_VALUE"""),"HP")</f>
        <v>HP</v>
      </c>
      <c r="I821" s="118">
        <f ca="1">IFERROR(__xludf.DUMMYFUNCTION("""COMPUTED_VALUE"""),11)</f>
        <v>11</v>
      </c>
      <c r="J821" s="118">
        <f ca="1">IFERROR(__xludf.DUMMYFUNCTION("""COMPUTED_VALUE"""),0)</f>
        <v>0</v>
      </c>
      <c r="K821" s="120"/>
      <c r="L821" s="121"/>
      <c r="M821" s="120"/>
      <c r="N821" s="121"/>
      <c r="O821" s="120"/>
      <c r="P821" s="122"/>
      <c r="Q821" s="123" t="str">
        <f ca="1">IFERROR(__xludf.DUMMYFUNCTION("""COMPUTED_VALUE"""),"Riley Randall")</f>
        <v>Riley Randall</v>
      </c>
      <c r="R821" s="123"/>
      <c r="S821" s="123" t="str">
        <f ca="1">IFERROR(__xludf.DUMMYFUNCTION("""COMPUTED_VALUE"""),"Lydia Kieffer")</f>
        <v>Lydia Kieffer</v>
      </c>
      <c r="T821" s="123" t="str">
        <f ca="1">IFERROR(__xludf.DUMMYFUNCTION("""COMPUTED_VALUE"""),"Siddharth Chandran")</f>
        <v>Siddharth Chandran</v>
      </c>
    </row>
    <row r="822" spans="1:20" ht="13.8">
      <c r="A822" s="118" t="str">
        <f ca="1">IFERROR(__xludf.DUMMYFUNCTION("""COMPUTED_VALUE"""),"HP")</f>
        <v>HP</v>
      </c>
      <c r="B822" s="119" t="str">
        <f ca="1">IFERROR(__xludf.DUMMYFUNCTION("""COMPUTED_VALUE"""),"Mac Coulby")</f>
        <v>Mac Coulby</v>
      </c>
      <c r="C822" s="118">
        <f ca="1">IFERROR(__xludf.DUMMYFUNCTION("""COMPUTED_VALUE"""),17)</f>
        <v>17</v>
      </c>
      <c r="D822" s="118" t="str">
        <f ca="1">IFERROR(__xludf.DUMMYFUNCTION("""COMPUTED_VALUE"""),"B")</f>
        <v>B</v>
      </c>
      <c r="E822" s="118" t="str">
        <f ca="1">IFERROR(__xludf.DUMMYFUNCTION("""COMPUTED_VALUE"""),"S")</f>
        <v>S</v>
      </c>
      <c r="F822" s="118" t="str">
        <f ca="1">IFERROR(__xludf.DUMMYFUNCTION("""COMPUTED_VALUE"""),"S")</f>
        <v>S</v>
      </c>
      <c r="G822" s="118">
        <f ca="1">IFERROR(__xludf.DUMMYFUNCTION("""COMPUTED_VALUE"""),4)</f>
        <v>4</v>
      </c>
      <c r="H822" s="118" t="str">
        <f ca="1">IFERROR(__xludf.DUMMYFUNCTION("""COMPUTED_VALUE"""),"HP")</f>
        <v>HP</v>
      </c>
      <c r="I822" s="118">
        <f ca="1">IFERROR(__xludf.DUMMYFUNCTION("""COMPUTED_VALUE"""),11)</f>
        <v>11</v>
      </c>
      <c r="J822" s="118">
        <f ca="1">IFERROR(__xludf.DUMMYFUNCTION("""COMPUTED_VALUE"""),4)</f>
        <v>4</v>
      </c>
      <c r="K822" s="120">
        <f ca="1">IFERROR(__xludf.DUMMYFUNCTION("""COMPUTED_VALUE"""),144.75)</f>
        <v>144.75</v>
      </c>
      <c r="L822" s="121"/>
      <c r="M822" s="120">
        <f ca="1">IFERROR(__xludf.DUMMYFUNCTION("""COMPUTED_VALUE"""),136.8)</f>
        <v>136.80000000000001</v>
      </c>
      <c r="N822" s="121"/>
      <c r="O822" s="120"/>
      <c r="P822" s="122"/>
      <c r="Q822" s="123" t="str">
        <f ca="1">IFERROR(__xludf.DUMMYFUNCTION("""COMPUTED_VALUE"""),"Riyah McKimmy")</f>
        <v>Riyah McKimmy</v>
      </c>
      <c r="R822" s="123"/>
      <c r="S822" s="123" t="str">
        <f ca="1">IFERROR(__xludf.DUMMYFUNCTION("""COMPUTED_VALUE"""),"Lydia Ko")</f>
        <v>Lydia Ko</v>
      </c>
      <c r="T822" s="123" t="str">
        <f ca="1">IFERROR(__xludf.DUMMYFUNCTION("""COMPUTED_VALUE"""),"Silas Benson")</f>
        <v>Silas Benson</v>
      </c>
    </row>
    <row r="823" spans="1:20" ht="13.8">
      <c r="A823" s="118" t="str">
        <f ca="1">IFERROR(__xludf.DUMMYFUNCTION("""COMPUTED_VALUE"""),"HP")</f>
        <v>HP</v>
      </c>
      <c r="B823" s="119" t="str">
        <f ca="1">IFERROR(__xludf.DUMMYFUNCTION("""COMPUTED_VALUE"""),"Porter Bertman")</f>
        <v>Porter Bertman</v>
      </c>
      <c r="C823" s="118">
        <f ca="1">IFERROR(__xludf.DUMMYFUNCTION("""COMPUTED_VALUE"""),18)</f>
        <v>18</v>
      </c>
      <c r="D823" s="118" t="str">
        <f ca="1">IFERROR(__xludf.DUMMYFUNCTION("""COMPUTED_VALUE"""),"B")</f>
        <v>B</v>
      </c>
      <c r="E823" s="118" t="str">
        <f ca="1">IFERROR(__xludf.DUMMYFUNCTION("""COMPUTED_VALUE"""),"S")</f>
        <v>S</v>
      </c>
      <c r="F823" s="118" t="str">
        <f ca="1">IFERROR(__xludf.DUMMYFUNCTION("""COMPUTED_VALUE"""),"S")</f>
        <v>S</v>
      </c>
      <c r="G823" s="118">
        <f ca="1">IFERROR(__xludf.DUMMYFUNCTION("""COMPUTED_VALUE"""),4)</f>
        <v>4</v>
      </c>
      <c r="H823" s="118" t="str">
        <f ca="1">IFERROR(__xludf.DUMMYFUNCTION("""COMPUTED_VALUE"""),"HP")</f>
        <v>HP</v>
      </c>
      <c r="I823" s="118">
        <f ca="1">IFERROR(__xludf.DUMMYFUNCTION("""COMPUTED_VALUE"""),11)</f>
        <v>11</v>
      </c>
      <c r="J823" s="118">
        <f ca="1">IFERROR(__xludf.DUMMYFUNCTION("""COMPUTED_VALUE"""),2)</f>
        <v>2</v>
      </c>
      <c r="K823" s="120">
        <f ca="1">IFERROR(__xludf.DUMMYFUNCTION("""COMPUTED_VALUE"""),123.15)</f>
        <v>123.15</v>
      </c>
      <c r="L823" s="121"/>
      <c r="M823" s="120"/>
      <c r="N823" s="121"/>
      <c r="O823" s="120"/>
      <c r="P823" s="122"/>
      <c r="Q823" s="123" t="str">
        <f ca="1">IFERROR(__xludf.DUMMYFUNCTION("""COMPUTED_VALUE"""),"Rosalie Fitzgerald")</f>
        <v>Rosalie Fitzgerald</v>
      </c>
      <c r="R823" s="123"/>
      <c r="S823" s="123" t="str">
        <f ca="1">IFERROR(__xludf.DUMMYFUNCTION("""COMPUTED_VALUE"""),"Lydia Miller")</f>
        <v>Lydia Miller</v>
      </c>
      <c r="T823" s="123" t="str">
        <f ca="1">IFERROR(__xludf.DUMMYFUNCTION("""COMPUTED_VALUE"""),"Soren Gongola")</f>
        <v>Soren Gongola</v>
      </c>
    </row>
    <row r="824" spans="1:20" ht="13.8">
      <c r="A824" s="118" t="str">
        <f ca="1">IFERROR(__xludf.DUMMYFUNCTION("""COMPUTED_VALUE"""),"HP")</f>
        <v>HP</v>
      </c>
      <c r="B824" s="119" t="str">
        <f ca="1">IFERROR(__xludf.DUMMYFUNCTION("""COMPUTED_VALUE"""),"Tobias Damico-Lassman")</f>
        <v>Tobias Damico-Lassman</v>
      </c>
      <c r="C824" s="118">
        <f ca="1">IFERROR(__xludf.DUMMYFUNCTION("""COMPUTED_VALUE"""),15)</f>
        <v>15</v>
      </c>
      <c r="D824" s="118" t="str">
        <f ca="1">IFERROR(__xludf.DUMMYFUNCTION("""COMPUTED_VALUE"""),"B")</f>
        <v>B</v>
      </c>
      <c r="E824" s="118" t="str">
        <f ca="1">IFERROR(__xludf.DUMMYFUNCTION("""COMPUTED_VALUE"""),"S")</f>
        <v>S</v>
      </c>
      <c r="F824" s="118" t="str">
        <f ca="1">IFERROR(__xludf.DUMMYFUNCTION("""COMPUTED_VALUE"""),"S")</f>
        <v>S</v>
      </c>
      <c r="G824" s="118">
        <f ca="1">IFERROR(__xludf.DUMMYFUNCTION("""COMPUTED_VALUE"""),4)</f>
        <v>4</v>
      </c>
      <c r="H824" s="118" t="str">
        <f ca="1">IFERROR(__xludf.DUMMYFUNCTION("""COMPUTED_VALUE"""),"HP")</f>
        <v>HP</v>
      </c>
      <c r="I824" s="118">
        <f ca="1">IFERROR(__xludf.DUMMYFUNCTION("""COMPUTED_VALUE"""),11)</f>
        <v>11</v>
      </c>
      <c r="J824" s="118">
        <f ca="1">IFERROR(__xludf.DUMMYFUNCTION("""COMPUTED_VALUE"""),0)</f>
        <v>0</v>
      </c>
      <c r="K824" s="120"/>
      <c r="L824" s="121"/>
      <c r="M824" s="120"/>
      <c r="N824" s="121"/>
      <c r="O824" s="120"/>
      <c r="P824" s="122"/>
      <c r="Q824" s="123" t="str">
        <f ca="1">IFERROR(__xludf.DUMMYFUNCTION("""COMPUTED_VALUE"""),"Rosalie Thornton")</f>
        <v>Rosalie Thornton</v>
      </c>
      <c r="R824" s="123"/>
      <c r="S824" s="123" t="str">
        <f ca="1">IFERROR(__xludf.DUMMYFUNCTION("""COMPUTED_VALUE"""),"Lydia Scruby")</f>
        <v>Lydia Scruby</v>
      </c>
      <c r="T824" s="123" t="str">
        <f ca="1">IFERROR(__xludf.DUMMYFUNCTION("""COMPUTED_VALUE"""),"Soren Khodabandeh")</f>
        <v>Soren Khodabandeh</v>
      </c>
    </row>
    <row r="825" spans="1:20" ht="13.8">
      <c r="A825" s="118" t="str">
        <f ca="1">IFERROR(__xludf.DUMMYFUNCTION("""COMPUTED_VALUE"""),"HS")</f>
        <v>HS</v>
      </c>
      <c r="B825" s="119" t="str">
        <f ca="1">IFERROR(__xludf.DUMMYFUNCTION("""COMPUTED_VALUE"""),"Ellie Bianco")</f>
        <v>Ellie Bianco</v>
      </c>
      <c r="C825" s="118">
        <f ca="1">IFERROR(__xludf.DUMMYFUNCTION("""COMPUTED_VALUE"""),8)</f>
        <v>8</v>
      </c>
      <c r="D825" s="118" t="str">
        <f ca="1">IFERROR(__xludf.DUMMYFUNCTION("""COMPUTED_VALUE"""),"G")</f>
        <v>G</v>
      </c>
      <c r="E825" s="118" t="str">
        <f ca="1">IFERROR(__xludf.DUMMYFUNCTION("""COMPUTED_VALUE"""),"F")</f>
        <v>F</v>
      </c>
      <c r="F825" s="118" t="str">
        <f ca="1">IFERROR(__xludf.DUMMYFUNCTION("""COMPUTED_VALUE"""),"J")</f>
        <v>J</v>
      </c>
      <c r="G825" s="118">
        <f ca="1">IFERROR(__xludf.DUMMYFUNCTION("""COMPUTED_VALUE"""),2)</f>
        <v>2</v>
      </c>
      <c r="H825" s="118" t="str">
        <f ca="1">IFERROR(__xludf.DUMMYFUNCTION("""COMPUTED_VALUE"""),"HS")</f>
        <v>HS</v>
      </c>
      <c r="I825" s="118">
        <f ca="1">IFERROR(__xludf.DUMMYFUNCTION("""COMPUTED_VALUE"""),4)</f>
        <v>4</v>
      </c>
      <c r="J825" s="118">
        <f ca="1">IFERROR(__xludf.DUMMYFUNCTION("""COMPUTED_VALUE"""),0)</f>
        <v>0</v>
      </c>
      <c r="K825" s="120"/>
      <c r="L825" s="121"/>
      <c r="M825" s="120"/>
      <c r="N825" s="121"/>
      <c r="O825" s="120"/>
      <c r="P825" s="122"/>
      <c r="Q825" s="123" t="str">
        <f ca="1">IFERROR(__xludf.DUMMYFUNCTION("""COMPUTED_VALUE"""),"Rose Chang")</f>
        <v>Rose Chang</v>
      </c>
      <c r="R825" s="123"/>
      <c r="S825" s="123" t="str">
        <f ca="1">IFERROR(__xludf.DUMMYFUNCTION("""COMPUTED_VALUE"""),"Lydia Tetreault")</f>
        <v>Lydia Tetreault</v>
      </c>
      <c r="T825" s="123" t="str">
        <f ca="1">IFERROR(__xludf.DUMMYFUNCTION("""COMPUTED_VALUE"""),"Spencer Pocock")</f>
        <v>Spencer Pocock</v>
      </c>
    </row>
    <row r="826" spans="1:20" ht="13.8">
      <c r="A826" s="118" t="str">
        <f ca="1">IFERROR(__xludf.DUMMYFUNCTION("""COMPUTED_VALUE"""),"HS")</f>
        <v>HS</v>
      </c>
      <c r="B826" s="119" t="str">
        <f ca="1">IFERROR(__xludf.DUMMYFUNCTION("""COMPUTED_VALUE"""),"Emalyn Gharakhanian")</f>
        <v>Emalyn Gharakhanian</v>
      </c>
      <c r="C826" s="118">
        <f ca="1">IFERROR(__xludf.DUMMYFUNCTION("""COMPUTED_VALUE"""),9)</f>
        <v>9</v>
      </c>
      <c r="D826" s="118" t="str">
        <f ca="1">IFERROR(__xludf.DUMMYFUNCTION("""COMPUTED_VALUE"""),"G")</f>
        <v>G</v>
      </c>
      <c r="E826" s="118" t="str">
        <f ca="1">IFERROR(__xludf.DUMMYFUNCTION("""COMPUTED_VALUE"""),"F")</f>
        <v>F</v>
      </c>
      <c r="F826" s="118" t="str">
        <f ca="1">IFERROR(__xludf.DUMMYFUNCTION("""COMPUTED_VALUE"""),"J")</f>
        <v>J</v>
      </c>
      <c r="G826" s="118">
        <f ca="1">IFERROR(__xludf.DUMMYFUNCTION("""COMPUTED_VALUE"""),2)</f>
        <v>2</v>
      </c>
      <c r="H826" s="118" t="str">
        <f ca="1">IFERROR(__xludf.DUMMYFUNCTION("""COMPUTED_VALUE"""),"HS")</f>
        <v>HS</v>
      </c>
      <c r="I826" s="118">
        <f ca="1">IFERROR(__xludf.DUMMYFUNCTION("""COMPUTED_VALUE"""),4)</f>
        <v>4</v>
      </c>
      <c r="J826" s="118">
        <f ca="1">IFERROR(__xludf.DUMMYFUNCTION("""COMPUTED_VALUE"""),2)</f>
        <v>2</v>
      </c>
      <c r="K826" s="120">
        <f ca="1">IFERROR(__xludf.DUMMYFUNCTION("""COMPUTED_VALUE"""),40.05)</f>
        <v>40.049999999999997</v>
      </c>
      <c r="L826" s="121"/>
      <c r="M826" s="120">
        <f ca="1">IFERROR(__xludf.DUMMYFUNCTION("""COMPUTED_VALUE"""),40.05)</f>
        <v>40.049999999999997</v>
      </c>
      <c r="N826" s="121"/>
      <c r="O826" s="120">
        <f ca="1">IFERROR(__xludf.DUMMYFUNCTION("""COMPUTED_VALUE"""),38.3)</f>
        <v>38.299999999999997</v>
      </c>
      <c r="P826" s="122"/>
      <c r="Q826" s="123" t="str">
        <f ca="1">IFERROR(__xludf.DUMMYFUNCTION("""COMPUTED_VALUE"""),"Rosie Han")</f>
        <v>Rosie Han</v>
      </c>
      <c r="R826" s="123"/>
      <c r="S826" s="123" t="str">
        <f ca="1">IFERROR(__xludf.DUMMYFUNCTION("""COMPUTED_VALUE"""),"Lydia Weide")</f>
        <v>Lydia Weide</v>
      </c>
      <c r="T826" s="123" t="str">
        <f ca="1">IFERROR(__xludf.DUMMYFUNCTION("""COMPUTED_VALUE"""),"Srihan Bubuk")</f>
        <v>Srihan Bubuk</v>
      </c>
    </row>
    <row r="827" spans="1:20" ht="13.8">
      <c r="A827" s="118" t="str">
        <f ca="1">IFERROR(__xludf.DUMMYFUNCTION("""COMPUTED_VALUE"""),"HS")</f>
        <v>HS</v>
      </c>
      <c r="B827" s="119" t="str">
        <f ca="1">IFERROR(__xludf.DUMMYFUNCTION("""COMPUTED_VALUE"""),"Evie Stith")</f>
        <v>Evie Stith</v>
      </c>
      <c r="C827" s="118">
        <f ca="1">IFERROR(__xludf.DUMMYFUNCTION("""COMPUTED_VALUE"""),8)</f>
        <v>8</v>
      </c>
      <c r="D827" s="118" t="str">
        <f ca="1">IFERROR(__xludf.DUMMYFUNCTION("""COMPUTED_VALUE"""),"G")</f>
        <v>G</v>
      </c>
      <c r="E827" s="118" t="str">
        <f ca="1">IFERROR(__xludf.DUMMYFUNCTION("""COMPUTED_VALUE"""),"F")</f>
        <v>F</v>
      </c>
      <c r="F827" s="118" t="str">
        <f ca="1">IFERROR(__xludf.DUMMYFUNCTION("""COMPUTED_VALUE"""),"J")</f>
        <v>J</v>
      </c>
      <c r="G827" s="118">
        <f ca="1">IFERROR(__xludf.DUMMYFUNCTION("""COMPUTED_VALUE"""),2)</f>
        <v>2</v>
      </c>
      <c r="H827" s="118" t="str">
        <f ca="1">IFERROR(__xludf.DUMMYFUNCTION("""COMPUTED_VALUE"""),"HS")</f>
        <v>HS</v>
      </c>
      <c r="I827" s="118">
        <f ca="1">IFERROR(__xludf.DUMMYFUNCTION("""COMPUTED_VALUE"""),4)</f>
        <v>4</v>
      </c>
      <c r="J827" s="118">
        <f ca="1">IFERROR(__xludf.DUMMYFUNCTION("""COMPUTED_VALUE"""),0)</f>
        <v>0</v>
      </c>
      <c r="K827" s="120"/>
      <c r="L827" s="121"/>
      <c r="M827" s="120"/>
      <c r="N827" s="121"/>
      <c r="O827" s="120"/>
      <c r="P827" s="122"/>
      <c r="Q827" s="123" t="str">
        <f ca="1">IFERROR(__xludf.DUMMYFUNCTION("""COMPUTED_VALUE"""),"Rosie Richardson")</f>
        <v>Rosie Richardson</v>
      </c>
      <c r="R827" s="123"/>
      <c r="S827" s="123" t="str">
        <f ca="1">IFERROR(__xludf.DUMMYFUNCTION("""COMPUTED_VALUE"""),"Lyla Devlin")</f>
        <v>Lyla Devlin</v>
      </c>
      <c r="T827" s="123" t="str">
        <f ca="1">IFERROR(__xludf.DUMMYFUNCTION("""COMPUTED_VALUE"""),"Stanley Hopwood")</f>
        <v>Stanley Hopwood</v>
      </c>
    </row>
    <row r="828" spans="1:20" ht="13.8">
      <c r="A828" s="118" t="str">
        <f ca="1">IFERROR(__xludf.DUMMYFUNCTION("""COMPUTED_VALUE"""),"HS")</f>
        <v>HS</v>
      </c>
      <c r="B828" s="119" t="str">
        <f ca="1">IFERROR(__xludf.DUMMYFUNCTION("""COMPUTED_VALUE"""),"Gracie Weide")</f>
        <v>Gracie Weide</v>
      </c>
      <c r="C828" s="118">
        <f ca="1">IFERROR(__xludf.DUMMYFUNCTION("""COMPUTED_VALUE"""),8)</f>
        <v>8</v>
      </c>
      <c r="D828" s="118" t="str">
        <f ca="1">IFERROR(__xludf.DUMMYFUNCTION("""COMPUTED_VALUE"""),"G")</f>
        <v>G</v>
      </c>
      <c r="E828" s="118" t="str">
        <f ca="1">IFERROR(__xludf.DUMMYFUNCTION("""COMPUTED_VALUE"""),"F")</f>
        <v>F</v>
      </c>
      <c r="F828" s="118" t="str">
        <f ca="1">IFERROR(__xludf.DUMMYFUNCTION("""COMPUTED_VALUE"""),"J")</f>
        <v>J</v>
      </c>
      <c r="G828" s="118">
        <f ca="1">IFERROR(__xludf.DUMMYFUNCTION("""COMPUTED_VALUE"""),2)</f>
        <v>2</v>
      </c>
      <c r="H828" s="118" t="str">
        <f ca="1">IFERROR(__xludf.DUMMYFUNCTION("""COMPUTED_VALUE"""),"HS")</f>
        <v>HS</v>
      </c>
      <c r="I828" s="118">
        <f ca="1">IFERROR(__xludf.DUMMYFUNCTION("""COMPUTED_VALUE"""),4)</f>
        <v>4</v>
      </c>
      <c r="J828" s="118">
        <f ca="1">IFERROR(__xludf.DUMMYFUNCTION("""COMPUTED_VALUE"""),5)</f>
        <v>5</v>
      </c>
      <c r="K828" s="120">
        <f ca="1">IFERROR(__xludf.DUMMYFUNCTION("""COMPUTED_VALUE"""),57.35)</f>
        <v>57.35</v>
      </c>
      <c r="L828" s="121"/>
      <c r="M828" s="120">
        <f ca="1">IFERROR(__xludf.DUMMYFUNCTION("""COMPUTED_VALUE"""),57.35)</f>
        <v>57.35</v>
      </c>
      <c r="N828" s="121"/>
      <c r="O828" s="120">
        <f ca="1">IFERROR(__xludf.DUMMYFUNCTION("""COMPUTED_VALUE"""),44.15)</f>
        <v>44.15</v>
      </c>
      <c r="P828" s="122"/>
      <c r="Q828" s="123" t="str">
        <f ca="1">IFERROR(__xludf.DUMMYFUNCTION("""COMPUTED_VALUE"""),"Roya Calkins")</f>
        <v>Roya Calkins</v>
      </c>
      <c r="R828" s="123"/>
      <c r="S828" s="123" t="str">
        <f ca="1">IFERROR(__xludf.DUMMYFUNCTION("""COMPUTED_VALUE"""),"Lyrics Chen")</f>
        <v>Lyrics Chen</v>
      </c>
      <c r="T828" s="123" t="str">
        <f ca="1">IFERROR(__xludf.DUMMYFUNCTION("""COMPUTED_VALUE"""),"Stellan Stoltz")</f>
        <v>Stellan Stoltz</v>
      </c>
    </row>
    <row r="829" spans="1:20" ht="13.8">
      <c r="A829" s="118" t="str">
        <f ca="1">IFERROR(__xludf.DUMMYFUNCTION("""COMPUTED_VALUE"""),"HS")</f>
        <v>HS</v>
      </c>
      <c r="B829" s="119" t="str">
        <f ca="1">IFERROR(__xludf.DUMMYFUNCTION("""COMPUTED_VALUE"""),"Ivy Rasmussen")</f>
        <v>Ivy Rasmussen</v>
      </c>
      <c r="C829" s="118">
        <f ca="1">IFERROR(__xludf.DUMMYFUNCTION("""COMPUTED_VALUE"""),10)</f>
        <v>10</v>
      </c>
      <c r="D829" s="118" t="str">
        <f ca="1">IFERROR(__xludf.DUMMYFUNCTION("""COMPUTED_VALUE"""),"G")</f>
        <v>G</v>
      </c>
      <c r="E829" s="118" t="str">
        <f ca="1">IFERROR(__xludf.DUMMYFUNCTION("""COMPUTED_VALUE"""),"F")</f>
        <v>F</v>
      </c>
      <c r="F829" s="118" t="str">
        <f ca="1">IFERROR(__xludf.DUMMYFUNCTION("""COMPUTED_VALUE"""),"J")</f>
        <v>J</v>
      </c>
      <c r="G829" s="118">
        <f ca="1">IFERROR(__xludf.DUMMYFUNCTION("""COMPUTED_VALUE"""),2)</f>
        <v>2</v>
      </c>
      <c r="H829" s="118" t="str">
        <f ca="1">IFERROR(__xludf.DUMMYFUNCTION("""COMPUTED_VALUE"""),"HS")</f>
        <v>HS</v>
      </c>
      <c r="I829" s="118">
        <f ca="1">IFERROR(__xludf.DUMMYFUNCTION("""COMPUTED_VALUE"""),4)</f>
        <v>4</v>
      </c>
      <c r="J829" s="118">
        <f ca="1">IFERROR(__xludf.DUMMYFUNCTION("""COMPUTED_VALUE"""),4)</f>
        <v>4</v>
      </c>
      <c r="K829" s="120">
        <f ca="1">IFERROR(__xludf.DUMMYFUNCTION("""COMPUTED_VALUE"""),72.25)</f>
        <v>72.25</v>
      </c>
      <c r="L829" s="121"/>
      <c r="M829" s="120"/>
      <c r="N829" s="121"/>
      <c r="O829" s="120">
        <f ca="1">IFERROR(__xludf.DUMMYFUNCTION("""COMPUTED_VALUE"""),71.7)</f>
        <v>71.7</v>
      </c>
      <c r="P829" s="122"/>
      <c r="Q829" s="123" t="str">
        <f ca="1">IFERROR(__xludf.DUMMYFUNCTION("""COMPUTED_VALUE"""),"Ruby Conole")</f>
        <v>Ruby Conole</v>
      </c>
      <c r="R829" s="123"/>
      <c r="S829" s="123" t="str">
        <f ca="1">IFERROR(__xludf.DUMMYFUNCTION("""COMPUTED_VALUE"""),"Mabel Margolis")</f>
        <v>Mabel Margolis</v>
      </c>
      <c r="T829" s="123" t="str">
        <f ca="1">IFERROR(__xludf.DUMMYFUNCTION("""COMPUTED_VALUE"""),"Stevie Simmons")</f>
        <v>Stevie Simmons</v>
      </c>
    </row>
    <row r="830" spans="1:20" ht="13.8">
      <c r="A830" s="118" t="str">
        <f ca="1">IFERROR(__xludf.DUMMYFUNCTION("""COMPUTED_VALUE"""),"HS")</f>
        <v>HS</v>
      </c>
      <c r="B830" s="119" t="str">
        <f ca="1">IFERROR(__xludf.DUMMYFUNCTION("""COMPUTED_VALUE"""),"Jemima Dewhirst")</f>
        <v>Jemima Dewhirst</v>
      </c>
      <c r="C830" s="118">
        <f ca="1">IFERROR(__xludf.DUMMYFUNCTION("""COMPUTED_VALUE"""),7)</f>
        <v>7</v>
      </c>
      <c r="D830" s="118" t="str">
        <f ca="1">IFERROR(__xludf.DUMMYFUNCTION("""COMPUTED_VALUE"""),"G")</f>
        <v>G</v>
      </c>
      <c r="E830" s="118" t="str">
        <f ca="1">IFERROR(__xludf.DUMMYFUNCTION("""COMPUTED_VALUE"""),"F")</f>
        <v>F</v>
      </c>
      <c r="F830" s="118" t="str">
        <f ca="1">IFERROR(__xludf.DUMMYFUNCTION("""COMPUTED_VALUE"""),"J")</f>
        <v>J</v>
      </c>
      <c r="G830" s="118">
        <f ca="1">IFERROR(__xludf.DUMMYFUNCTION("""COMPUTED_VALUE"""),2)</f>
        <v>2</v>
      </c>
      <c r="H830" s="118" t="str">
        <f ca="1">IFERROR(__xludf.DUMMYFUNCTION("""COMPUTED_VALUE"""),"HS")</f>
        <v>HS</v>
      </c>
      <c r="I830" s="118">
        <f ca="1">IFERROR(__xludf.DUMMYFUNCTION("""COMPUTED_VALUE"""),4)</f>
        <v>4</v>
      </c>
      <c r="J830" s="118">
        <f ca="1">IFERROR(__xludf.DUMMYFUNCTION("""COMPUTED_VALUE"""),2)</f>
        <v>2</v>
      </c>
      <c r="K830" s="120">
        <f ca="1">IFERROR(__xludf.DUMMYFUNCTION("""COMPUTED_VALUE"""),40.3)</f>
        <v>40.299999999999997</v>
      </c>
      <c r="L830" s="121"/>
      <c r="M830" s="120"/>
      <c r="N830" s="121"/>
      <c r="O830" s="120"/>
      <c r="P830" s="122"/>
      <c r="Q830" s="123" t="str">
        <f ca="1">IFERROR(__xludf.DUMMYFUNCTION("""COMPUTED_VALUE"""),"Ruby Spannagel")</f>
        <v>Ruby Spannagel</v>
      </c>
      <c r="R830" s="123"/>
      <c r="S830" s="123" t="str">
        <f ca="1">IFERROR(__xludf.DUMMYFUNCTION("""COMPUTED_VALUE"""),"Mabel Mullinix")</f>
        <v>Mabel Mullinix</v>
      </c>
      <c r="T830" s="123" t="str">
        <f ca="1">IFERROR(__xludf.DUMMYFUNCTION("""COMPUTED_VALUE"""),"Sullivan Moore")</f>
        <v>Sullivan Moore</v>
      </c>
    </row>
    <row r="831" spans="1:20" ht="13.8">
      <c r="A831" s="118" t="str">
        <f ca="1">IFERROR(__xludf.DUMMYFUNCTION("""COMPUTED_VALUE"""),"HS")</f>
        <v>HS</v>
      </c>
      <c r="B831" s="119" t="str">
        <f ca="1">IFERROR(__xludf.DUMMYFUNCTION("""COMPUTED_VALUE"""),"Lydia Weide")</f>
        <v>Lydia Weide</v>
      </c>
      <c r="C831" s="118">
        <f ca="1">IFERROR(__xludf.DUMMYFUNCTION("""COMPUTED_VALUE"""),6)</f>
        <v>6</v>
      </c>
      <c r="D831" s="118" t="str">
        <f ca="1">IFERROR(__xludf.DUMMYFUNCTION("""COMPUTED_VALUE"""),"G")</f>
        <v>G</v>
      </c>
      <c r="E831" s="118" t="str">
        <f ca="1">IFERROR(__xludf.DUMMYFUNCTION("""COMPUTED_VALUE"""),"F")</f>
        <v>F</v>
      </c>
      <c r="F831" s="118" t="str">
        <f ca="1">IFERROR(__xludf.DUMMYFUNCTION("""COMPUTED_VALUE"""),"J")</f>
        <v>J</v>
      </c>
      <c r="G831" s="118">
        <f ca="1">IFERROR(__xludf.DUMMYFUNCTION("""COMPUTED_VALUE"""),2)</f>
        <v>2</v>
      </c>
      <c r="H831" s="118" t="str">
        <f ca="1">IFERROR(__xludf.DUMMYFUNCTION("""COMPUTED_VALUE"""),"HS")</f>
        <v>HS</v>
      </c>
      <c r="I831" s="118">
        <f ca="1">IFERROR(__xludf.DUMMYFUNCTION("""COMPUTED_VALUE"""),4)</f>
        <v>4</v>
      </c>
      <c r="J831" s="118">
        <f ca="1">IFERROR(__xludf.DUMMYFUNCTION("""COMPUTED_VALUE"""),0)</f>
        <v>0</v>
      </c>
      <c r="K831" s="120"/>
      <c r="L831" s="121"/>
      <c r="M831" s="120"/>
      <c r="N831" s="121"/>
      <c r="O831" s="120"/>
      <c r="P831" s="122"/>
      <c r="Q831" s="123" t="str">
        <f ca="1">IFERROR(__xludf.DUMMYFUNCTION("""COMPUTED_VALUE"""),"Ruthie Gaffney")</f>
        <v>Ruthie Gaffney</v>
      </c>
      <c r="R831" s="123"/>
      <c r="S831" s="123" t="str">
        <f ca="1">IFERROR(__xludf.DUMMYFUNCTION("""COMPUTED_VALUE"""),"Mackenzie Karrels")</f>
        <v>Mackenzie Karrels</v>
      </c>
      <c r="T831" s="123" t="str">
        <f ca="1">IFERROR(__xludf.DUMMYFUNCTION("""COMPUTED_VALUE"""),"Taggart Schuerfeld")</f>
        <v>Taggart Schuerfeld</v>
      </c>
    </row>
    <row r="832" spans="1:20" ht="13.8">
      <c r="A832" s="118" t="str">
        <f ca="1">IFERROR(__xludf.DUMMYFUNCTION("""COMPUTED_VALUE"""),"HS")</f>
        <v>HS</v>
      </c>
      <c r="B832" s="119" t="str">
        <f ca="1">IFERROR(__xludf.DUMMYFUNCTION("""COMPUTED_VALUE"""),"Meghan Murphy")</f>
        <v>Meghan Murphy</v>
      </c>
      <c r="C832" s="118">
        <f ca="1">IFERROR(__xludf.DUMMYFUNCTION("""COMPUTED_VALUE"""),9)</f>
        <v>9</v>
      </c>
      <c r="D832" s="118" t="str">
        <f ca="1">IFERROR(__xludf.DUMMYFUNCTION("""COMPUTED_VALUE"""),"G")</f>
        <v>G</v>
      </c>
      <c r="E832" s="118" t="str">
        <f ca="1">IFERROR(__xludf.DUMMYFUNCTION("""COMPUTED_VALUE"""),"F")</f>
        <v>F</v>
      </c>
      <c r="F832" s="118" t="str">
        <f ca="1">IFERROR(__xludf.DUMMYFUNCTION("""COMPUTED_VALUE"""),"J")</f>
        <v>J</v>
      </c>
      <c r="G832" s="118">
        <f ca="1">IFERROR(__xludf.DUMMYFUNCTION("""COMPUTED_VALUE"""),2)</f>
        <v>2</v>
      </c>
      <c r="H832" s="118" t="str">
        <f ca="1">IFERROR(__xludf.DUMMYFUNCTION("""COMPUTED_VALUE"""),"HS")</f>
        <v>HS</v>
      </c>
      <c r="I832" s="118">
        <f ca="1">IFERROR(__xludf.DUMMYFUNCTION("""COMPUTED_VALUE"""),4)</f>
        <v>4</v>
      </c>
      <c r="J832" s="118">
        <f ca="1">IFERROR(__xludf.DUMMYFUNCTION("""COMPUTED_VALUE"""),0)</f>
        <v>0</v>
      </c>
      <c r="K832" s="120"/>
      <c r="L832" s="121"/>
      <c r="M832" s="120"/>
      <c r="N832" s="121"/>
      <c r="O832" s="120"/>
      <c r="P832" s="122"/>
      <c r="Q832" s="123" t="str">
        <f ca="1">IFERROR(__xludf.DUMMYFUNCTION("""COMPUTED_VALUE"""),"Ruthvi Mamillapalli")</f>
        <v>Ruthvi Mamillapalli</v>
      </c>
      <c r="R832" s="123"/>
      <c r="S832" s="123" t="str">
        <f ca="1">IFERROR(__xludf.DUMMYFUNCTION("""COMPUTED_VALUE"""),"Mackie Cotter")</f>
        <v>Mackie Cotter</v>
      </c>
      <c r="T832" s="123" t="str">
        <f ca="1">IFERROR(__xludf.DUMMYFUNCTION("""COMPUTED_VALUE"""),"Tanner Bennett")</f>
        <v>Tanner Bennett</v>
      </c>
    </row>
    <row r="833" spans="1:20" ht="13.8">
      <c r="A833" s="118" t="str">
        <f ca="1">IFERROR(__xludf.DUMMYFUNCTION("""COMPUTED_VALUE"""),"HS")</f>
        <v>HS</v>
      </c>
      <c r="B833" s="119" t="str">
        <f ca="1">IFERROR(__xludf.DUMMYFUNCTION("""COMPUTED_VALUE"""),"Vale Luks")</f>
        <v>Vale Luks</v>
      </c>
      <c r="C833" s="118">
        <f ca="1">IFERROR(__xludf.DUMMYFUNCTION("""COMPUTED_VALUE"""),7)</f>
        <v>7</v>
      </c>
      <c r="D833" s="118" t="str">
        <f ca="1">IFERROR(__xludf.DUMMYFUNCTION("""COMPUTED_VALUE"""),"G")</f>
        <v>G</v>
      </c>
      <c r="E833" s="118" t="str">
        <f ca="1">IFERROR(__xludf.DUMMYFUNCTION("""COMPUTED_VALUE"""),"F")</f>
        <v>F</v>
      </c>
      <c r="F833" s="118" t="str">
        <f ca="1">IFERROR(__xludf.DUMMYFUNCTION("""COMPUTED_VALUE"""),"J")</f>
        <v>J</v>
      </c>
      <c r="G833" s="118">
        <f ca="1">IFERROR(__xludf.DUMMYFUNCTION("""COMPUTED_VALUE"""),2)</f>
        <v>2</v>
      </c>
      <c r="H833" s="118" t="str">
        <f ca="1">IFERROR(__xludf.DUMMYFUNCTION("""COMPUTED_VALUE"""),"HS")</f>
        <v>HS</v>
      </c>
      <c r="I833" s="118">
        <f ca="1">IFERROR(__xludf.DUMMYFUNCTION("""COMPUTED_VALUE"""),4)</f>
        <v>4</v>
      </c>
      <c r="J833" s="118">
        <f ca="1">IFERROR(__xludf.DUMMYFUNCTION("""COMPUTED_VALUE"""),0)</f>
        <v>0</v>
      </c>
      <c r="K833" s="120"/>
      <c r="L833" s="121"/>
      <c r="M833" s="120"/>
      <c r="N833" s="121"/>
      <c r="O833" s="120"/>
      <c r="P833" s="122"/>
      <c r="Q833" s="123" t="str">
        <f ca="1">IFERROR(__xludf.DUMMYFUNCTION("""COMPUTED_VALUE"""),"Ryan Frazitta")</f>
        <v>Ryan Frazitta</v>
      </c>
      <c r="R833" s="123"/>
      <c r="S833" s="123" t="str">
        <f ca="1">IFERROR(__xludf.DUMMYFUNCTION("""COMPUTED_VALUE"""),"Maddi Nassar")</f>
        <v>Maddi Nassar</v>
      </c>
      <c r="T833" s="123" t="str">
        <f ca="1">IFERROR(__xludf.DUMMYFUNCTION("""COMPUTED_VALUE"""),"Tanner Green")</f>
        <v>Tanner Green</v>
      </c>
    </row>
    <row r="834" spans="1:20" ht="13.8">
      <c r="A834" s="118" t="str">
        <f ca="1">IFERROR(__xludf.DUMMYFUNCTION("""COMPUTED_VALUE"""),"HS")</f>
        <v>HS</v>
      </c>
      <c r="B834" s="119" t="str">
        <f ca="1">IFERROR(__xludf.DUMMYFUNCTION("""COMPUTED_VALUE"""),"Andrew Zemek")</f>
        <v>Andrew Zemek</v>
      </c>
      <c r="C834" s="118">
        <f ca="1">IFERROR(__xludf.DUMMYFUNCTION("""COMPUTED_VALUE"""),9)</f>
        <v>9</v>
      </c>
      <c r="D834" s="118" t="str">
        <f ca="1">IFERROR(__xludf.DUMMYFUNCTION("""COMPUTED_VALUE"""),"B")</f>
        <v>B</v>
      </c>
      <c r="E834" s="118" t="str">
        <f ca="1">IFERROR(__xludf.DUMMYFUNCTION("""COMPUTED_VALUE"""),"F")</f>
        <v>F</v>
      </c>
      <c r="F834" s="118" t="str">
        <f ca="1">IFERROR(__xludf.DUMMYFUNCTION("""COMPUTED_VALUE"""),"J")</f>
        <v>J</v>
      </c>
      <c r="G834" s="118">
        <f ca="1">IFERROR(__xludf.DUMMYFUNCTION("""COMPUTED_VALUE"""),2)</f>
        <v>2</v>
      </c>
      <c r="H834" s="118" t="str">
        <f ca="1">IFERROR(__xludf.DUMMYFUNCTION("""COMPUTED_VALUE"""),"HS")</f>
        <v>HS</v>
      </c>
      <c r="I834" s="118">
        <f ca="1">IFERROR(__xludf.DUMMYFUNCTION("""COMPUTED_VALUE"""),5)</f>
        <v>5</v>
      </c>
      <c r="J834" s="118">
        <f ca="1">IFERROR(__xludf.DUMMYFUNCTION("""COMPUTED_VALUE"""),0)</f>
        <v>0</v>
      </c>
      <c r="K834" s="120"/>
      <c r="L834" s="121"/>
      <c r="M834" s="120"/>
      <c r="N834" s="121"/>
      <c r="O834" s="120"/>
      <c r="P834" s="122"/>
      <c r="Q834" s="123" t="str">
        <f ca="1">IFERROR(__xludf.DUMMYFUNCTION("""COMPUTED_VALUE"""),"Ryan King")</f>
        <v>Ryan King</v>
      </c>
      <c r="R834" s="123"/>
      <c r="S834" s="123" t="str">
        <f ca="1">IFERROR(__xludf.DUMMYFUNCTION("""COMPUTED_VALUE"""),"Maddie Allard")</f>
        <v>Maddie Allard</v>
      </c>
      <c r="T834" s="123" t="str">
        <f ca="1">IFERROR(__xludf.DUMMYFUNCTION("""COMPUTED_VALUE"""),"Tanner Williams")</f>
        <v>Tanner Williams</v>
      </c>
    </row>
    <row r="835" spans="1:20" ht="13.8">
      <c r="A835" s="118" t="str">
        <f ca="1">IFERROR(__xludf.DUMMYFUNCTION("""COMPUTED_VALUE"""),"HS")</f>
        <v>HS</v>
      </c>
      <c r="B835" s="119" t="str">
        <f ca="1">IFERROR(__xludf.DUMMYFUNCTION("""COMPUTED_VALUE"""),"Carter Huey")</f>
        <v>Carter Huey</v>
      </c>
      <c r="C835" s="118">
        <f ca="1">IFERROR(__xludf.DUMMYFUNCTION("""COMPUTED_VALUE"""),10)</f>
        <v>10</v>
      </c>
      <c r="D835" s="118" t="str">
        <f ca="1">IFERROR(__xludf.DUMMYFUNCTION("""COMPUTED_VALUE"""),"B")</f>
        <v>B</v>
      </c>
      <c r="E835" s="118" t="str">
        <f ca="1">IFERROR(__xludf.DUMMYFUNCTION("""COMPUTED_VALUE"""),"F")</f>
        <v>F</v>
      </c>
      <c r="F835" s="118" t="str">
        <f ca="1">IFERROR(__xludf.DUMMYFUNCTION("""COMPUTED_VALUE"""),"J")</f>
        <v>J</v>
      </c>
      <c r="G835" s="118">
        <f ca="1">IFERROR(__xludf.DUMMYFUNCTION("""COMPUTED_VALUE"""),2)</f>
        <v>2</v>
      </c>
      <c r="H835" s="118" t="str">
        <f ca="1">IFERROR(__xludf.DUMMYFUNCTION("""COMPUTED_VALUE"""),"HS")</f>
        <v>HS</v>
      </c>
      <c r="I835" s="118">
        <f ca="1">IFERROR(__xludf.DUMMYFUNCTION("""COMPUTED_VALUE"""),5)</f>
        <v>5</v>
      </c>
      <c r="J835" s="118">
        <f ca="1">IFERROR(__xludf.DUMMYFUNCTION("""COMPUTED_VALUE"""),0)</f>
        <v>0</v>
      </c>
      <c r="K835" s="120"/>
      <c r="L835" s="121"/>
      <c r="M835" s="120"/>
      <c r="N835" s="121"/>
      <c r="O835" s="120"/>
      <c r="P835" s="122"/>
      <c r="Q835" s="123" t="str">
        <f ca="1">IFERROR(__xludf.DUMMYFUNCTION("""COMPUTED_VALUE"""),"Ryann Rautenbach")</f>
        <v>Ryann Rautenbach</v>
      </c>
      <c r="R835" s="123"/>
      <c r="S835" s="123" t="str">
        <f ca="1">IFERROR(__xludf.DUMMYFUNCTION("""COMPUTED_VALUE"""),"Maddie Bloss")</f>
        <v>Maddie Bloss</v>
      </c>
      <c r="T835" s="123" t="str">
        <f ca="1">IFERROR(__xludf.DUMMYFUNCTION("""COMPUTED_VALUE"""),"Tayo Llosa")</f>
        <v>Tayo Llosa</v>
      </c>
    </row>
    <row r="836" spans="1:20" ht="13.8">
      <c r="A836" s="118" t="str">
        <f ca="1">IFERROR(__xludf.DUMMYFUNCTION("""COMPUTED_VALUE"""),"HS")</f>
        <v>HS</v>
      </c>
      <c r="B836" s="119" t="str">
        <f ca="1">IFERROR(__xludf.DUMMYFUNCTION("""COMPUTED_VALUE"""),"CJ Swemba")</f>
        <v>CJ Swemba</v>
      </c>
      <c r="C836" s="118">
        <f ca="1">IFERROR(__xludf.DUMMYFUNCTION("""COMPUTED_VALUE"""),10)</f>
        <v>10</v>
      </c>
      <c r="D836" s="118" t="str">
        <f ca="1">IFERROR(__xludf.DUMMYFUNCTION("""COMPUTED_VALUE"""),"B")</f>
        <v>B</v>
      </c>
      <c r="E836" s="118" t="str">
        <f ca="1">IFERROR(__xludf.DUMMYFUNCTION("""COMPUTED_VALUE"""),"F")</f>
        <v>F</v>
      </c>
      <c r="F836" s="118" t="str">
        <f ca="1">IFERROR(__xludf.DUMMYFUNCTION("""COMPUTED_VALUE"""),"J")</f>
        <v>J</v>
      </c>
      <c r="G836" s="118">
        <f ca="1">IFERROR(__xludf.DUMMYFUNCTION("""COMPUTED_VALUE"""),2)</f>
        <v>2</v>
      </c>
      <c r="H836" s="118" t="str">
        <f ca="1">IFERROR(__xludf.DUMMYFUNCTION("""COMPUTED_VALUE"""),"HS")</f>
        <v>HS</v>
      </c>
      <c r="I836" s="118">
        <f ca="1">IFERROR(__xludf.DUMMYFUNCTION("""COMPUTED_VALUE"""),5)</f>
        <v>5</v>
      </c>
      <c r="J836" s="118">
        <f ca="1">IFERROR(__xludf.DUMMYFUNCTION("""COMPUTED_VALUE"""),3)</f>
        <v>3</v>
      </c>
      <c r="K836" s="120">
        <f ca="1">IFERROR(__xludf.DUMMYFUNCTION("""COMPUTED_VALUE"""),56.15)</f>
        <v>56.15</v>
      </c>
      <c r="L836" s="121"/>
      <c r="M836" s="120">
        <f ca="1">IFERROR(__xludf.DUMMYFUNCTION("""COMPUTED_VALUE"""),52.85)</f>
        <v>52.85</v>
      </c>
      <c r="N836" s="121"/>
      <c r="O836" s="120">
        <f ca="1">IFERROR(__xludf.DUMMYFUNCTION("""COMPUTED_VALUE"""),56.15)</f>
        <v>56.15</v>
      </c>
      <c r="P836" s="122"/>
      <c r="Q836" s="123" t="str">
        <f ca="1">IFERROR(__xludf.DUMMYFUNCTION("""COMPUTED_VALUE"""),"Sabina Khan")</f>
        <v>Sabina Khan</v>
      </c>
      <c r="R836" s="123"/>
      <c r="S836" s="123" t="str">
        <f ca="1">IFERROR(__xludf.DUMMYFUNCTION("""COMPUTED_VALUE"""),"Maddie Dennison-Gibby")</f>
        <v>Maddie Dennison-Gibby</v>
      </c>
      <c r="T836" s="123" t="str">
        <f ca="1">IFERROR(__xludf.DUMMYFUNCTION("""COMPUTED_VALUE"""),"Teddy Alarie")</f>
        <v>Teddy Alarie</v>
      </c>
    </row>
    <row r="837" spans="1:20" ht="13.8">
      <c r="A837" s="118" t="str">
        <f ca="1">IFERROR(__xludf.DUMMYFUNCTION("""COMPUTED_VALUE"""),"HS")</f>
        <v>HS</v>
      </c>
      <c r="B837" s="119" t="str">
        <f ca="1">IFERROR(__xludf.DUMMYFUNCTION("""COMPUTED_VALUE"""),"Evan Chen")</f>
        <v>Evan Chen</v>
      </c>
      <c r="C837" s="118">
        <f ca="1">IFERROR(__xludf.DUMMYFUNCTION("""COMPUTED_VALUE"""),6)</f>
        <v>6</v>
      </c>
      <c r="D837" s="118" t="str">
        <f ca="1">IFERROR(__xludf.DUMMYFUNCTION("""COMPUTED_VALUE"""),"B")</f>
        <v>B</v>
      </c>
      <c r="E837" s="118" t="str">
        <f ca="1">IFERROR(__xludf.DUMMYFUNCTION("""COMPUTED_VALUE"""),"F")</f>
        <v>F</v>
      </c>
      <c r="F837" s="118" t="str">
        <f ca="1">IFERROR(__xludf.DUMMYFUNCTION("""COMPUTED_VALUE"""),"J")</f>
        <v>J</v>
      </c>
      <c r="G837" s="118">
        <f ca="1">IFERROR(__xludf.DUMMYFUNCTION("""COMPUTED_VALUE"""),2)</f>
        <v>2</v>
      </c>
      <c r="H837" s="118" t="str">
        <f ca="1">IFERROR(__xludf.DUMMYFUNCTION("""COMPUTED_VALUE"""),"HS")</f>
        <v>HS</v>
      </c>
      <c r="I837" s="118">
        <f ca="1">IFERROR(__xludf.DUMMYFUNCTION("""COMPUTED_VALUE"""),5)</f>
        <v>5</v>
      </c>
      <c r="J837" s="118">
        <f ca="1">IFERROR(__xludf.DUMMYFUNCTION("""COMPUTED_VALUE"""),1)</f>
        <v>1</v>
      </c>
      <c r="K837" s="120">
        <f ca="1">IFERROR(__xludf.DUMMYFUNCTION("""COMPUTED_VALUE"""),37.55)</f>
        <v>37.549999999999997</v>
      </c>
      <c r="L837" s="121"/>
      <c r="M837" s="120"/>
      <c r="N837" s="121"/>
      <c r="O837" s="120"/>
      <c r="P837" s="122"/>
      <c r="Q837" s="123" t="str">
        <f ca="1">IFERROR(__xludf.DUMMYFUNCTION("""COMPUTED_VALUE"""),"Sabrina Mao")</f>
        <v>Sabrina Mao</v>
      </c>
      <c r="R837" s="123"/>
      <c r="S837" s="123" t="str">
        <f ca="1">IFERROR(__xludf.DUMMYFUNCTION("""COMPUTED_VALUE"""),"Maddie Fucci")</f>
        <v>Maddie Fucci</v>
      </c>
      <c r="T837" s="123" t="str">
        <f ca="1">IFERROR(__xludf.DUMMYFUNCTION("""COMPUTED_VALUE"""),"Teddy Anderson")</f>
        <v>Teddy Anderson</v>
      </c>
    </row>
    <row r="838" spans="1:20" ht="13.8">
      <c r="A838" s="118" t="str">
        <f ca="1">IFERROR(__xludf.DUMMYFUNCTION("""COMPUTED_VALUE"""),"HS")</f>
        <v>HS</v>
      </c>
      <c r="B838" s="119" t="str">
        <f ca="1">IFERROR(__xludf.DUMMYFUNCTION("""COMPUTED_VALUE"""),"George Janicke")</f>
        <v>George Janicke</v>
      </c>
      <c r="C838" s="118">
        <f ca="1">IFERROR(__xludf.DUMMYFUNCTION("""COMPUTED_VALUE"""),9)</f>
        <v>9</v>
      </c>
      <c r="D838" s="118" t="str">
        <f ca="1">IFERROR(__xludf.DUMMYFUNCTION("""COMPUTED_VALUE"""),"B")</f>
        <v>B</v>
      </c>
      <c r="E838" s="118" t="str">
        <f ca="1">IFERROR(__xludf.DUMMYFUNCTION("""COMPUTED_VALUE"""),"F")</f>
        <v>F</v>
      </c>
      <c r="F838" s="118" t="str">
        <f ca="1">IFERROR(__xludf.DUMMYFUNCTION("""COMPUTED_VALUE"""),"J")</f>
        <v>J</v>
      </c>
      <c r="G838" s="118">
        <f ca="1">IFERROR(__xludf.DUMMYFUNCTION("""COMPUTED_VALUE"""),2)</f>
        <v>2</v>
      </c>
      <c r="H838" s="118" t="str">
        <f ca="1">IFERROR(__xludf.DUMMYFUNCTION("""COMPUTED_VALUE"""),"HS")</f>
        <v>HS</v>
      </c>
      <c r="I838" s="118">
        <f ca="1">IFERROR(__xludf.DUMMYFUNCTION("""COMPUTED_VALUE"""),5)</f>
        <v>5</v>
      </c>
      <c r="J838" s="118">
        <f ca="1">IFERROR(__xludf.DUMMYFUNCTION("""COMPUTED_VALUE"""),0)</f>
        <v>0</v>
      </c>
      <c r="K838" s="120"/>
      <c r="L838" s="121"/>
      <c r="M838" s="120"/>
      <c r="N838" s="121"/>
      <c r="O838" s="120"/>
      <c r="P838" s="122"/>
      <c r="Q838" s="123" t="str">
        <f ca="1">IFERROR(__xludf.DUMMYFUNCTION("""COMPUTED_VALUE"""),"Sadie Fickling")</f>
        <v>Sadie Fickling</v>
      </c>
      <c r="R838" s="123"/>
      <c r="S838" s="123" t="str">
        <f ca="1">IFERROR(__xludf.DUMMYFUNCTION("""COMPUTED_VALUE"""),"Maddie Kelly")</f>
        <v>Maddie Kelly</v>
      </c>
      <c r="T838" s="123" t="str">
        <f ca="1">IFERROR(__xludf.DUMMYFUNCTION("""COMPUTED_VALUE"""),"Teddy Klousia")</f>
        <v>Teddy Klousia</v>
      </c>
    </row>
    <row r="839" spans="1:20" ht="13.8">
      <c r="A839" s="118" t="str">
        <f ca="1">IFERROR(__xludf.DUMMYFUNCTION("""COMPUTED_VALUE"""),"HS")</f>
        <v>HS</v>
      </c>
      <c r="B839" s="119" t="str">
        <f ca="1">IFERROR(__xludf.DUMMYFUNCTION("""COMPUTED_VALUE"""),"Jeremy Chen")</f>
        <v>Jeremy Chen</v>
      </c>
      <c r="C839" s="118">
        <f ca="1">IFERROR(__xludf.DUMMYFUNCTION("""COMPUTED_VALUE"""),6)</f>
        <v>6</v>
      </c>
      <c r="D839" s="118" t="str">
        <f ca="1">IFERROR(__xludf.DUMMYFUNCTION("""COMPUTED_VALUE"""),"B")</f>
        <v>B</v>
      </c>
      <c r="E839" s="118" t="str">
        <f ca="1">IFERROR(__xludf.DUMMYFUNCTION("""COMPUTED_VALUE"""),"F")</f>
        <v>F</v>
      </c>
      <c r="F839" s="118" t="str">
        <f ca="1">IFERROR(__xludf.DUMMYFUNCTION("""COMPUTED_VALUE"""),"J")</f>
        <v>J</v>
      </c>
      <c r="G839" s="118">
        <f ca="1">IFERROR(__xludf.DUMMYFUNCTION("""COMPUTED_VALUE"""),2)</f>
        <v>2</v>
      </c>
      <c r="H839" s="118" t="str">
        <f ca="1">IFERROR(__xludf.DUMMYFUNCTION("""COMPUTED_VALUE"""),"HS")</f>
        <v>HS</v>
      </c>
      <c r="I839" s="118">
        <f ca="1">IFERROR(__xludf.DUMMYFUNCTION("""COMPUTED_VALUE"""),5)</f>
        <v>5</v>
      </c>
      <c r="J839" s="118">
        <f ca="1">IFERROR(__xludf.DUMMYFUNCTION("""COMPUTED_VALUE"""),2)</f>
        <v>2</v>
      </c>
      <c r="K839" s="120">
        <f ca="1">IFERROR(__xludf.DUMMYFUNCTION("""COMPUTED_VALUE"""),18.6)</f>
        <v>18.600000000000001</v>
      </c>
      <c r="L839" s="121"/>
      <c r="M839" s="120"/>
      <c r="N839" s="121"/>
      <c r="O839" s="120"/>
      <c r="P839" s="122"/>
      <c r="Q839" s="123" t="str">
        <f ca="1">IFERROR(__xludf.DUMMYFUNCTION("""COMPUTED_VALUE"""),"Sadie Parr")</f>
        <v>Sadie Parr</v>
      </c>
      <c r="R839" s="123"/>
      <c r="S839" s="123" t="str">
        <f ca="1">IFERROR(__xludf.DUMMYFUNCTION("""COMPUTED_VALUE"""),"Maddie Laccone")</f>
        <v>Maddie Laccone</v>
      </c>
      <c r="T839" s="123" t="str">
        <f ca="1">IFERROR(__xludf.DUMMYFUNCTION("""COMPUTED_VALUE"""),"Teddy Lilly")</f>
        <v>Teddy Lilly</v>
      </c>
    </row>
    <row r="840" spans="1:20" ht="13.8">
      <c r="A840" s="118" t="str">
        <f ca="1">IFERROR(__xludf.DUMMYFUNCTION("""COMPUTED_VALUE"""),"HS")</f>
        <v>HS</v>
      </c>
      <c r="B840" s="119" t="str">
        <f ca="1">IFERROR(__xludf.DUMMYFUNCTION("""COMPUTED_VALUE"""),"John Berik")</f>
        <v>John Berik</v>
      </c>
      <c r="C840" s="118">
        <f ca="1">IFERROR(__xludf.DUMMYFUNCTION("""COMPUTED_VALUE"""),10)</f>
        <v>10</v>
      </c>
      <c r="D840" s="118" t="str">
        <f ca="1">IFERROR(__xludf.DUMMYFUNCTION("""COMPUTED_VALUE"""),"B")</f>
        <v>B</v>
      </c>
      <c r="E840" s="118" t="str">
        <f ca="1">IFERROR(__xludf.DUMMYFUNCTION("""COMPUTED_VALUE"""),"F")</f>
        <v>F</v>
      </c>
      <c r="F840" s="118" t="str">
        <f ca="1">IFERROR(__xludf.DUMMYFUNCTION("""COMPUTED_VALUE"""),"J")</f>
        <v>J</v>
      </c>
      <c r="G840" s="118">
        <f ca="1">IFERROR(__xludf.DUMMYFUNCTION("""COMPUTED_VALUE"""),2)</f>
        <v>2</v>
      </c>
      <c r="H840" s="118" t="str">
        <f ca="1">IFERROR(__xludf.DUMMYFUNCTION("""COMPUTED_VALUE"""),"HS")</f>
        <v>HS</v>
      </c>
      <c r="I840" s="118">
        <f ca="1">IFERROR(__xludf.DUMMYFUNCTION("""COMPUTED_VALUE"""),5)</f>
        <v>5</v>
      </c>
      <c r="J840" s="118">
        <f ca="1">IFERROR(__xludf.DUMMYFUNCTION("""COMPUTED_VALUE"""),5)</f>
        <v>5</v>
      </c>
      <c r="K840" s="120">
        <f ca="1">IFERROR(__xludf.DUMMYFUNCTION("""COMPUTED_VALUE"""),94.55)</f>
        <v>94.55</v>
      </c>
      <c r="L840" s="121"/>
      <c r="M840" s="120">
        <f ca="1">IFERROR(__xludf.DUMMYFUNCTION("""COMPUTED_VALUE"""),87.95)</f>
        <v>87.95</v>
      </c>
      <c r="N840" s="121"/>
      <c r="O840" s="120">
        <f ca="1">IFERROR(__xludf.DUMMYFUNCTION("""COMPUTED_VALUE"""),78.75)</f>
        <v>78.75</v>
      </c>
      <c r="P840" s="122"/>
      <c r="Q840" s="123" t="str">
        <f ca="1">IFERROR(__xludf.DUMMYFUNCTION("""COMPUTED_VALUE"""),"Sam Heller")</f>
        <v>Sam Heller</v>
      </c>
      <c r="R840" s="123"/>
      <c r="S840" s="123" t="str">
        <f ca="1">IFERROR(__xludf.DUMMYFUNCTION("""COMPUTED_VALUE"""),"Maddy Orluk")</f>
        <v>Maddy Orluk</v>
      </c>
      <c r="T840" s="123" t="str">
        <f ca="1">IFERROR(__xludf.DUMMYFUNCTION("""COMPUTED_VALUE"""),"Theo Hopkins")</f>
        <v>Theo Hopkins</v>
      </c>
    </row>
    <row r="841" spans="1:20" ht="13.8">
      <c r="A841" s="118" t="str">
        <f ca="1">IFERROR(__xludf.DUMMYFUNCTION("""COMPUTED_VALUE"""),"HS")</f>
        <v>HS</v>
      </c>
      <c r="B841" s="119" t="str">
        <f ca="1">IFERROR(__xludf.DUMMYFUNCTION("""COMPUTED_VALUE"""),"Nabil Senhadji")</f>
        <v>Nabil Senhadji</v>
      </c>
      <c r="C841" s="118">
        <f ca="1">IFERROR(__xludf.DUMMYFUNCTION("""COMPUTED_VALUE"""),8)</f>
        <v>8</v>
      </c>
      <c r="D841" s="118" t="str">
        <f ca="1">IFERROR(__xludf.DUMMYFUNCTION("""COMPUTED_VALUE"""),"B")</f>
        <v>B</v>
      </c>
      <c r="E841" s="118" t="str">
        <f ca="1">IFERROR(__xludf.DUMMYFUNCTION("""COMPUTED_VALUE"""),"F")</f>
        <v>F</v>
      </c>
      <c r="F841" s="118" t="str">
        <f ca="1">IFERROR(__xludf.DUMMYFUNCTION("""COMPUTED_VALUE"""),"J")</f>
        <v>J</v>
      </c>
      <c r="G841" s="118">
        <f ca="1">IFERROR(__xludf.DUMMYFUNCTION("""COMPUTED_VALUE"""),2)</f>
        <v>2</v>
      </c>
      <c r="H841" s="118" t="str">
        <f ca="1">IFERROR(__xludf.DUMMYFUNCTION("""COMPUTED_VALUE"""),"HS")</f>
        <v>HS</v>
      </c>
      <c r="I841" s="118">
        <f ca="1">IFERROR(__xludf.DUMMYFUNCTION("""COMPUTED_VALUE"""),5)</f>
        <v>5</v>
      </c>
      <c r="J841" s="118">
        <f ca="1">IFERROR(__xludf.DUMMYFUNCTION("""COMPUTED_VALUE"""),0)</f>
        <v>0</v>
      </c>
      <c r="K841" s="120"/>
      <c r="L841" s="121"/>
      <c r="M841" s="120"/>
      <c r="N841" s="121"/>
      <c r="O841" s="120"/>
      <c r="P841" s="122"/>
      <c r="Q841" s="123" t="str">
        <f ca="1">IFERROR(__xludf.DUMMYFUNCTION("""COMPUTED_VALUE"""),"Samantha Donnelly")</f>
        <v>Samantha Donnelly</v>
      </c>
      <c r="R841" s="123"/>
      <c r="S841" s="123" t="str">
        <f ca="1">IFERROR(__xludf.DUMMYFUNCTION("""COMPUTED_VALUE"""),"Madeleine Devlin")</f>
        <v>Madeleine Devlin</v>
      </c>
      <c r="T841" s="123" t="str">
        <f ca="1">IFERROR(__xludf.DUMMYFUNCTION("""COMPUTED_VALUE"""),"Theo Shum-Sanders")</f>
        <v>Theo Shum-Sanders</v>
      </c>
    </row>
    <row r="842" spans="1:20" ht="13.8">
      <c r="A842" s="118" t="str">
        <f ca="1">IFERROR(__xludf.DUMMYFUNCTION("""COMPUTED_VALUE"""),"HS")</f>
        <v>HS</v>
      </c>
      <c r="B842" s="119" t="str">
        <f ca="1">IFERROR(__xludf.DUMMYFUNCTION("""COMPUTED_VALUE"""),"Reid Bittenbender")</f>
        <v>Reid Bittenbender</v>
      </c>
      <c r="C842" s="118">
        <f ca="1">IFERROR(__xludf.DUMMYFUNCTION("""COMPUTED_VALUE"""),10)</f>
        <v>10</v>
      </c>
      <c r="D842" s="118" t="str">
        <f ca="1">IFERROR(__xludf.DUMMYFUNCTION("""COMPUTED_VALUE"""),"B")</f>
        <v>B</v>
      </c>
      <c r="E842" s="118" t="str">
        <f ca="1">IFERROR(__xludf.DUMMYFUNCTION("""COMPUTED_VALUE"""),"F")</f>
        <v>F</v>
      </c>
      <c r="F842" s="118" t="str">
        <f ca="1">IFERROR(__xludf.DUMMYFUNCTION("""COMPUTED_VALUE"""),"J")</f>
        <v>J</v>
      </c>
      <c r="G842" s="118">
        <f ca="1">IFERROR(__xludf.DUMMYFUNCTION("""COMPUTED_VALUE"""),2)</f>
        <v>2</v>
      </c>
      <c r="H842" s="118" t="str">
        <f ca="1">IFERROR(__xludf.DUMMYFUNCTION("""COMPUTED_VALUE"""),"HS")</f>
        <v>HS</v>
      </c>
      <c r="I842" s="118">
        <f ca="1">IFERROR(__xludf.DUMMYFUNCTION("""COMPUTED_VALUE"""),5)</f>
        <v>5</v>
      </c>
      <c r="J842" s="118">
        <f ca="1">IFERROR(__xludf.DUMMYFUNCTION("""COMPUTED_VALUE"""),1)</f>
        <v>1</v>
      </c>
      <c r="K842" s="120">
        <f ca="1">IFERROR(__xludf.DUMMYFUNCTION("""COMPUTED_VALUE"""),50.7)</f>
        <v>50.7</v>
      </c>
      <c r="L842" s="121"/>
      <c r="M842" s="120"/>
      <c r="N842" s="121"/>
      <c r="O842" s="120">
        <f ca="1">IFERROR(__xludf.DUMMYFUNCTION("""COMPUTED_VALUE"""),50.7)</f>
        <v>50.7</v>
      </c>
      <c r="P842" s="122"/>
      <c r="Q842" s="123" t="str">
        <f ca="1">IFERROR(__xludf.DUMMYFUNCTION("""COMPUTED_VALUE"""),"Samantha Lanthier")</f>
        <v>Samantha Lanthier</v>
      </c>
      <c r="R842" s="123"/>
      <c r="S842" s="123" t="str">
        <f ca="1">IFERROR(__xludf.DUMMYFUNCTION("""COMPUTED_VALUE"""),"Madeleine Mitchell")</f>
        <v>Madeleine Mitchell</v>
      </c>
      <c r="T842" s="123" t="str">
        <f ca="1">IFERROR(__xludf.DUMMYFUNCTION("""COMPUTED_VALUE"""),"Theo Stratford")</f>
        <v>Theo Stratford</v>
      </c>
    </row>
    <row r="843" spans="1:20" ht="13.8">
      <c r="A843" s="118" t="str">
        <f ca="1">IFERROR(__xludf.DUMMYFUNCTION("""COMPUTED_VALUE"""),"HS")</f>
        <v>HS</v>
      </c>
      <c r="B843" s="119" t="str">
        <f ca="1">IFERROR(__xludf.DUMMYFUNCTION("""COMPUTED_VALUE"""),"Russell Velasco")</f>
        <v>Russell Velasco</v>
      </c>
      <c r="C843" s="118">
        <f ca="1">IFERROR(__xludf.DUMMYFUNCTION("""COMPUTED_VALUE"""),6)</f>
        <v>6</v>
      </c>
      <c r="D843" s="118" t="str">
        <f ca="1">IFERROR(__xludf.DUMMYFUNCTION("""COMPUTED_VALUE"""),"B")</f>
        <v>B</v>
      </c>
      <c r="E843" s="118" t="str">
        <f ca="1">IFERROR(__xludf.DUMMYFUNCTION("""COMPUTED_VALUE"""),"F")</f>
        <v>F</v>
      </c>
      <c r="F843" s="118" t="str">
        <f ca="1">IFERROR(__xludf.DUMMYFUNCTION("""COMPUTED_VALUE"""),"J")</f>
        <v>J</v>
      </c>
      <c r="G843" s="118">
        <f ca="1">IFERROR(__xludf.DUMMYFUNCTION("""COMPUTED_VALUE"""),2)</f>
        <v>2</v>
      </c>
      <c r="H843" s="118" t="str">
        <f ca="1">IFERROR(__xludf.DUMMYFUNCTION("""COMPUTED_VALUE"""),"HS")</f>
        <v>HS</v>
      </c>
      <c r="I843" s="118">
        <f ca="1">IFERROR(__xludf.DUMMYFUNCTION("""COMPUTED_VALUE"""),5)</f>
        <v>5</v>
      </c>
      <c r="J843" s="118">
        <f ca="1">IFERROR(__xludf.DUMMYFUNCTION("""COMPUTED_VALUE"""),0)</f>
        <v>0</v>
      </c>
      <c r="K843" s="120"/>
      <c r="L843" s="121"/>
      <c r="M843" s="120"/>
      <c r="N843" s="121"/>
      <c r="O843" s="120"/>
      <c r="P843" s="122"/>
      <c r="Q843" s="123" t="str">
        <f ca="1">IFERROR(__xludf.DUMMYFUNCTION("""COMPUTED_VALUE"""),"Sammy Jarvis")</f>
        <v>Sammy Jarvis</v>
      </c>
      <c r="R843" s="123"/>
      <c r="S843" s="123" t="str">
        <f ca="1">IFERROR(__xludf.DUMMYFUNCTION("""COMPUTED_VALUE"""),"Madeleine Philbin")</f>
        <v>Madeleine Philbin</v>
      </c>
      <c r="T843" s="123" t="str">
        <f ca="1">IFERROR(__xludf.DUMMYFUNCTION("""COMPUTED_VALUE"""),"Theodore Brewer")</f>
        <v>Theodore Brewer</v>
      </c>
    </row>
    <row r="844" spans="1:20" ht="13.8">
      <c r="A844" s="118" t="str">
        <f ca="1">IFERROR(__xludf.DUMMYFUNCTION("""COMPUTED_VALUE"""),"HS")</f>
        <v>HS</v>
      </c>
      <c r="B844" s="119" t="str">
        <f ca="1">IFERROR(__xludf.DUMMYFUNCTION("""COMPUTED_VALUE"""),"Santiago Fredes")</f>
        <v>Santiago Fredes</v>
      </c>
      <c r="C844" s="118">
        <f ca="1">IFERROR(__xludf.DUMMYFUNCTION("""COMPUTED_VALUE"""),6)</f>
        <v>6</v>
      </c>
      <c r="D844" s="118" t="str">
        <f ca="1">IFERROR(__xludf.DUMMYFUNCTION("""COMPUTED_VALUE"""),"B")</f>
        <v>B</v>
      </c>
      <c r="E844" s="118" t="str">
        <f ca="1">IFERROR(__xludf.DUMMYFUNCTION("""COMPUTED_VALUE"""),"F")</f>
        <v>F</v>
      </c>
      <c r="F844" s="118" t="str">
        <f ca="1">IFERROR(__xludf.DUMMYFUNCTION("""COMPUTED_VALUE"""),"J")</f>
        <v>J</v>
      </c>
      <c r="G844" s="118">
        <f ca="1">IFERROR(__xludf.DUMMYFUNCTION("""COMPUTED_VALUE"""),2)</f>
        <v>2</v>
      </c>
      <c r="H844" s="118" t="str">
        <f ca="1">IFERROR(__xludf.DUMMYFUNCTION("""COMPUTED_VALUE"""),"HS")</f>
        <v>HS</v>
      </c>
      <c r="I844" s="118">
        <f ca="1">IFERROR(__xludf.DUMMYFUNCTION("""COMPUTED_VALUE"""),5)</f>
        <v>5</v>
      </c>
      <c r="J844" s="118">
        <f ca="1">IFERROR(__xludf.DUMMYFUNCTION("""COMPUTED_VALUE"""),5)</f>
        <v>5</v>
      </c>
      <c r="K844" s="120">
        <f ca="1">IFERROR(__xludf.DUMMYFUNCTION("""COMPUTED_VALUE"""),66.05)</f>
        <v>66.05</v>
      </c>
      <c r="L844" s="121"/>
      <c r="M844" s="120">
        <f ca="1">IFERROR(__xludf.DUMMYFUNCTION("""COMPUTED_VALUE"""),51.25)</f>
        <v>51.25</v>
      </c>
      <c r="N844" s="121"/>
      <c r="O844" s="120">
        <f ca="1">IFERROR(__xludf.DUMMYFUNCTION("""COMPUTED_VALUE"""),57.6)</f>
        <v>57.6</v>
      </c>
      <c r="P844" s="122"/>
      <c r="Q844" s="123" t="str">
        <f ca="1">IFERROR(__xludf.DUMMYFUNCTION("""COMPUTED_VALUE"""),"Sara Curry-Briggs")</f>
        <v>Sara Curry-Briggs</v>
      </c>
      <c r="R844" s="123"/>
      <c r="S844" s="123" t="str">
        <f ca="1">IFERROR(__xludf.DUMMYFUNCTION("""COMPUTED_VALUE"""),"Madeleine Stankus")</f>
        <v>Madeleine Stankus</v>
      </c>
      <c r="T844" s="123" t="str">
        <f ca="1">IFERROR(__xludf.DUMMYFUNCTION("""COMPUTED_VALUE"""),"Thibault Lede")</f>
        <v>Thibault Lede</v>
      </c>
    </row>
    <row r="845" spans="1:20" ht="13.8">
      <c r="A845" s="118" t="str">
        <f ca="1">IFERROR(__xludf.DUMMYFUNCTION("""COMPUTED_VALUE"""),"HS")</f>
        <v>HS</v>
      </c>
      <c r="B845" s="119" t="str">
        <f ca="1">IFERROR(__xludf.DUMMYFUNCTION("""COMPUTED_VALUE"""),"Siddharth Chandran")</f>
        <v>Siddharth Chandran</v>
      </c>
      <c r="C845" s="118">
        <f ca="1">IFERROR(__xludf.DUMMYFUNCTION("""COMPUTED_VALUE"""),9)</f>
        <v>9</v>
      </c>
      <c r="D845" s="118" t="str">
        <f ca="1">IFERROR(__xludf.DUMMYFUNCTION("""COMPUTED_VALUE"""),"B")</f>
        <v>B</v>
      </c>
      <c r="E845" s="118" t="str">
        <f ca="1">IFERROR(__xludf.DUMMYFUNCTION("""COMPUTED_VALUE"""),"F")</f>
        <v>F</v>
      </c>
      <c r="F845" s="118" t="str">
        <f ca="1">IFERROR(__xludf.DUMMYFUNCTION("""COMPUTED_VALUE"""),"J")</f>
        <v>J</v>
      </c>
      <c r="G845" s="118">
        <f ca="1">IFERROR(__xludf.DUMMYFUNCTION("""COMPUTED_VALUE"""),2)</f>
        <v>2</v>
      </c>
      <c r="H845" s="118" t="str">
        <f ca="1">IFERROR(__xludf.DUMMYFUNCTION("""COMPUTED_VALUE"""),"HS")</f>
        <v>HS</v>
      </c>
      <c r="I845" s="118">
        <f ca="1">IFERROR(__xludf.DUMMYFUNCTION("""COMPUTED_VALUE"""),5)</f>
        <v>5</v>
      </c>
      <c r="J845" s="118">
        <f ca="1">IFERROR(__xludf.DUMMYFUNCTION("""COMPUTED_VALUE"""),4)</f>
        <v>4</v>
      </c>
      <c r="K845" s="120">
        <f ca="1">IFERROR(__xludf.DUMMYFUNCTION("""COMPUTED_VALUE"""),60.5)</f>
        <v>60.5</v>
      </c>
      <c r="L845" s="121"/>
      <c r="M845" s="120">
        <f ca="1">IFERROR(__xludf.DUMMYFUNCTION("""COMPUTED_VALUE"""),57.05)</f>
        <v>57.05</v>
      </c>
      <c r="N845" s="121"/>
      <c r="O845" s="120">
        <f ca="1">IFERROR(__xludf.DUMMYFUNCTION("""COMPUTED_VALUE"""),48.35)</f>
        <v>48.35</v>
      </c>
      <c r="P845" s="122"/>
      <c r="Q845" s="123" t="str">
        <f ca="1">IFERROR(__xludf.DUMMYFUNCTION("""COMPUTED_VALUE"""),"Sarah Avery")</f>
        <v>Sarah Avery</v>
      </c>
      <c r="R845" s="123"/>
      <c r="S845" s="123" t="str">
        <f ca="1">IFERROR(__xludf.DUMMYFUNCTION("""COMPUTED_VALUE"""),"Madeleine Yappel")</f>
        <v>Madeleine Yappel</v>
      </c>
      <c r="T845" s="123" t="str">
        <f ca="1">IFERROR(__xludf.DUMMYFUNCTION("""COMPUTED_VALUE"""),"Thomas Hiner")</f>
        <v>Thomas Hiner</v>
      </c>
    </row>
    <row r="846" spans="1:20" ht="13.8">
      <c r="A846" s="118" t="str">
        <f ca="1">IFERROR(__xludf.DUMMYFUNCTION("""COMPUTED_VALUE"""),"HS")</f>
        <v>HS</v>
      </c>
      <c r="B846" s="119" t="str">
        <f ca="1">IFERROR(__xludf.DUMMYFUNCTION("""COMPUTED_VALUE"""),"Emilia Vayra")</f>
        <v>Emilia Vayra</v>
      </c>
      <c r="C846" s="118">
        <f ca="1">IFERROR(__xludf.DUMMYFUNCTION("""COMPUTED_VALUE"""),12)</f>
        <v>12</v>
      </c>
      <c r="D846" s="118" t="str">
        <f ca="1">IFERROR(__xludf.DUMMYFUNCTION("""COMPUTED_VALUE"""),"G")</f>
        <v>G</v>
      </c>
      <c r="E846" s="118" t="str">
        <f ca="1">IFERROR(__xludf.DUMMYFUNCTION("""COMPUTED_VALUE"""),"J")</f>
        <v>J</v>
      </c>
      <c r="F846" s="118" t="str">
        <f ca="1">IFERROR(__xludf.DUMMYFUNCTION("""COMPUTED_VALUE"""),"I")</f>
        <v>I</v>
      </c>
      <c r="G846" s="118">
        <f ca="1">IFERROR(__xludf.DUMMYFUNCTION("""COMPUTED_VALUE"""),2)</f>
        <v>2</v>
      </c>
      <c r="H846" s="118" t="str">
        <f ca="1">IFERROR(__xludf.DUMMYFUNCTION("""COMPUTED_VALUE"""),"HS")</f>
        <v>HS</v>
      </c>
      <c r="I846" s="118">
        <f ca="1">IFERROR(__xludf.DUMMYFUNCTION("""COMPUTED_VALUE"""),6)</f>
        <v>6</v>
      </c>
      <c r="J846" s="118">
        <f ca="1">IFERROR(__xludf.DUMMYFUNCTION("""COMPUTED_VALUE"""),4)</f>
        <v>4</v>
      </c>
      <c r="K846" s="120">
        <f ca="1">IFERROR(__xludf.DUMMYFUNCTION("""COMPUTED_VALUE"""),89.25)</f>
        <v>89.25</v>
      </c>
      <c r="L846" s="121"/>
      <c r="M846" s="120">
        <f ca="1">IFERROR(__xludf.DUMMYFUNCTION("""COMPUTED_VALUE"""),89.25)</f>
        <v>89.25</v>
      </c>
      <c r="N846" s="121"/>
      <c r="O846" s="120">
        <f ca="1">IFERROR(__xludf.DUMMYFUNCTION("""COMPUTED_VALUE"""),83.55)</f>
        <v>83.55</v>
      </c>
      <c r="P846" s="122"/>
      <c r="Q846" s="123" t="str">
        <f ca="1">IFERROR(__xludf.DUMMYFUNCTION("""COMPUTED_VALUE"""),"Sarah Fickling")</f>
        <v>Sarah Fickling</v>
      </c>
      <c r="R846" s="123"/>
      <c r="S846" s="123" t="str">
        <f ca="1">IFERROR(__xludf.DUMMYFUNCTION("""COMPUTED_VALUE"""),"Madeline Duong")</f>
        <v>Madeline Duong</v>
      </c>
      <c r="T846" s="123" t="str">
        <f ca="1">IFERROR(__xludf.DUMMYFUNCTION("""COMPUTED_VALUE"""),"Thomas Scialpi")</f>
        <v>Thomas Scialpi</v>
      </c>
    </row>
    <row r="847" spans="1:20" ht="13.8">
      <c r="A847" s="118" t="str">
        <f ca="1">IFERROR(__xludf.DUMMYFUNCTION("""COMPUTED_VALUE"""),"HS")</f>
        <v>HS</v>
      </c>
      <c r="B847" s="119" t="str">
        <f ca="1">IFERROR(__xludf.DUMMYFUNCTION("""COMPUTED_VALUE"""),"Emily Flach")</f>
        <v>Emily Flach</v>
      </c>
      <c r="C847" s="118">
        <f ca="1">IFERROR(__xludf.DUMMYFUNCTION("""COMPUTED_VALUE"""),11)</f>
        <v>11</v>
      </c>
      <c r="D847" s="118" t="str">
        <f ca="1">IFERROR(__xludf.DUMMYFUNCTION("""COMPUTED_VALUE"""),"G")</f>
        <v>G</v>
      </c>
      <c r="E847" s="118" t="str">
        <f ca="1">IFERROR(__xludf.DUMMYFUNCTION("""COMPUTED_VALUE"""),"J")</f>
        <v>J</v>
      </c>
      <c r="F847" s="118" t="str">
        <f ca="1">IFERROR(__xludf.DUMMYFUNCTION("""COMPUTED_VALUE"""),"I")</f>
        <v>I</v>
      </c>
      <c r="G847" s="118">
        <f ca="1">IFERROR(__xludf.DUMMYFUNCTION("""COMPUTED_VALUE"""),2)</f>
        <v>2</v>
      </c>
      <c r="H847" s="118" t="str">
        <f ca="1">IFERROR(__xludf.DUMMYFUNCTION("""COMPUTED_VALUE"""),"HS")</f>
        <v>HS</v>
      </c>
      <c r="I847" s="118">
        <f ca="1">IFERROR(__xludf.DUMMYFUNCTION("""COMPUTED_VALUE"""),6)</f>
        <v>6</v>
      </c>
      <c r="J847" s="118">
        <f ca="1">IFERROR(__xludf.DUMMYFUNCTION("""COMPUTED_VALUE"""),0)</f>
        <v>0</v>
      </c>
      <c r="K847" s="120"/>
      <c r="L847" s="121"/>
      <c r="M847" s="120"/>
      <c r="N847" s="121"/>
      <c r="O847" s="120"/>
      <c r="P847" s="122"/>
      <c r="Q847" s="123" t="str">
        <f ca="1">IFERROR(__xludf.DUMMYFUNCTION("""COMPUTED_VALUE"""),"Sarah Lazarus")</f>
        <v>Sarah Lazarus</v>
      </c>
      <c r="R847" s="123"/>
      <c r="S847" s="123" t="str">
        <f ca="1">IFERROR(__xludf.DUMMYFUNCTION("""COMPUTED_VALUE"""),"Madelyn Speed")</f>
        <v>Madelyn Speed</v>
      </c>
      <c r="T847" s="123" t="str">
        <f ca="1">IFERROR(__xludf.DUMMYFUNCTION("""COMPUTED_VALUE"""),"Thomson d'Amboise")</f>
        <v>Thomson d'Amboise</v>
      </c>
    </row>
    <row r="848" spans="1:20" ht="13.8">
      <c r="A848" s="118" t="str">
        <f ca="1">IFERROR(__xludf.DUMMYFUNCTION("""COMPUTED_VALUE"""),"HS")</f>
        <v>HS</v>
      </c>
      <c r="B848" s="119" t="str">
        <f ca="1">IFERROR(__xludf.DUMMYFUNCTION("""COMPUTED_VALUE"""),"Emme Bryce")</f>
        <v>Emme Bryce</v>
      </c>
      <c r="C848" s="118">
        <f ca="1">IFERROR(__xludf.DUMMYFUNCTION("""COMPUTED_VALUE"""),11)</f>
        <v>11</v>
      </c>
      <c r="D848" s="118" t="str">
        <f ca="1">IFERROR(__xludf.DUMMYFUNCTION("""COMPUTED_VALUE"""),"G")</f>
        <v>G</v>
      </c>
      <c r="E848" s="118" t="str">
        <f ca="1">IFERROR(__xludf.DUMMYFUNCTION("""COMPUTED_VALUE"""),"J")</f>
        <v>J</v>
      </c>
      <c r="F848" s="118" t="str">
        <f ca="1">IFERROR(__xludf.DUMMYFUNCTION("""COMPUTED_VALUE"""),"I")</f>
        <v>I</v>
      </c>
      <c r="G848" s="118">
        <f ca="1">IFERROR(__xludf.DUMMYFUNCTION("""COMPUTED_VALUE"""),2)</f>
        <v>2</v>
      </c>
      <c r="H848" s="118" t="str">
        <f ca="1">IFERROR(__xludf.DUMMYFUNCTION("""COMPUTED_VALUE"""),"HS")</f>
        <v>HS</v>
      </c>
      <c r="I848" s="118">
        <f ca="1">IFERROR(__xludf.DUMMYFUNCTION("""COMPUTED_VALUE"""),6)</f>
        <v>6</v>
      </c>
      <c r="J848" s="118">
        <f ca="1">IFERROR(__xludf.DUMMYFUNCTION("""COMPUTED_VALUE"""),3)</f>
        <v>3</v>
      </c>
      <c r="K848" s="120">
        <f ca="1">IFERROR(__xludf.DUMMYFUNCTION("""COMPUTED_VALUE"""),80.5)</f>
        <v>80.5</v>
      </c>
      <c r="L848" s="121"/>
      <c r="M848" s="120">
        <f ca="1">IFERROR(__xludf.DUMMYFUNCTION("""COMPUTED_VALUE"""),72)</f>
        <v>72</v>
      </c>
      <c r="N848" s="121"/>
      <c r="O848" s="120"/>
      <c r="P848" s="122"/>
      <c r="Q848" s="123" t="str">
        <f ca="1">IFERROR(__xludf.DUMMYFUNCTION("""COMPUTED_VALUE"""),"Sasha Demestihas")</f>
        <v>Sasha Demestihas</v>
      </c>
      <c r="R848" s="123"/>
      <c r="S848" s="123" t="str">
        <f ca="1">IFERROR(__xludf.DUMMYFUNCTION("""COMPUTED_VALUE"""),"Madinah McKimmy")</f>
        <v>Madinah McKimmy</v>
      </c>
      <c r="T848" s="123" t="str">
        <f ca="1">IFERROR(__xludf.DUMMYFUNCTION("""COMPUTED_VALUE"""),"Thor Downie")</f>
        <v>Thor Downie</v>
      </c>
    </row>
    <row r="849" spans="1:20" ht="13.8">
      <c r="A849" s="118" t="str">
        <f ca="1">IFERROR(__xludf.DUMMYFUNCTION("""COMPUTED_VALUE"""),"HS")</f>
        <v>HS</v>
      </c>
      <c r="B849" s="119" t="str">
        <f ca="1">IFERROR(__xludf.DUMMYFUNCTION("""COMPUTED_VALUE"""),"Esther Dewhirst")</f>
        <v>Esther Dewhirst</v>
      </c>
      <c r="C849" s="118">
        <f ca="1">IFERROR(__xludf.DUMMYFUNCTION("""COMPUTED_VALUE"""),11)</f>
        <v>11</v>
      </c>
      <c r="D849" s="118" t="str">
        <f ca="1">IFERROR(__xludf.DUMMYFUNCTION("""COMPUTED_VALUE"""),"G")</f>
        <v>G</v>
      </c>
      <c r="E849" s="118" t="str">
        <f ca="1">IFERROR(__xludf.DUMMYFUNCTION("""COMPUTED_VALUE"""),"J")</f>
        <v>J</v>
      </c>
      <c r="F849" s="118" t="str">
        <f ca="1">IFERROR(__xludf.DUMMYFUNCTION("""COMPUTED_VALUE"""),"I")</f>
        <v>I</v>
      </c>
      <c r="G849" s="118">
        <f ca="1">IFERROR(__xludf.DUMMYFUNCTION("""COMPUTED_VALUE"""),2)</f>
        <v>2</v>
      </c>
      <c r="H849" s="118" t="str">
        <f ca="1">IFERROR(__xludf.DUMMYFUNCTION("""COMPUTED_VALUE"""),"HS")</f>
        <v>HS</v>
      </c>
      <c r="I849" s="118">
        <f ca="1">IFERROR(__xludf.DUMMYFUNCTION("""COMPUTED_VALUE"""),6)</f>
        <v>6</v>
      </c>
      <c r="J849" s="118">
        <f ca="1">IFERROR(__xludf.DUMMYFUNCTION("""COMPUTED_VALUE"""),5)</f>
        <v>5</v>
      </c>
      <c r="K849" s="120">
        <f ca="1">IFERROR(__xludf.DUMMYFUNCTION("""COMPUTED_VALUE"""),63.1)</f>
        <v>63.1</v>
      </c>
      <c r="L849" s="121"/>
      <c r="M849" s="120">
        <f ca="1">IFERROR(__xludf.DUMMYFUNCTION("""COMPUTED_VALUE"""),59.45)</f>
        <v>59.45</v>
      </c>
      <c r="N849" s="121"/>
      <c r="O849" s="120">
        <f ca="1">IFERROR(__xludf.DUMMYFUNCTION("""COMPUTED_VALUE"""),55.65)</f>
        <v>55.65</v>
      </c>
      <c r="P849" s="122"/>
      <c r="Q849" s="123" t="str">
        <f ca="1">IFERROR(__xludf.DUMMYFUNCTION("""COMPUTED_VALUE"""),"Sasha Wimpey")</f>
        <v>Sasha Wimpey</v>
      </c>
      <c r="R849" s="123"/>
      <c r="S849" s="123" t="str">
        <f ca="1">IFERROR(__xludf.DUMMYFUNCTION("""COMPUTED_VALUE"""),"Madison Cervenak")</f>
        <v>Madison Cervenak</v>
      </c>
      <c r="T849" s="123" t="str">
        <f ca="1">IFERROR(__xludf.DUMMYFUNCTION("""COMPUTED_VALUE"""),"Timmy Van Haute")</f>
        <v>Timmy Van Haute</v>
      </c>
    </row>
    <row r="850" spans="1:20" ht="13.8">
      <c r="A850" s="118" t="str">
        <f ca="1">IFERROR(__xludf.DUMMYFUNCTION("""COMPUTED_VALUE"""),"HS")</f>
        <v>HS</v>
      </c>
      <c r="B850" s="119" t="str">
        <f ca="1">IFERROR(__xludf.DUMMYFUNCTION("""COMPUTED_VALUE"""),"Jackie Shaw")</f>
        <v>Jackie Shaw</v>
      </c>
      <c r="C850" s="118">
        <f ca="1">IFERROR(__xludf.DUMMYFUNCTION("""COMPUTED_VALUE"""),11)</f>
        <v>11</v>
      </c>
      <c r="D850" s="118" t="str">
        <f ca="1">IFERROR(__xludf.DUMMYFUNCTION("""COMPUTED_VALUE"""),"G")</f>
        <v>G</v>
      </c>
      <c r="E850" s="118" t="str">
        <f ca="1">IFERROR(__xludf.DUMMYFUNCTION("""COMPUTED_VALUE"""),"J")</f>
        <v>J</v>
      </c>
      <c r="F850" s="118" t="str">
        <f ca="1">IFERROR(__xludf.DUMMYFUNCTION("""COMPUTED_VALUE"""),"I")</f>
        <v>I</v>
      </c>
      <c r="G850" s="118">
        <f ca="1">IFERROR(__xludf.DUMMYFUNCTION("""COMPUTED_VALUE"""),2)</f>
        <v>2</v>
      </c>
      <c r="H850" s="118" t="str">
        <f ca="1">IFERROR(__xludf.DUMMYFUNCTION("""COMPUTED_VALUE"""),"HS")</f>
        <v>HS</v>
      </c>
      <c r="I850" s="118">
        <f ca="1">IFERROR(__xludf.DUMMYFUNCTION("""COMPUTED_VALUE"""),6)</f>
        <v>6</v>
      </c>
      <c r="J850" s="118">
        <f ca="1">IFERROR(__xludf.DUMMYFUNCTION("""COMPUTED_VALUE"""),1)</f>
        <v>1</v>
      </c>
      <c r="K850" s="120">
        <f ca="1">IFERROR(__xludf.DUMMYFUNCTION("""COMPUTED_VALUE"""),53.25)</f>
        <v>53.25</v>
      </c>
      <c r="L850" s="121"/>
      <c r="M850" s="120">
        <f ca="1">IFERROR(__xludf.DUMMYFUNCTION("""COMPUTED_VALUE"""),53.25)</f>
        <v>53.25</v>
      </c>
      <c r="N850" s="121"/>
      <c r="O850" s="120"/>
      <c r="P850" s="122"/>
      <c r="Q850" s="123" t="str">
        <f ca="1">IFERROR(__xludf.DUMMYFUNCTION("""COMPUTED_VALUE"""),"Savannah Barry")</f>
        <v>Savannah Barry</v>
      </c>
      <c r="R850" s="123"/>
      <c r="S850" s="123" t="str">
        <f ca="1">IFERROR(__xludf.DUMMYFUNCTION("""COMPUTED_VALUE"""),"Madison Ebaugh")</f>
        <v>Madison Ebaugh</v>
      </c>
      <c r="T850" s="123" t="str">
        <f ca="1">IFERROR(__xludf.DUMMYFUNCTION("""COMPUTED_VALUE"""),"Timmy Verasin")</f>
        <v>Timmy Verasin</v>
      </c>
    </row>
    <row r="851" spans="1:20" ht="13.8">
      <c r="A851" s="118" t="str">
        <f ca="1">IFERROR(__xludf.DUMMYFUNCTION("""COMPUTED_VALUE"""),"HS")</f>
        <v>HS</v>
      </c>
      <c r="B851" s="119" t="str">
        <f ca="1">IFERROR(__xludf.DUMMYFUNCTION("""COMPUTED_VALUE"""),"Julia Paukovits")</f>
        <v>Julia Paukovits</v>
      </c>
      <c r="C851" s="118">
        <f ca="1">IFERROR(__xludf.DUMMYFUNCTION("""COMPUTED_VALUE"""),12)</f>
        <v>12</v>
      </c>
      <c r="D851" s="118" t="str">
        <f ca="1">IFERROR(__xludf.DUMMYFUNCTION("""COMPUTED_VALUE"""),"G")</f>
        <v>G</v>
      </c>
      <c r="E851" s="118" t="str">
        <f ca="1">IFERROR(__xludf.DUMMYFUNCTION("""COMPUTED_VALUE"""),"J")</f>
        <v>J</v>
      </c>
      <c r="F851" s="118" t="str">
        <f ca="1">IFERROR(__xludf.DUMMYFUNCTION("""COMPUTED_VALUE"""),"I")</f>
        <v>I</v>
      </c>
      <c r="G851" s="118">
        <f ca="1">IFERROR(__xludf.DUMMYFUNCTION("""COMPUTED_VALUE"""),2)</f>
        <v>2</v>
      </c>
      <c r="H851" s="118" t="str">
        <f ca="1">IFERROR(__xludf.DUMMYFUNCTION("""COMPUTED_VALUE"""),"HS")</f>
        <v>HS</v>
      </c>
      <c r="I851" s="118">
        <f ca="1">IFERROR(__xludf.DUMMYFUNCTION("""COMPUTED_VALUE"""),6)</f>
        <v>6</v>
      </c>
      <c r="J851" s="118">
        <f ca="1">IFERROR(__xludf.DUMMYFUNCTION("""COMPUTED_VALUE"""),4)</f>
        <v>4</v>
      </c>
      <c r="K851" s="120">
        <f ca="1">IFERROR(__xludf.DUMMYFUNCTION("""COMPUTED_VALUE"""),115.15)</f>
        <v>115.15</v>
      </c>
      <c r="L851" s="121"/>
      <c r="M851" s="120"/>
      <c r="N851" s="121"/>
      <c r="O851" s="120">
        <f ca="1">IFERROR(__xludf.DUMMYFUNCTION("""COMPUTED_VALUE"""),110.3)</f>
        <v>110.3</v>
      </c>
      <c r="P851" s="122"/>
      <c r="Q851" s="123" t="str">
        <f ca="1">IFERROR(__xludf.DUMMYFUNCTION("""COMPUTED_VALUE"""),"Savannah Goodale")</f>
        <v>Savannah Goodale</v>
      </c>
      <c r="R851" s="123"/>
      <c r="S851" s="123" t="str">
        <f ca="1">IFERROR(__xludf.DUMMYFUNCTION("""COMPUTED_VALUE"""),"Madison Katsiak")</f>
        <v>Madison Katsiak</v>
      </c>
      <c r="T851" s="123" t="str">
        <f ca="1">IFERROR(__xludf.DUMMYFUNCTION("""COMPUTED_VALUE"""),"Timothy Barger")</f>
        <v>Timothy Barger</v>
      </c>
    </row>
    <row r="852" spans="1:20" ht="13.8">
      <c r="A852" s="118" t="str">
        <f ca="1">IFERROR(__xludf.DUMMYFUNCTION("""COMPUTED_VALUE"""),"HS")</f>
        <v>HS</v>
      </c>
      <c r="B852" s="119" t="str">
        <f ca="1">IFERROR(__xludf.DUMMYFUNCTION("""COMPUTED_VALUE"""),"Maddie Kelly")</f>
        <v>Maddie Kelly</v>
      </c>
      <c r="C852" s="118">
        <f ca="1">IFERROR(__xludf.DUMMYFUNCTION("""COMPUTED_VALUE"""),11)</f>
        <v>11</v>
      </c>
      <c r="D852" s="118" t="str">
        <f ca="1">IFERROR(__xludf.DUMMYFUNCTION("""COMPUTED_VALUE"""),"G")</f>
        <v>G</v>
      </c>
      <c r="E852" s="118" t="str">
        <f ca="1">IFERROR(__xludf.DUMMYFUNCTION("""COMPUTED_VALUE"""),"J")</f>
        <v>J</v>
      </c>
      <c r="F852" s="118" t="str">
        <f ca="1">IFERROR(__xludf.DUMMYFUNCTION("""COMPUTED_VALUE"""),"I")</f>
        <v>I</v>
      </c>
      <c r="G852" s="118">
        <f ca="1">IFERROR(__xludf.DUMMYFUNCTION("""COMPUTED_VALUE"""),2)</f>
        <v>2</v>
      </c>
      <c r="H852" s="118" t="str">
        <f ca="1">IFERROR(__xludf.DUMMYFUNCTION("""COMPUTED_VALUE"""),"HS")</f>
        <v>HS</v>
      </c>
      <c r="I852" s="118">
        <f ca="1">IFERROR(__xludf.DUMMYFUNCTION("""COMPUTED_VALUE"""),6)</f>
        <v>6</v>
      </c>
      <c r="J852" s="118">
        <f ca="1">IFERROR(__xludf.DUMMYFUNCTION("""COMPUTED_VALUE"""),2)</f>
        <v>2</v>
      </c>
      <c r="K852" s="120">
        <f ca="1">IFERROR(__xludf.DUMMYFUNCTION("""COMPUTED_VALUE"""),76.1)</f>
        <v>76.099999999999994</v>
      </c>
      <c r="L852" s="121"/>
      <c r="M852" s="120">
        <f ca="1">IFERROR(__xludf.DUMMYFUNCTION("""COMPUTED_VALUE"""),48.15)</f>
        <v>48.15</v>
      </c>
      <c r="N852" s="121"/>
      <c r="O852" s="120"/>
      <c r="P852" s="122"/>
      <c r="Q852" s="123" t="str">
        <f ca="1">IFERROR(__xludf.DUMMYFUNCTION("""COMPUTED_VALUE"""),"Savannah Lehman")</f>
        <v>Savannah Lehman</v>
      </c>
      <c r="R852" s="123"/>
      <c r="S852" s="123" t="str">
        <f ca="1">IFERROR(__xludf.DUMMYFUNCTION("""COMPUTED_VALUE"""),"Madison Wade")</f>
        <v>Madison Wade</v>
      </c>
      <c r="T852" s="123" t="str">
        <f ca="1">IFERROR(__xludf.DUMMYFUNCTION("""COMPUTED_VALUE"""),"Timothy Davis")</f>
        <v>Timothy Davis</v>
      </c>
    </row>
    <row r="853" spans="1:20" ht="13.8">
      <c r="A853" s="118" t="str">
        <f ca="1">IFERROR(__xludf.DUMMYFUNCTION("""COMPUTED_VALUE"""),"HS")</f>
        <v>HS</v>
      </c>
      <c r="B853" s="119" t="str">
        <f ca="1">IFERROR(__xludf.DUMMYFUNCTION("""COMPUTED_VALUE"""),"Nora Maxey")</f>
        <v>Nora Maxey</v>
      </c>
      <c r="C853" s="118">
        <f ca="1">IFERROR(__xludf.DUMMYFUNCTION("""COMPUTED_VALUE"""),12)</f>
        <v>12</v>
      </c>
      <c r="D853" s="118" t="str">
        <f ca="1">IFERROR(__xludf.DUMMYFUNCTION("""COMPUTED_VALUE"""),"G")</f>
        <v>G</v>
      </c>
      <c r="E853" s="118" t="str">
        <f ca="1">IFERROR(__xludf.DUMMYFUNCTION("""COMPUTED_VALUE"""),"J")</f>
        <v>J</v>
      </c>
      <c r="F853" s="118" t="str">
        <f ca="1">IFERROR(__xludf.DUMMYFUNCTION("""COMPUTED_VALUE"""),"I")</f>
        <v>I</v>
      </c>
      <c r="G853" s="118">
        <f ca="1">IFERROR(__xludf.DUMMYFUNCTION("""COMPUTED_VALUE"""),2)</f>
        <v>2</v>
      </c>
      <c r="H853" s="118" t="str">
        <f ca="1">IFERROR(__xludf.DUMMYFUNCTION("""COMPUTED_VALUE"""),"HS")</f>
        <v>HS</v>
      </c>
      <c r="I853" s="118">
        <f ca="1">IFERROR(__xludf.DUMMYFUNCTION("""COMPUTED_VALUE"""),6)</f>
        <v>6</v>
      </c>
      <c r="J853" s="118">
        <f ca="1">IFERROR(__xludf.DUMMYFUNCTION("""COMPUTED_VALUE"""),5)</f>
        <v>5</v>
      </c>
      <c r="K853" s="120">
        <f ca="1">IFERROR(__xludf.DUMMYFUNCTION("""COMPUTED_VALUE"""),88.1)</f>
        <v>88.1</v>
      </c>
      <c r="L853" s="121"/>
      <c r="M853" s="120">
        <f ca="1">IFERROR(__xludf.DUMMYFUNCTION("""COMPUTED_VALUE"""),87.65)</f>
        <v>87.65</v>
      </c>
      <c r="N853" s="121"/>
      <c r="O853" s="120">
        <f ca="1">IFERROR(__xludf.DUMMYFUNCTION("""COMPUTED_VALUE"""),74.4)</f>
        <v>74.400000000000006</v>
      </c>
      <c r="P853" s="122"/>
      <c r="Q853" s="123" t="str">
        <f ca="1">IFERROR(__xludf.DUMMYFUNCTION("""COMPUTED_VALUE"""),"Savannah Moore")</f>
        <v>Savannah Moore</v>
      </c>
      <c r="R853" s="123"/>
      <c r="S853" s="123" t="str">
        <f ca="1">IFERROR(__xludf.DUMMYFUNCTION("""COMPUTED_VALUE"""),"Mady McCormack")</f>
        <v>Mady McCormack</v>
      </c>
      <c r="T853" s="123" t="str">
        <f ca="1">IFERROR(__xludf.DUMMYFUNCTION("""COMPUTED_VALUE"""),"TJ DeSando")</f>
        <v>TJ DeSando</v>
      </c>
    </row>
    <row r="854" spans="1:20" ht="13.8">
      <c r="A854" s="118" t="str">
        <f ca="1">IFERROR(__xludf.DUMMYFUNCTION("""COMPUTED_VALUE"""),"HS")</f>
        <v>HS</v>
      </c>
      <c r="B854" s="119" t="str">
        <f ca="1">IFERROR(__xludf.DUMMYFUNCTION("""COMPUTED_VALUE"""),"Sophie Genter")</f>
        <v>Sophie Genter</v>
      </c>
      <c r="C854" s="118">
        <f ca="1">IFERROR(__xludf.DUMMYFUNCTION("""COMPUTED_VALUE"""),12)</f>
        <v>12</v>
      </c>
      <c r="D854" s="118" t="str">
        <f ca="1">IFERROR(__xludf.DUMMYFUNCTION("""COMPUTED_VALUE"""),"G")</f>
        <v>G</v>
      </c>
      <c r="E854" s="118" t="str">
        <f ca="1">IFERROR(__xludf.DUMMYFUNCTION("""COMPUTED_VALUE"""),"J")</f>
        <v>J</v>
      </c>
      <c r="F854" s="118" t="str">
        <f ca="1">IFERROR(__xludf.DUMMYFUNCTION("""COMPUTED_VALUE"""),"I")</f>
        <v>I</v>
      </c>
      <c r="G854" s="118">
        <f ca="1">IFERROR(__xludf.DUMMYFUNCTION("""COMPUTED_VALUE"""),2)</f>
        <v>2</v>
      </c>
      <c r="H854" s="118" t="str">
        <f ca="1">IFERROR(__xludf.DUMMYFUNCTION("""COMPUTED_VALUE"""),"HS")</f>
        <v>HS</v>
      </c>
      <c r="I854" s="118">
        <f ca="1">IFERROR(__xludf.DUMMYFUNCTION("""COMPUTED_VALUE"""),6)</f>
        <v>6</v>
      </c>
      <c r="J854" s="118">
        <f ca="1">IFERROR(__xludf.DUMMYFUNCTION("""COMPUTED_VALUE"""),0)</f>
        <v>0</v>
      </c>
      <c r="K854" s="120"/>
      <c r="L854" s="121"/>
      <c r="M854" s="120"/>
      <c r="N854" s="121"/>
      <c r="O854" s="120"/>
      <c r="P854" s="122"/>
      <c r="Q854" s="123" t="str">
        <f ca="1">IFERROR(__xludf.DUMMYFUNCTION("""COMPUTED_VALUE"""),"Sawyer Palmby")</f>
        <v>Sawyer Palmby</v>
      </c>
      <c r="R854" s="123"/>
      <c r="S854" s="123" t="str">
        <f ca="1">IFERROR(__xludf.DUMMYFUNCTION("""COMPUTED_VALUE"""),"Madyson Chambley")</f>
        <v>Madyson Chambley</v>
      </c>
      <c r="T854" s="123" t="str">
        <f ca="1">IFERROR(__xludf.DUMMYFUNCTION("""COMPUTED_VALUE"""),"TJ Zahler")</f>
        <v>TJ Zahler</v>
      </c>
    </row>
    <row r="855" spans="1:20" ht="13.8">
      <c r="A855" s="118" t="str">
        <f ca="1">IFERROR(__xludf.DUMMYFUNCTION("""COMPUTED_VALUE"""),"HS")</f>
        <v>HS</v>
      </c>
      <c r="B855" s="119" t="str">
        <f ca="1">IFERROR(__xludf.DUMMYFUNCTION("""COMPUTED_VALUE"""),"Connor Stith")</f>
        <v>Connor Stith</v>
      </c>
      <c r="C855" s="118">
        <f ca="1">IFERROR(__xludf.DUMMYFUNCTION("""COMPUTED_VALUE"""),11)</f>
        <v>11</v>
      </c>
      <c r="D855" s="118" t="str">
        <f ca="1">IFERROR(__xludf.DUMMYFUNCTION("""COMPUTED_VALUE"""),"B")</f>
        <v>B</v>
      </c>
      <c r="E855" s="118" t="str">
        <f ca="1">IFERROR(__xludf.DUMMYFUNCTION("""COMPUTED_VALUE"""),"J")</f>
        <v>J</v>
      </c>
      <c r="F855" s="118" t="str">
        <f ca="1">IFERROR(__xludf.DUMMYFUNCTION("""COMPUTED_VALUE"""),"I")</f>
        <v>I</v>
      </c>
      <c r="G855" s="118">
        <f ca="1">IFERROR(__xludf.DUMMYFUNCTION("""COMPUTED_VALUE"""),2)</f>
        <v>2</v>
      </c>
      <c r="H855" s="118" t="str">
        <f ca="1">IFERROR(__xludf.DUMMYFUNCTION("""COMPUTED_VALUE"""),"HS")</f>
        <v>HS</v>
      </c>
      <c r="I855" s="118">
        <f ca="1">IFERROR(__xludf.DUMMYFUNCTION("""COMPUTED_VALUE"""),7)</f>
        <v>7</v>
      </c>
      <c r="J855" s="118">
        <f ca="1">IFERROR(__xludf.DUMMYFUNCTION("""COMPUTED_VALUE"""),5)</f>
        <v>5</v>
      </c>
      <c r="K855" s="120">
        <f ca="1">IFERROR(__xludf.DUMMYFUNCTION("""COMPUTED_VALUE"""),76.25)</f>
        <v>76.25</v>
      </c>
      <c r="L855" s="121"/>
      <c r="M855" s="120">
        <f ca="1">IFERROR(__xludf.DUMMYFUNCTION("""COMPUTED_VALUE"""),70.8)</f>
        <v>70.8</v>
      </c>
      <c r="N855" s="121"/>
      <c r="O855" s="120">
        <f ca="1">IFERROR(__xludf.DUMMYFUNCTION("""COMPUTED_VALUE"""),66)</f>
        <v>66</v>
      </c>
      <c r="P855" s="122"/>
      <c r="Q855" s="123" t="str">
        <f ca="1">IFERROR(__xludf.DUMMYFUNCTION("""COMPUTED_VALUE"""),"Sawyer Rascona")</f>
        <v>Sawyer Rascona</v>
      </c>
      <c r="R855" s="123"/>
      <c r="S855" s="123" t="str">
        <f ca="1">IFERROR(__xludf.DUMMYFUNCTION("""COMPUTED_VALUE"""),"Mae Moriarty")</f>
        <v>Mae Moriarty</v>
      </c>
      <c r="T855" s="123" t="str">
        <f ca="1">IFERROR(__xludf.DUMMYFUNCTION("""COMPUTED_VALUE"""),"Tobias Damico-Lassman")</f>
        <v>Tobias Damico-Lassman</v>
      </c>
    </row>
    <row r="856" spans="1:20" ht="13.8">
      <c r="A856" s="118" t="str">
        <f ca="1">IFERROR(__xludf.DUMMYFUNCTION("""COMPUTED_VALUE"""),"HS")</f>
        <v>HS</v>
      </c>
      <c r="B856" s="119" t="str">
        <f ca="1">IFERROR(__xludf.DUMMYFUNCTION("""COMPUTED_VALUE"""),"Dylan Baldrate")</f>
        <v>Dylan Baldrate</v>
      </c>
      <c r="C856" s="118">
        <f ca="1">IFERROR(__xludf.DUMMYFUNCTION("""COMPUTED_VALUE"""),12)</f>
        <v>12</v>
      </c>
      <c r="D856" s="118" t="str">
        <f ca="1">IFERROR(__xludf.DUMMYFUNCTION("""COMPUTED_VALUE"""),"B")</f>
        <v>B</v>
      </c>
      <c r="E856" s="118" t="str">
        <f ca="1">IFERROR(__xludf.DUMMYFUNCTION("""COMPUTED_VALUE"""),"J")</f>
        <v>J</v>
      </c>
      <c r="F856" s="118" t="str">
        <f ca="1">IFERROR(__xludf.DUMMYFUNCTION("""COMPUTED_VALUE"""),"I")</f>
        <v>I</v>
      </c>
      <c r="G856" s="118">
        <f ca="1">IFERROR(__xludf.DUMMYFUNCTION("""COMPUTED_VALUE"""),2)</f>
        <v>2</v>
      </c>
      <c r="H856" s="118" t="str">
        <f ca="1">IFERROR(__xludf.DUMMYFUNCTION("""COMPUTED_VALUE"""),"HS")</f>
        <v>HS</v>
      </c>
      <c r="I856" s="118">
        <f ca="1">IFERROR(__xludf.DUMMYFUNCTION("""COMPUTED_VALUE"""),7)</f>
        <v>7</v>
      </c>
      <c r="J856" s="118">
        <f ca="1">IFERROR(__xludf.DUMMYFUNCTION("""COMPUTED_VALUE"""),3)</f>
        <v>3</v>
      </c>
      <c r="K856" s="120">
        <f ca="1">IFERROR(__xludf.DUMMYFUNCTION("""COMPUTED_VALUE"""),43.6)</f>
        <v>43.6</v>
      </c>
      <c r="L856" s="121"/>
      <c r="M856" s="120">
        <f ca="1">IFERROR(__xludf.DUMMYFUNCTION("""COMPUTED_VALUE"""),43.6)</f>
        <v>43.6</v>
      </c>
      <c r="N856" s="121"/>
      <c r="O856" s="120">
        <f ca="1">IFERROR(__xludf.DUMMYFUNCTION("""COMPUTED_VALUE"""),38.7)</f>
        <v>38.700000000000003</v>
      </c>
      <c r="P856" s="122"/>
      <c r="Q856" s="123" t="str">
        <f ca="1">IFERROR(__xludf.DUMMYFUNCTION("""COMPUTED_VALUE"""),"Scarlet Johnson")</f>
        <v>Scarlet Johnson</v>
      </c>
      <c r="R856" s="123"/>
      <c r="S856" s="123" t="str">
        <f ca="1">IFERROR(__xludf.DUMMYFUNCTION("""COMPUTED_VALUE"""),"Maeve Cahill")</f>
        <v>Maeve Cahill</v>
      </c>
      <c r="T856" s="123" t="str">
        <f ca="1">IFERROR(__xludf.DUMMYFUNCTION("""COMPUTED_VALUE"""),"Tobin Boulter")</f>
        <v>Tobin Boulter</v>
      </c>
    </row>
    <row r="857" spans="1:20" ht="13.8">
      <c r="A857" s="118" t="str">
        <f ca="1">IFERROR(__xludf.DUMMYFUNCTION("""COMPUTED_VALUE"""),"HS")</f>
        <v>HS</v>
      </c>
      <c r="B857" s="119" t="str">
        <f ca="1">IFERROR(__xludf.DUMMYFUNCTION("""COMPUTED_VALUE"""),"Faustino Fredes")</f>
        <v>Faustino Fredes</v>
      </c>
      <c r="C857" s="118">
        <f ca="1">IFERROR(__xludf.DUMMYFUNCTION("""COMPUTED_VALUE"""),12)</f>
        <v>12</v>
      </c>
      <c r="D857" s="118" t="str">
        <f ca="1">IFERROR(__xludf.DUMMYFUNCTION("""COMPUTED_VALUE"""),"B")</f>
        <v>B</v>
      </c>
      <c r="E857" s="118" t="str">
        <f ca="1">IFERROR(__xludf.DUMMYFUNCTION("""COMPUTED_VALUE"""),"J")</f>
        <v>J</v>
      </c>
      <c r="F857" s="118" t="str">
        <f ca="1">IFERROR(__xludf.DUMMYFUNCTION("""COMPUTED_VALUE"""),"I")</f>
        <v>I</v>
      </c>
      <c r="G857" s="118">
        <f ca="1">IFERROR(__xludf.DUMMYFUNCTION("""COMPUTED_VALUE"""),2)</f>
        <v>2</v>
      </c>
      <c r="H857" s="118" t="str">
        <f ca="1">IFERROR(__xludf.DUMMYFUNCTION("""COMPUTED_VALUE"""),"HS")</f>
        <v>HS</v>
      </c>
      <c r="I857" s="118">
        <f ca="1">IFERROR(__xludf.DUMMYFUNCTION("""COMPUTED_VALUE"""),7)</f>
        <v>7</v>
      </c>
      <c r="J857" s="118">
        <f ca="1">IFERROR(__xludf.DUMMYFUNCTION("""COMPUTED_VALUE"""),5)</f>
        <v>5</v>
      </c>
      <c r="K857" s="120">
        <f ca="1">IFERROR(__xludf.DUMMYFUNCTION("""COMPUTED_VALUE"""),130.7)</f>
        <v>130.69999999999999</v>
      </c>
      <c r="L857" s="121"/>
      <c r="M857" s="120">
        <f ca="1">IFERROR(__xludf.DUMMYFUNCTION("""COMPUTED_VALUE"""),130.7)</f>
        <v>130.69999999999999</v>
      </c>
      <c r="N857" s="121"/>
      <c r="O857" s="120">
        <f ca="1">IFERROR(__xludf.DUMMYFUNCTION("""COMPUTED_VALUE"""),120.4)</f>
        <v>120.4</v>
      </c>
      <c r="P857" s="122"/>
      <c r="Q857" s="123" t="str">
        <f ca="1">IFERROR(__xludf.DUMMYFUNCTION("""COMPUTED_VALUE"""),"Scarlett Mintzer")</f>
        <v>Scarlett Mintzer</v>
      </c>
      <c r="R857" s="123"/>
      <c r="S857" s="123" t="str">
        <f ca="1">IFERROR(__xludf.DUMMYFUNCTION("""COMPUTED_VALUE"""),"Maeve McGuire")</f>
        <v>Maeve McGuire</v>
      </c>
      <c r="T857" s="123" t="str">
        <f ca="1">IFERROR(__xludf.DUMMYFUNCTION("""COMPUTED_VALUE"""),"Tobin Ham")</f>
        <v>Tobin Ham</v>
      </c>
    </row>
    <row r="858" spans="1:20" ht="13.8">
      <c r="A858" s="118" t="str">
        <f ca="1">IFERROR(__xludf.DUMMYFUNCTION("""COMPUTED_VALUE"""),"HS")</f>
        <v>HS</v>
      </c>
      <c r="B858" s="119" t="str">
        <f ca="1">IFERROR(__xludf.DUMMYFUNCTION("""COMPUTED_VALUE"""),"Logan Titus")</f>
        <v>Logan Titus</v>
      </c>
      <c r="C858" s="118">
        <f ca="1">IFERROR(__xludf.DUMMYFUNCTION("""COMPUTED_VALUE"""),11)</f>
        <v>11</v>
      </c>
      <c r="D858" s="118" t="str">
        <f ca="1">IFERROR(__xludf.DUMMYFUNCTION("""COMPUTED_VALUE"""),"B")</f>
        <v>B</v>
      </c>
      <c r="E858" s="118" t="str">
        <f ca="1">IFERROR(__xludf.DUMMYFUNCTION("""COMPUTED_VALUE"""),"J")</f>
        <v>J</v>
      </c>
      <c r="F858" s="118" t="str">
        <f ca="1">IFERROR(__xludf.DUMMYFUNCTION("""COMPUTED_VALUE"""),"I")</f>
        <v>I</v>
      </c>
      <c r="G858" s="118">
        <f ca="1">IFERROR(__xludf.DUMMYFUNCTION("""COMPUTED_VALUE"""),2)</f>
        <v>2</v>
      </c>
      <c r="H858" s="118" t="str">
        <f ca="1">IFERROR(__xludf.DUMMYFUNCTION("""COMPUTED_VALUE"""),"HS")</f>
        <v>HS</v>
      </c>
      <c r="I858" s="118">
        <f ca="1">IFERROR(__xludf.DUMMYFUNCTION("""COMPUTED_VALUE"""),7)</f>
        <v>7</v>
      </c>
      <c r="J858" s="118">
        <f ca="1">IFERROR(__xludf.DUMMYFUNCTION("""COMPUTED_VALUE"""),3)</f>
        <v>3</v>
      </c>
      <c r="K858" s="120">
        <f ca="1">IFERROR(__xludf.DUMMYFUNCTION("""COMPUTED_VALUE"""),47.95)</f>
        <v>47.95</v>
      </c>
      <c r="L858" s="121"/>
      <c r="M858" s="120"/>
      <c r="N858" s="121"/>
      <c r="O858" s="120"/>
      <c r="P858" s="122"/>
      <c r="Q858" s="123" t="str">
        <f ca="1">IFERROR(__xludf.DUMMYFUNCTION("""COMPUTED_VALUE"""),"Scout Freeman")</f>
        <v>Scout Freeman</v>
      </c>
      <c r="R858" s="123"/>
      <c r="S858" s="123" t="str">
        <f ca="1">IFERROR(__xludf.DUMMYFUNCTION("""COMPUTED_VALUE"""),"Maeve Tompkins")</f>
        <v>Maeve Tompkins</v>
      </c>
      <c r="T858" s="123" t="str">
        <f ca="1">IFERROR(__xludf.DUMMYFUNCTION("""COMPUTED_VALUE"""),"Toby Chen")</f>
        <v>Toby Chen</v>
      </c>
    </row>
    <row r="859" spans="1:20" ht="13.8">
      <c r="A859" s="118" t="str">
        <f ca="1">IFERROR(__xludf.DUMMYFUNCTION("""COMPUTED_VALUE"""),"HS")</f>
        <v>HS</v>
      </c>
      <c r="B859" s="119" t="str">
        <f ca="1">IFERROR(__xludf.DUMMYFUNCTION("""COMPUTED_VALUE"""),"Teddy Lilly")</f>
        <v>Teddy Lilly</v>
      </c>
      <c r="C859" s="118">
        <f ca="1">IFERROR(__xludf.DUMMYFUNCTION("""COMPUTED_VALUE"""),11)</f>
        <v>11</v>
      </c>
      <c r="D859" s="118" t="str">
        <f ca="1">IFERROR(__xludf.DUMMYFUNCTION("""COMPUTED_VALUE"""),"B")</f>
        <v>B</v>
      </c>
      <c r="E859" s="118" t="str">
        <f ca="1">IFERROR(__xludf.DUMMYFUNCTION("""COMPUTED_VALUE"""),"J")</f>
        <v>J</v>
      </c>
      <c r="F859" s="118" t="str">
        <f ca="1">IFERROR(__xludf.DUMMYFUNCTION("""COMPUTED_VALUE"""),"I")</f>
        <v>I</v>
      </c>
      <c r="G859" s="118">
        <f ca="1">IFERROR(__xludf.DUMMYFUNCTION("""COMPUTED_VALUE"""),2)</f>
        <v>2</v>
      </c>
      <c r="H859" s="118" t="str">
        <f ca="1">IFERROR(__xludf.DUMMYFUNCTION("""COMPUTED_VALUE"""),"HS")</f>
        <v>HS</v>
      </c>
      <c r="I859" s="118">
        <f ca="1">IFERROR(__xludf.DUMMYFUNCTION("""COMPUTED_VALUE"""),7)</f>
        <v>7</v>
      </c>
      <c r="J859" s="118">
        <f ca="1">IFERROR(__xludf.DUMMYFUNCTION("""COMPUTED_VALUE"""),0)</f>
        <v>0</v>
      </c>
      <c r="K859" s="120"/>
      <c r="L859" s="121"/>
      <c r="M859" s="120"/>
      <c r="N859" s="121"/>
      <c r="O859" s="120"/>
      <c r="P859" s="122"/>
      <c r="Q859" s="123" t="str">
        <f ca="1">IFERROR(__xludf.DUMMYFUNCTION("""COMPUTED_VALUE"""),"Seraphina Davison")</f>
        <v>Seraphina Davison</v>
      </c>
      <c r="R859" s="123"/>
      <c r="S859" s="123" t="str">
        <f ca="1">IFERROR(__xludf.DUMMYFUNCTION("""COMPUTED_VALUE"""),"Magdalena Burke")</f>
        <v>Magdalena Burke</v>
      </c>
      <c r="T859" s="123" t="str">
        <f ca="1">IFERROR(__xludf.DUMMYFUNCTION("""COMPUTED_VALUE"""),"Todd Orvald")</f>
        <v>Todd Orvald</v>
      </c>
    </row>
    <row r="860" spans="1:20" ht="13.8">
      <c r="A860" s="118" t="str">
        <f ca="1">IFERROR(__xludf.DUMMYFUNCTION("""COMPUTED_VALUE"""),"HS")</f>
        <v>HS</v>
      </c>
      <c r="B860" s="119" t="str">
        <f ca="1">IFERROR(__xludf.DUMMYFUNCTION("""COMPUTED_VALUE"""),"Caroline Sterling")</f>
        <v>Caroline Sterling</v>
      </c>
      <c r="C860" s="118">
        <f ca="1">IFERROR(__xludf.DUMMYFUNCTION("""COMPUTED_VALUE"""),13)</f>
        <v>13</v>
      </c>
      <c r="D860" s="118" t="str">
        <f ca="1">IFERROR(__xludf.DUMMYFUNCTION("""COMPUTED_VALUE"""),"G")</f>
        <v>G</v>
      </c>
      <c r="E860" s="118" t="str">
        <f ca="1">IFERROR(__xludf.DUMMYFUNCTION("""COMPUTED_VALUE"""),"I")</f>
        <v>I</v>
      </c>
      <c r="F860" s="118" t="str">
        <f ca="1">IFERROR(__xludf.DUMMYFUNCTION("""COMPUTED_VALUE"""),"S")</f>
        <v>S</v>
      </c>
      <c r="G860" s="118">
        <f ca="1">IFERROR(__xludf.DUMMYFUNCTION("""COMPUTED_VALUE"""),2)</f>
        <v>2</v>
      </c>
      <c r="H860" s="118" t="str">
        <f ca="1">IFERROR(__xludf.DUMMYFUNCTION("""COMPUTED_VALUE"""),"HS")</f>
        <v>HS</v>
      </c>
      <c r="I860" s="118">
        <f ca="1">IFERROR(__xludf.DUMMYFUNCTION("""COMPUTED_VALUE"""),8)</f>
        <v>8</v>
      </c>
      <c r="J860" s="118">
        <f ca="1">IFERROR(__xludf.DUMMYFUNCTION("""COMPUTED_VALUE"""),0)</f>
        <v>0</v>
      </c>
      <c r="K860" s="120"/>
      <c r="L860" s="121"/>
      <c r="M860" s="120"/>
      <c r="N860" s="121"/>
      <c r="O860" s="120"/>
      <c r="P860" s="122"/>
      <c r="Q860" s="123" t="str">
        <f ca="1">IFERROR(__xludf.DUMMYFUNCTION("""COMPUTED_VALUE"""),"Serra Yildiz")</f>
        <v>Serra Yildiz</v>
      </c>
      <c r="R860" s="123"/>
      <c r="S860" s="123" t="str">
        <f ca="1">IFERROR(__xludf.DUMMYFUNCTION("""COMPUTED_VALUE"""),"Maggie Cate")</f>
        <v>Maggie Cate</v>
      </c>
      <c r="T860" s="123" t="str">
        <f ca="1">IFERROR(__xludf.DUMMYFUNCTION("""COMPUTED_VALUE"""),"Tom Ritter")</f>
        <v>Tom Ritter</v>
      </c>
    </row>
    <row r="861" spans="1:20" ht="13.8">
      <c r="A861" s="118" t="str">
        <f ca="1">IFERROR(__xludf.DUMMYFUNCTION("""COMPUTED_VALUE"""),"HS")</f>
        <v>HS</v>
      </c>
      <c r="B861" s="119" t="str">
        <f ca="1">IFERROR(__xludf.DUMMYFUNCTION("""COMPUTED_VALUE"""),"Emma Dewhirst")</f>
        <v>Emma Dewhirst</v>
      </c>
      <c r="C861" s="118">
        <f ca="1">IFERROR(__xludf.DUMMYFUNCTION("""COMPUTED_VALUE"""),14)</f>
        <v>14</v>
      </c>
      <c r="D861" s="118" t="str">
        <f ca="1">IFERROR(__xludf.DUMMYFUNCTION("""COMPUTED_VALUE"""),"G")</f>
        <v>G</v>
      </c>
      <c r="E861" s="118" t="str">
        <f ca="1">IFERROR(__xludf.DUMMYFUNCTION("""COMPUTED_VALUE"""),"I")</f>
        <v>I</v>
      </c>
      <c r="F861" s="118" t="str">
        <f ca="1">IFERROR(__xludf.DUMMYFUNCTION("""COMPUTED_VALUE"""),"S")</f>
        <v>S</v>
      </c>
      <c r="G861" s="118">
        <f ca="1">IFERROR(__xludf.DUMMYFUNCTION("""COMPUTED_VALUE"""),2)</f>
        <v>2</v>
      </c>
      <c r="H861" s="118" t="str">
        <f ca="1">IFERROR(__xludf.DUMMYFUNCTION("""COMPUTED_VALUE"""),"HS")</f>
        <v>HS</v>
      </c>
      <c r="I861" s="118">
        <f ca="1">IFERROR(__xludf.DUMMYFUNCTION("""COMPUTED_VALUE"""),8)</f>
        <v>8</v>
      </c>
      <c r="J861" s="118">
        <f ca="1">IFERROR(__xludf.DUMMYFUNCTION("""COMPUTED_VALUE"""),5)</f>
        <v>5</v>
      </c>
      <c r="K861" s="120">
        <f ca="1">IFERROR(__xludf.DUMMYFUNCTION("""COMPUTED_VALUE"""),98.05)</f>
        <v>98.05</v>
      </c>
      <c r="L861" s="121"/>
      <c r="M861" s="120">
        <f ca="1">IFERROR(__xludf.DUMMYFUNCTION("""COMPUTED_VALUE"""),98.05)</f>
        <v>98.05</v>
      </c>
      <c r="N861" s="121"/>
      <c r="O861" s="120">
        <f ca="1">IFERROR(__xludf.DUMMYFUNCTION("""COMPUTED_VALUE"""),86.4)</f>
        <v>86.4</v>
      </c>
      <c r="P861" s="122"/>
      <c r="Q861" s="123" t="str">
        <f ca="1">IFERROR(__xludf.DUMMYFUNCTION("""COMPUTED_VALUE"""),"Shea McCarthy")</f>
        <v>Shea McCarthy</v>
      </c>
      <c r="R861" s="123"/>
      <c r="S861" s="123" t="str">
        <f ca="1">IFERROR(__xludf.DUMMYFUNCTION("""COMPUTED_VALUE"""),"Maggie Donnelly")</f>
        <v>Maggie Donnelly</v>
      </c>
      <c r="T861" s="123" t="str">
        <f ca="1">IFERROR(__xludf.DUMMYFUNCTION("""COMPUTED_VALUE"""),"Tommy Edgerton")</f>
        <v>Tommy Edgerton</v>
      </c>
    </row>
    <row r="862" spans="1:20" ht="13.8">
      <c r="A862" s="118" t="str">
        <f ca="1">IFERROR(__xludf.DUMMYFUNCTION("""COMPUTED_VALUE"""),"HS")</f>
        <v>HS</v>
      </c>
      <c r="B862" s="119" t="str">
        <f ca="1">IFERROR(__xludf.DUMMYFUNCTION("""COMPUTED_VALUE"""),"Emma Stadelmann")</f>
        <v>Emma Stadelmann</v>
      </c>
      <c r="C862" s="118">
        <f ca="1">IFERROR(__xludf.DUMMYFUNCTION("""COMPUTED_VALUE"""),13)</f>
        <v>13</v>
      </c>
      <c r="D862" s="118" t="str">
        <f ca="1">IFERROR(__xludf.DUMMYFUNCTION("""COMPUTED_VALUE"""),"G")</f>
        <v>G</v>
      </c>
      <c r="E862" s="118" t="str">
        <f ca="1">IFERROR(__xludf.DUMMYFUNCTION("""COMPUTED_VALUE"""),"I")</f>
        <v>I</v>
      </c>
      <c r="F862" s="118" t="str">
        <f ca="1">IFERROR(__xludf.DUMMYFUNCTION("""COMPUTED_VALUE"""),"S")</f>
        <v>S</v>
      </c>
      <c r="G862" s="118">
        <f ca="1">IFERROR(__xludf.DUMMYFUNCTION("""COMPUTED_VALUE"""),2)</f>
        <v>2</v>
      </c>
      <c r="H862" s="118" t="str">
        <f ca="1">IFERROR(__xludf.DUMMYFUNCTION("""COMPUTED_VALUE"""),"HS")</f>
        <v>HS</v>
      </c>
      <c r="I862" s="118">
        <f ca="1">IFERROR(__xludf.DUMMYFUNCTION("""COMPUTED_VALUE"""),8)</f>
        <v>8</v>
      </c>
      <c r="J862" s="118">
        <f ca="1">IFERROR(__xludf.DUMMYFUNCTION("""COMPUTED_VALUE"""),2)</f>
        <v>2</v>
      </c>
      <c r="K862" s="120">
        <f ca="1">IFERROR(__xludf.DUMMYFUNCTION("""COMPUTED_VALUE"""),102)</f>
        <v>102</v>
      </c>
      <c r="L862" s="121"/>
      <c r="M862" s="120">
        <f ca="1">IFERROR(__xludf.DUMMYFUNCTION("""COMPUTED_VALUE"""),102)</f>
        <v>102</v>
      </c>
      <c r="N862" s="121"/>
      <c r="O862" s="120"/>
      <c r="P862" s="122"/>
      <c r="Q862" s="123" t="str">
        <f ca="1">IFERROR(__xludf.DUMMYFUNCTION("""COMPUTED_VALUE"""),"Sia Ferssizidis")</f>
        <v>Sia Ferssizidis</v>
      </c>
      <c r="R862" s="123"/>
      <c r="S862" s="123" t="str">
        <f ca="1">IFERROR(__xludf.DUMMYFUNCTION("""COMPUTED_VALUE"""),"Maggie Gulotta")</f>
        <v>Maggie Gulotta</v>
      </c>
      <c r="T862" s="123" t="str">
        <f ca="1">IFERROR(__xludf.DUMMYFUNCTION("""COMPUTED_VALUE"""),"Tommy Juster")</f>
        <v>Tommy Juster</v>
      </c>
    </row>
    <row r="863" spans="1:20" ht="13.8">
      <c r="A863" s="118" t="str">
        <f ca="1">IFERROR(__xludf.DUMMYFUNCTION("""COMPUTED_VALUE"""),"HS")</f>
        <v>HS</v>
      </c>
      <c r="B863" s="119" t="str">
        <f ca="1">IFERROR(__xludf.DUMMYFUNCTION("""COMPUTED_VALUE"""),"Nora Bogacki")</f>
        <v>Nora Bogacki</v>
      </c>
      <c r="C863" s="118">
        <f ca="1">IFERROR(__xludf.DUMMYFUNCTION("""COMPUTED_VALUE"""),14)</f>
        <v>14</v>
      </c>
      <c r="D863" s="118" t="str">
        <f ca="1">IFERROR(__xludf.DUMMYFUNCTION("""COMPUTED_VALUE"""),"G")</f>
        <v>G</v>
      </c>
      <c r="E863" s="118" t="str">
        <f ca="1">IFERROR(__xludf.DUMMYFUNCTION("""COMPUTED_VALUE"""),"I")</f>
        <v>I</v>
      </c>
      <c r="F863" s="118" t="str">
        <f ca="1">IFERROR(__xludf.DUMMYFUNCTION("""COMPUTED_VALUE"""),"S")</f>
        <v>S</v>
      </c>
      <c r="G863" s="118">
        <f ca="1">IFERROR(__xludf.DUMMYFUNCTION("""COMPUTED_VALUE"""),2)</f>
        <v>2</v>
      </c>
      <c r="H863" s="118" t="str">
        <f ca="1">IFERROR(__xludf.DUMMYFUNCTION("""COMPUTED_VALUE"""),"HS")</f>
        <v>HS</v>
      </c>
      <c r="I863" s="118">
        <f ca="1">IFERROR(__xludf.DUMMYFUNCTION("""COMPUTED_VALUE"""),8)</f>
        <v>8</v>
      </c>
      <c r="J863" s="118">
        <f ca="1">IFERROR(__xludf.DUMMYFUNCTION("""COMPUTED_VALUE"""),3)</f>
        <v>3</v>
      </c>
      <c r="K863" s="120">
        <f ca="1">IFERROR(__xludf.DUMMYFUNCTION("""COMPUTED_VALUE"""),88.5)</f>
        <v>88.5</v>
      </c>
      <c r="L863" s="121"/>
      <c r="M863" s="120">
        <f ca="1">IFERROR(__xludf.DUMMYFUNCTION("""COMPUTED_VALUE"""),78.4)</f>
        <v>78.400000000000006</v>
      </c>
      <c r="N863" s="121"/>
      <c r="O863" s="120"/>
      <c r="P863" s="122"/>
      <c r="Q863" s="123" t="str">
        <f ca="1">IFERROR(__xludf.DUMMYFUNCTION("""COMPUTED_VALUE"""),"Sienna Carry")</f>
        <v>Sienna Carry</v>
      </c>
      <c r="R863" s="123"/>
      <c r="S863" s="123" t="str">
        <f ca="1">IFERROR(__xludf.DUMMYFUNCTION("""COMPUTED_VALUE"""),"Maggie Johnston")</f>
        <v>Maggie Johnston</v>
      </c>
      <c r="T863" s="123" t="str">
        <f ca="1">IFERROR(__xludf.DUMMYFUNCTION("""COMPUTED_VALUE"""),"Tommy Nelson")</f>
        <v>Tommy Nelson</v>
      </c>
    </row>
    <row r="864" spans="1:20" ht="13.8">
      <c r="A864" s="118" t="str">
        <f ca="1">IFERROR(__xludf.DUMMYFUNCTION("""COMPUTED_VALUE"""),"HS")</f>
        <v>HS</v>
      </c>
      <c r="B864" s="119" t="str">
        <f ca="1">IFERROR(__xludf.DUMMYFUNCTION("""COMPUTED_VALUE"""),"Olivia Berik")</f>
        <v>Olivia Berik</v>
      </c>
      <c r="C864" s="118">
        <f ca="1">IFERROR(__xludf.DUMMYFUNCTION("""COMPUTED_VALUE"""),13)</f>
        <v>13</v>
      </c>
      <c r="D864" s="118" t="str">
        <f ca="1">IFERROR(__xludf.DUMMYFUNCTION("""COMPUTED_VALUE"""),"G")</f>
        <v>G</v>
      </c>
      <c r="E864" s="118" t="str">
        <f ca="1">IFERROR(__xludf.DUMMYFUNCTION("""COMPUTED_VALUE"""),"I")</f>
        <v>I</v>
      </c>
      <c r="F864" s="118" t="str">
        <f ca="1">IFERROR(__xludf.DUMMYFUNCTION("""COMPUTED_VALUE"""),"S")</f>
        <v>S</v>
      </c>
      <c r="G864" s="118">
        <f ca="1">IFERROR(__xludf.DUMMYFUNCTION("""COMPUTED_VALUE"""),2)</f>
        <v>2</v>
      </c>
      <c r="H864" s="118" t="str">
        <f ca="1">IFERROR(__xludf.DUMMYFUNCTION("""COMPUTED_VALUE"""),"HS")</f>
        <v>HS</v>
      </c>
      <c r="I864" s="118">
        <f ca="1">IFERROR(__xludf.DUMMYFUNCTION("""COMPUTED_VALUE"""),8)</f>
        <v>8</v>
      </c>
      <c r="J864" s="118">
        <f ca="1">IFERROR(__xludf.DUMMYFUNCTION("""COMPUTED_VALUE"""),5)</f>
        <v>5</v>
      </c>
      <c r="K864" s="120">
        <f ca="1">IFERROR(__xludf.DUMMYFUNCTION("""COMPUTED_VALUE"""),155.5)</f>
        <v>155.5</v>
      </c>
      <c r="L864" s="121"/>
      <c r="M864" s="120">
        <f ca="1">IFERROR(__xludf.DUMMYFUNCTION("""COMPUTED_VALUE"""),139.45)</f>
        <v>139.44999999999999</v>
      </c>
      <c r="N864" s="121"/>
      <c r="O864" s="120">
        <f ca="1">IFERROR(__xludf.DUMMYFUNCTION("""COMPUTED_VALUE"""),136.75)</f>
        <v>136.75</v>
      </c>
      <c r="P864" s="122"/>
      <c r="Q864" s="123" t="str">
        <f ca="1">IFERROR(__xludf.DUMMYFUNCTION("""COMPUTED_VALUE"""),"Sienna Nelson")</f>
        <v>Sienna Nelson</v>
      </c>
      <c r="R864" s="123"/>
      <c r="S864" s="123" t="str">
        <f ca="1">IFERROR(__xludf.DUMMYFUNCTION("""COMPUTED_VALUE"""),"Maggie Levi")</f>
        <v>Maggie Levi</v>
      </c>
      <c r="T864" s="123" t="str">
        <f ca="1">IFERROR(__xludf.DUMMYFUNCTION("""COMPUTED_VALUE"""),"Tommy Ventimiglia")</f>
        <v>Tommy Ventimiglia</v>
      </c>
    </row>
    <row r="865" spans="1:20" ht="13.8">
      <c r="A865" s="118" t="str">
        <f ca="1">IFERROR(__xludf.DUMMYFUNCTION("""COMPUTED_VALUE"""),"HS")</f>
        <v>HS</v>
      </c>
      <c r="B865" s="119" t="str">
        <f ca="1">IFERROR(__xludf.DUMMYFUNCTION("""COMPUTED_VALUE"""),"Sophie Bittenbender")</f>
        <v>Sophie Bittenbender</v>
      </c>
      <c r="C865" s="118">
        <f ca="1">IFERROR(__xludf.DUMMYFUNCTION("""COMPUTED_VALUE"""),13)</f>
        <v>13</v>
      </c>
      <c r="D865" s="118" t="str">
        <f ca="1">IFERROR(__xludf.DUMMYFUNCTION("""COMPUTED_VALUE"""),"G")</f>
        <v>G</v>
      </c>
      <c r="E865" s="118" t="str">
        <f ca="1">IFERROR(__xludf.DUMMYFUNCTION("""COMPUTED_VALUE"""),"I")</f>
        <v>I</v>
      </c>
      <c r="F865" s="118" t="str">
        <f ca="1">IFERROR(__xludf.DUMMYFUNCTION("""COMPUTED_VALUE"""),"S")</f>
        <v>S</v>
      </c>
      <c r="G865" s="118">
        <f ca="1">IFERROR(__xludf.DUMMYFUNCTION("""COMPUTED_VALUE"""),2)</f>
        <v>2</v>
      </c>
      <c r="H865" s="118" t="str">
        <f ca="1">IFERROR(__xludf.DUMMYFUNCTION("""COMPUTED_VALUE"""),"HS")</f>
        <v>HS</v>
      </c>
      <c r="I865" s="118">
        <f ca="1">IFERROR(__xludf.DUMMYFUNCTION("""COMPUTED_VALUE"""),8)</f>
        <v>8</v>
      </c>
      <c r="J865" s="118">
        <f ca="1">IFERROR(__xludf.DUMMYFUNCTION("""COMPUTED_VALUE"""),1)</f>
        <v>1</v>
      </c>
      <c r="K865" s="120">
        <f ca="1">IFERROR(__xludf.DUMMYFUNCTION("""COMPUTED_VALUE"""),68.95)</f>
        <v>68.95</v>
      </c>
      <c r="L865" s="121"/>
      <c r="M865" s="120"/>
      <c r="N865" s="121"/>
      <c r="O865" s="120">
        <f ca="1">IFERROR(__xludf.DUMMYFUNCTION("""COMPUTED_VALUE"""),68.95)</f>
        <v>68.95</v>
      </c>
      <c r="P865" s="122"/>
      <c r="Q865" s="123" t="str">
        <f ca="1">IFERROR(__xludf.DUMMYFUNCTION("""COMPUTED_VALUE"""),"Sierra Jackson")</f>
        <v>Sierra Jackson</v>
      </c>
      <c r="R865" s="123"/>
      <c r="S865" s="123" t="str">
        <f ca="1">IFERROR(__xludf.DUMMYFUNCTION("""COMPUTED_VALUE"""),"Maggie Navarro")</f>
        <v>Maggie Navarro</v>
      </c>
      <c r="T865" s="123" t="str">
        <f ca="1">IFERROR(__xludf.DUMMYFUNCTION("""COMPUTED_VALUE"""),"Travis Smith")</f>
        <v>Travis Smith</v>
      </c>
    </row>
    <row r="866" spans="1:20" ht="13.8">
      <c r="A866" s="118" t="str">
        <f ca="1">IFERROR(__xludf.DUMMYFUNCTION("""COMPUTED_VALUE"""),"HS")</f>
        <v>HS</v>
      </c>
      <c r="B866" s="119" t="str">
        <f ca="1">IFERROR(__xludf.DUMMYFUNCTION("""COMPUTED_VALUE"""),"Aiden Kapoor")</f>
        <v>Aiden Kapoor</v>
      </c>
      <c r="C866" s="118">
        <f ca="1">IFERROR(__xludf.DUMMYFUNCTION("""COMPUTED_VALUE"""),13)</f>
        <v>13</v>
      </c>
      <c r="D866" s="118" t="str">
        <f ca="1">IFERROR(__xludf.DUMMYFUNCTION("""COMPUTED_VALUE"""),"B")</f>
        <v>B</v>
      </c>
      <c r="E866" s="118" t="str">
        <f ca="1">IFERROR(__xludf.DUMMYFUNCTION("""COMPUTED_VALUE"""),"I")</f>
        <v>I</v>
      </c>
      <c r="F866" s="118" t="str">
        <f ca="1">IFERROR(__xludf.DUMMYFUNCTION("""COMPUTED_VALUE"""),"S")</f>
        <v>S</v>
      </c>
      <c r="G866" s="118">
        <f ca="1">IFERROR(__xludf.DUMMYFUNCTION("""COMPUTED_VALUE"""),2)</f>
        <v>2</v>
      </c>
      <c r="H866" s="118" t="str">
        <f ca="1">IFERROR(__xludf.DUMMYFUNCTION("""COMPUTED_VALUE"""),"HS")</f>
        <v>HS</v>
      </c>
      <c r="I866" s="118">
        <f ca="1">IFERROR(__xludf.DUMMYFUNCTION("""COMPUTED_VALUE"""),9)</f>
        <v>9</v>
      </c>
      <c r="J866" s="118">
        <f ca="1">IFERROR(__xludf.DUMMYFUNCTION("""COMPUTED_VALUE"""),0)</f>
        <v>0</v>
      </c>
      <c r="K866" s="120"/>
      <c r="L866" s="121"/>
      <c r="M866" s="120"/>
      <c r="N866" s="121"/>
      <c r="O866" s="120"/>
      <c r="P866" s="122"/>
      <c r="Q866" s="123" t="str">
        <f ca="1">IFERROR(__xludf.DUMMYFUNCTION("""COMPUTED_VALUE"""),"Simone Wilson")</f>
        <v>Simone Wilson</v>
      </c>
      <c r="R866" s="123"/>
      <c r="S866" s="123" t="str">
        <f ca="1">IFERROR(__xludf.DUMMYFUNCTION("""COMPUTED_VALUE"""),"Maggie Steffen")</f>
        <v>Maggie Steffen</v>
      </c>
      <c r="T866" s="123" t="str">
        <f ca="1">IFERROR(__xludf.DUMMYFUNCTION("""COMPUTED_VALUE"""),"Trent Hooton")</f>
        <v>Trent Hooton</v>
      </c>
    </row>
    <row r="867" spans="1:20" ht="13.8">
      <c r="A867" s="118" t="str">
        <f ca="1">IFERROR(__xludf.DUMMYFUNCTION("""COMPUTED_VALUE"""),"HS")</f>
        <v>HS</v>
      </c>
      <c r="B867" s="119" t="str">
        <f ca="1">IFERROR(__xludf.DUMMYFUNCTION("""COMPUTED_VALUE"""),"Beau Lochmann")</f>
        <v>Beau Lochmann</v>
      </c>
      <c r="C867" s="118">
        <f ca="1">IFERROR(__xludf.DUMMYFUNCTION("""COMPUTED_VALUE"""),13)</f>
        <v>13</v>
      </c>
      <c r="D867" s="118" t="str">
        <f ca="1">IFERROR(__xludf.DUMMYFUNCTION("""COMPUTED_VALUE"""),"B")</f>
        <v>B</v>
      </c>
      <c r="E867" s="118" t="str">
        <f ca="1">IFERROR(__xludf.DUMMYFUNCTION("""COMPUTED_VALUE"""),"I")</f>
        <v>I</v>
      </c>
      <c r="F867" s="118" t="str">
        <f ca="1">IFERROR(__xludf.DUMMYFUNCTION("""COMPUTED_VALUE"""),"S")</f>
        <v>S</v>
      </c>
      <c r="G867" s="118">
        <f ca="1">IFERROR(__xludf.DUMMYFUNCTION("""COMPUTED_VALUE"""),2)</f>
        <v>2</v>
      </c>
      <c r="H867" s="118" t="str">
        <f ca="1">IFERROR(__xludf.DUMMYFUNCTION("""COMPUTED_VALUE"""),"HS")</f>
        <v>HS</v>
      </c>
      <c r="I867" s="118">
        <f ca="1">IFERROR(__xludf.DUMMYFUNCTION("""COMPUTED_VALUE"""),9)</f>
        <v>9</v>
      </c>
      <c r="J867" s="118">
        <f ca="1">IFERROR(__xludf.DUMMYFUNCTION("""COMPUTED_VALUE"""),4)</f>
        <v>4</v>
      </c>
      <c r="K867" s="120">
        <f ca="1">IFERROR(__xludf.DUMMYFUNCTION("""COMPUTED_VALUE"""),79.8)</f>
        <v>79.8</v>
      </c>
      <c r="L867" s="121"/>
      <c r="M867" s="120">
        <f ca="1">IFERROR(__xludf.DUMMYFUNCTION("""COMPUTED_VALUE"""),57.95)</f>
        <v>57.95</v>
      </c>
      <c r="N867" s="121"/>
      <c r="O867" s="120"/>
      <c r="P867" s="122"/>
      <c r="Q867" s="123" t="str">
        <f ca="1">IFERROR(__xludf.DUMMYFUNCTION("""COMPUTED_VALUE"""),"Sloane Dosch")</f>
        <v>Sloane Dosch</v>
      </c>
      <c r="R867" s="123"/>
      <c r="S867" s="123" t="str">
        <f ca="1">IFERROR(__xludf.DUMMYFUNCTION("""COMPUTED_VALUE"""),"Maggie Wahl")</f>
        <v>Maggie Wahl</v>
      </c>
      <c r="T867" s="123" t="str">
        <f ca="1">IFERROR(__xludf.DUMMYFUNCTION("""COMPUTED_VALUE"""),"Trey Gagermeier")</f>
        <v>Trey Gagermeier</v>
      </c>
    </row>
    <row r="868" spans="1:20" ht="13.8">
      <c r="A868" s="118" t="str">
        <f ca="1">IFERROR(__xludf.DUMMYFUNCTION("""COMPUTED_VALUE"""),"HS")</f>
        <v>HS</v>
      </c>
      <c r="B868" s="119" t="str">
        <f ca="1">IFERROR(__xludf.DUMMYFUNCTION("""COMPUTED_VALUE"""),"James Chen")</f>
        <v>James Chen</v>
      </c>
      <c r="C868" s="118">
        <f ca="1">IFERROR(__xludf.DUMMYFUNCTION("""COMPUTED_VALUE"""),14)</f>
        <v>14</v>
      </c>
      <c r="D868" s="118" t="str">
        <f ca="1">IFERROR(__xludf.DUMMYFUNCTION("""COMPUTED_VALUE"""),"B")</f>
        <v>B</v>
      </c>
      <c r="E868" s="118" t="str">
        <f ca="1">IFERROR(__xludf.DUMMYFUNCTION("""COMPUTED_VALUE"""),"I")</f>
        <v>I</v>
      </c>
      <c r="F868" s="118" t="str">
        <f ca="1">IFERROR(__xludf.DUMMYFUNCTION("""COMPUTED_VALUE"""),"S")</f>
        <v>S</v>
      </c>
      <c r="G868" s="118">
        <f ca="1">IFERROR(__xludf.DUMMYFUNCTION("""COMPUTED_VALUE"""),2)</f>
        <v>2</v>
      </c>
      <c r="H868" s="118" t="str">
        <f ca="1">IFERROR(__xludf.DUMMYFUNCTION("""COMPUTED_VALUE"""),"HS")</f>
        <v>HS</v>
      </c>
      <c r="I868" s="118">
        <f ca="1">IFERROR(__xludf.DUMMYFUNCTION("""COMPUTED_VALUE"""),9)</f>
        <v>9</v>
      </c>
      <c r="J868" s="118">
        <f ca="1">IFERROR(__xludf.DUMMYFUNCTION("""COMPUTED_VALUE"""),4)</f>
        <v>4</v>
      </c>
      <c r="K868" s="120">
        <f ca="1">IFERROR(__xludf.DUMMYFUNCTION("""COMPUTED_VALUE"""),89.8)</f>
        <v>89.8</v>
      </c>
      <c r="L868" s="121"/>
      <c r="M868" s="120">
        <f ca="1">IFERROR(__xludf.DUMMYFUNCTION("""COMPUTED_VALUE"""),89.8)</f>
        <v>89.8</v>
      </c>
      <c r="N868" s="121"/>
      <c r="O868" s="120">
        <f ca="1">IFERROR(__xludf.DUMMYFUNCTION("""COMPUTED_VALUE"""),80)</f>
        <v>80</v>
      </c>
      <c r="P868" s="122"/>
      <c r="Q868" s="123" t="str">
        <f ca="1">IFERROR(__xludf.DUMMYFUNCTION("""COMPUTED_VALUE"""),"Sloane Gallagher")</f>
        <v>Sloane Gallagher</v>
      </c>
      <c r="R868" s="123"/>
      <c r="S868" s="123" t="str">
        <f ca="1">IFERROR(__xludf.DUMMYFUNCTION("""COMPUTED_VALUE"""),"Magnolia Kojm")</f>
        <v>Magnolia Kojm</v>
      </c>
      <c r="T868" s="123" t="str">
        <f ca="1">IFERROR(__xludf.DUMMYFUNCTION("""COMPUTED_VALUE"""),"Trey McIntosh")</f>
        <v>Trey McIntosh</v>
      </c>
    </row>
    <row r="869" spans="1:20" ht="13.8">
      <c r="A869" s="118" t="str">
        <f ca="1">IFERROR(__xludf.DUMMYFUNCTION("""COMPUTED_VALUE"""),"HS")</f>
        <v>HS</v>
      </c>
      <c r="B869" s="119" t="str">
        <f ca="1">IFERROR(__xludf.DUMMYFUNCTION("""COMPUTED_VALUE"""),"Trent Hooton")</f>
        <v>Trent Hooton</v>
      </c>
      <c r="C869" s="118">
        <f ca="1">IFERROR(__xludf.DUMMYFUNCTION("""COMPUTED_VALUE"""),14)</f>
        <v>14</v>
      </c>
      <c r="D869" s="118" t="str">
        <f ca="1">IFERROR(__xludf.DUMMYFUNCTION("""COMPUTED_VALUE"""),"B")</f>
        <v>B</v>
      </c>
      <c r="E869" s="118" t="str">
        <f ca="1">IFERROR(__xludf.DUMMYFUNCTION("""COMPUTED_VALUE"""),"I")</f>
        <v>I</v>
      </c>
      <c r="F869" s="118" t="str">
        <f ca="1">IFERROR(__xludf.DUMMYFUNCTION("""COMPUTED_VALUE"""),"S")</f>
        <v>S</v>
      </c>
      <c r="G869" s="118">
        <f ca="1">IFERROR(__xludf.DUMMYFUNCTION("""COMPUTED_VALUE"""),2)</f>
        <v>2</v>
      </c>
      <c r="H869" s="118" t="str">
        <f ca="1">IFERROR(__xludf.DUMMYFUNCTION("""COMPUTED_VALUE"""),"HS")</f>
        <v>HS</v>
      </c>
      <c r="I869" s="118">
        <f ca="1">IFERROR(__xludf.DUMMYFUNCTION("""COMPUTED_VALUE"""),9)</f>
        <v>9</v>
      </c>
      <c r="J869" s="118">
        <f ca="1">IFERROR(__xludf.DUMMYFUNCTION("""COMPUTED_VALUE"""),5)</f>
        <v>5</v>
      </c>
      <c r="K869" s="120">
        <f ca="1">IFERROR(__xludf.DUMMYFUNCTION("""COMPUTED_VALUE"""),132.4)</f>
        <v>132.4</v>
      </c>
      <c r="L869" s="121"/>
      <c r="M869" s="120">
        <f ca="1">IFERROR(__xludf.DUMMYFUNCTION("""COMPUTED_VALUE"""),132.4)</f>
        <v>132.4</v>
      </c>
      <c r="N869" s="121"/>
      <c r="O869" s="120">
        <f ca="1">IFERROR(__xludf.DUMMYFUNCTION("""COMPUTED_VALUE"""),105.15)</f>
        <v>105.15</v>
      </c>
      <c r="P869" s="122"/>
      <c r="Q869" s="123" t="str">
        <f ca="1">IFERROR(__xludf.DUMMYFUNCTION("""COMPUTED_VALUE"""),"Sofia Dalilaltojari")</f>
        <v>Sofia Dalilaltojari</v>
      </c>
      <c r="R869" s="123"/>
      <c r="S869" s="123" t="str">
        <f ca="1">IFERROR(__xludf.DUMMYFUNCTION("""COMPUTED_VALUE"""),"Maia Berthe")</f>
        <v>Maia Berthe</v>
      </c>
      <c r="T869" s="123" t="str">
        <f ca="1">IFERROR(__xludf.DUMMYFUNCTION("""COMPUTED_VALUE"""),"Trey Telleen")</f>
        <v>Trey Telleen</v>
      </c>
    </row>
    <row r="870" spans="1:20" ht="13.8">
      <c r="A870" s="118" t="str">
        <f ca="1">IFERROR(__xludf.DUMMYFUNCTION("""COMPUTED_VALUE"""),"HS")</f>
        <v>HS</v>
      </c>
      <c r="B870" s="119" t="str">
        <f ca="1">IFERROR(__xludf.DUMMYFUNCTION("""COMPUTED_VALUE"""),"Charlotte Berik")</f>
        <v>Charlotte Berik</v>
      </c>
      <c r="C870" s="118">
        <f ca="1">IFERROR(__xludf.DUMMYFUNCTION("""COMPUTED_VALUE"""),15)</f>
        <v>15</v>
      </c>
      <c r="D870" s="118" t="str">
        <f ca="1">IFERROR(__xludf.DUMMYFUNCTION("""COMPUTED_VALUE"""),"G")</f>
        <v>G</v>
      </c>
      <c r="E870" s="118" t="str">
        <f ca="1">IFERROR(__xludf.DUMMYFUNCTION("""COMPUTED_VALUE"""),"S")</f>
        <v>S</v>
      </c>
      <c r="F870" s="118" t="str">
        <f ca="1">IFERROR(__xludf.DUMMYFUNCTION("""COMPUTED_VALUE"""),"S")</f>
        <v>S</v>
      </c>
      <c r="G870" s="118">
        <f ca="1">IFERROR(__xludf.DUMMYFUNCTION("""COMPUTED_VALUE"""),2)</f>
        <v>2</v>
      </c>
      <c r="H870" s="118" t="str">
        <f ca="1">IFERROR(__xludf.DUMMYFUNCTION("""COMPUTED_VALUE"""),"HS")</f>
        <v>HS</v>
      </c>
      <c r="I870" s="118">
        <f ca="1">IFERROR(__xludf.DUMMYFUNCTION("""COMPUTED_VALUE"""),10)</f>
        <v>10</v>
      </c>
      <c r="J870" s="118">
        <f ca="1">IFERROR(__xludf.DUMMYFUNCTION("""COMPUTED_VALUE"""),4)</f>
        <v>4</v>
      </c>
      <c r="K870" s="120">
        <f ca="1">IFERROR(__xludf.DUMMYFUNCTION("""COMPUTED_VALUE"""),121.2)</f>
        <v>121.2</v>
      </c>
      <c r="L870" s="121"/>
      <c r="M870" s="120"/>
      <c r="N870" s="121"/>
      <c r="O870" s="120">
        <f ca="1">IFERROR(__xludf.DUMMYFUNCTION("""COMPUTED_VALUE"""),106.75)</f>
        <v>106.75</v>
      </c>
      <c r="P870" s="122"/>
      <c r="Q870" s="123" t="str">
        <f ca="1">IFERROR(__xludf.DUMMYFUNCTION("""COMPUTED_VALUE"""),"Sofia Grantz")</f>
        <v>Sofia Grantz</v>
      </c>
      <c r="R870" s="123"/>
      <c r="S870" s="123" t="str">
        <f ca="1">IFERROR(__xludf.DUMMYFUNCTION("""COMPUTED_VALUE"""),"Maia McAllister")</f>
        <v>Maia McAllister</v>
      </c>
      <c r="T870" s="123" t="str">
        <f ca="1">IFERROR(__xludf.DUMMYFUNCTION("""COMPUTED_VALUE"""),"Treyton Green")</f>
        <v>Treyton Green</v>
      </c>
    </row>
    <row r="871" spans="1:20" ht="13.8">
      <c r="A871" s="118" t="str">
        <f ca="1">IFERROR(__xludf.DUMMYFUNCTION("""COMPUTED_VALUE"""),"HS")</f>
        <v>HS</v>
      </c>
      <c r="B871" s="119" t="str">
        <f ca="1">IFERROR(__xludf.DUMMYFUNCTION("""COMPUTED_VALUE"""),"Erin Wills")</f>
        <v>Erin Wills</v>
      </c>
      <c r="C871" s="118">
        <f ca="1">IFERROR(__xludf.DUMMYFUNCTION("""COMPUTED_VALUE"""),18)</f>
        <v>18</v>
      </c>
      <c r="D871" s="118" t="str">
        <f ca="1">IFERROR(__xludf.DUMMYFUNCTION("""COMPUTED_VALUE"""),"G")</f>
        <v>G</v>
      </c>
      <c r="E871" s="118" t="str">
        <f ca="1">IFERROR(__xludf.DUMMYFUNCTION("""COMPUTED_VALUE"""),"S")</f>
        <v>S</v>
      </c>
      <c r="F871" s="118" t="str">
        <f ca="1">IFERROR(__xludf.DUMMYFUNCTION("""COMPUTED_VALUE"""),"S")</f>
        <v>S</v>
      </c>
      <c r="G871" s="118">
        <f ca="1">IFERROR(__xludf.DUMMYFUNCTION("""COMPUTED_VALUE"""),2)</f>
        <v>2</v>
      </c>
      <c r="H871" s="118" t="str">
        <f ca="1">IFERROR(__xludf.DUMMYFUNCTION("""COMPUTED_VALUE"""),"HS")</f>
        <v>HS</v>
      </c>
      <c r="I871" s="118">
        <f ca="1">IFERROR(__xludf.DUMMYFUNCTION("""COMPUTED_VALUE"""),10)</f>
        <v>10</v>
      </c>
      <c r="J871" s="118">
        <f ca="1">IFERROR(__xludf.DUMMYFUNCTION("""COMPUTED_VALUE"""),2)</f>
        <v>2</v>
      </c>
      <c r="K871" s="120">
        <f ca="1">IFERROR(__xludf.DUMMYFUNCTION("""COMPUTED_VALUE"""),130.25)</f>
        <v>130.25</v>
      </c>
      <c r="L871" s="121"/>
      <c r="M871" s="120"/>
      <c r="N871" s="121"/>
      <c r="O871" s="120">
        <f ca="1">IFERROR(__xludf.DUMMYFUNCTION("""COMPUTED_VALUE"""),130.25)</f>
        <v>130.25</v>
      </c>
      <c r="P871" s="122"/>
      <c r="Q871" s="123" t="str">
        <f ca="1">IFERROR(__xludf.DUMMYFUNCTION("""COMPUTED_VALUE"""),"Sofia Gyor")</f>
        <v>Sofia Gyor</v>
      </c>
      <c r="R871" s="123"/>
      <c r="S871" s="123" t="str">
        <f ca="1">IFERROR(__xludf.DUMMYFUNCTION("""COMPUTED_VALUE"""),"Makayla Barnes")</f>
        <v>Makayla Barnes</v>
      </c>
      <c r="T871" s="123" t="str">
        <f ca="1">IFERROR(__xludf.DUMMYFUNCTION("""COMPUTED_VALUE"""),"Tripp Simms")</f>
        <v>Tripp Simms</v>
      </c>
    </row>
    <row r="872" spans="1:20" ht="13.8">
      <c r="A872" s="118" t="str">
        <f ca="1">IFERROR(__xludf.DUMMYFUNCTION("""COMPUTED_VALUE"""),"HS")</f>
        <v>HS</v>
      </c>
      <c r="B872" s="119" t="str">
        <f ca="1">IFERROR(__xludf.DUMMYFUNCTION("""COMPUTED_VALUE"""),"Grace Berik")</f>
        <v>Grace Berik</v>
      </c>
      <c r="C872" s="118">
        <f ca="1">IFERROR(__xludf.DUMMYFUNCTION("""COMPUTED_VALUE"""),16)</f>
        <v>16</v>
      </c>
      <c r="D872" s="118" t="str">
        <f ca="1">IFERROR(__xludf.DUMMYFUNCTION("""COMPUTED_VALUE"""),"G")</f>
        <v>G</v>
      </c>
      <c r="E872" s="118" t="str">
        <f ca="1">IFERROR(__xludf.DUMMYFUNCTION("""COMPUTED_VALUE"""),"S")</f>
        <v>S</v>
      </c>
      <c r="F872" s="118" t="str">
        <f ca="1">IFERROR(__xludf.DUMMYFUNCTION("""COMPUTED_VALUE"""),"S")</f>
        <v>S</v>
      </c>
      <c r="G872" s="118">
        <f ca="1">IFERROR(__xludf.DUMMYFUNCTION("""COMPUTED_VALUE"""),2)</f>
        <v>2</v>
      </c>
      <c r="H872" s="118" t="str">
        <f ca="1">IFERROR(__xludf.DUMMYFUNCTION("""COMPUTED_VALUE"""),"HS")</f>
        <v>HS</v>
      </c>
      <c r="I872" s="118">
        <f ca="1">IFERROR(__xludf.DUMMYFUNCTION("""COMPUTED_VALUE"""),10)</f>
        <v>10</v>
      </c>
      <c r="J872" s="118">
        <f ca="1">IFERROR(__xludf.DUMMYFUNCTION("""COMPUTED_VALUE"""),5)</f>
        <v>5</v>
      </c>
      <c r="K872" s="120">
        <f ca="1">IFERROR(__xludf.DUMMYFUNCTION("""COMPUTED_VALUE"""),130.55)</f>
        <v>130.55000000000001</v>
      </c>
      <c r="L872" s="121"/>
      <c r="M872" s="120">
        <f ca="1">IFERROR(__xludf.DUMMYFUNCTION("""COMPUTED_VALUE"""),122.05)</f>
        <v>122.05</v>
      </c>
      <c r="N872" s="121"/>
      <c r="O872" s="120">
        <f ca="1">IFERROR(__xludf.DUMMYFUNCTION("""COMPUTED_VALUE"""),119.5)</f>
        <v>119.5</v>
      </c>
      <c r="P872" s="122"/>
      <c r="Q872" s="123" t="str">
        <f ca="1">IFERROR(__xludf.DUMMYFUNCTION("""COMPUTED_VALUE"""),"Sofia Petersen")</f>
        <v>Sofia Petersen</v>
      </c>
      <c r="R872" s="123"/>
      <c r="S872" s="123" t="str">
        <f ca="1">IFERROR(__xludf.DUMMYFUNCTION("""COMPUTED_VALUE"""),"Makenzie Case")</f>
        <v>Makenzie Case</v>
      </c>
      <c r="T872" s="123" t="str">
        <f ca="1">IFERROR(__xludf.DUMMYFUNCTION("""COMPUTED_VALUE"""),"Tripp Walter")</f>
        <v>Tripp Walter</v>
      </c>
    </row>
    <row r="873" spans="1:20" ht="13.8">
      <c r="A873" s="118" t="str">
        <f ca="1">IFERROR(__xludf.DUMMYFUNCTION("""COMPUTED_VALUE"""),"HS")</f>
        <v>HS</v>
      </c>
      <c r="B873" s="119" t="str">
        <f ca="1">IFERROR(__xludf.DUMMYFUNCTION("""COMPUTED_VALUE"""),"Katherine Chen")</f>
        <v>Katherine Chen</v>
      </c>
      <c r="C873" s="118">
        <f ca="1">IFERROR(__xludf.DUMMYFUNCTION("""COMPUTED_VALUE"""),15)</f>
        <v>15</v>
      </c>
      <c r="D873" s="118" t="str">
        <f ca="1">IFERROR(__xludf.DUMMYFUNCTION("""COMPUTED_VALUE"""),"G")</f>
        <v>G</v>
      </c>
      <c r="E873" s="118" t="str">
        <f ca="1">IFERROR(__xludf.DUMMYFUNCTION("""COMPUTED_VALUE"""),"S")</f>
        <v>S</v>
      </c>
      <c r="F873" s="118" t="str">
        <f ca="1">IFERROR(__xludf.DUMMYFUNCTION("""COMPUTED_VALUE"""),"S")</f>
        <v>S</v>
      </c>
      <c r="G873" s="118">
        <f ca="1">IFERROR(__xludf.DUMMYFUNCTION("""COMPUTED_VALUE"""),2)</f>
        <v>2</v>
      </c>
      <c r="H873" s="118" t="str">
        <f ca="1">IFERROR(__xludf.DUMMYFUNCTION("""COMPUTED_VALUE"""),"HS")</f>
        <v>HS</v>
      </c>
      <c r="I873" s="118">
        <f ca="1">IFERROR(__xludf.DUMMYFUNCTION("""COMPUTED_VALUE"""),10)</f>
        <v>10</v>
      </c>
      <c r="J873" s="118">
        <f ca="1">IFERROR(__xludf.DUMMYFUNCTION("""COMPUTED_VALUE"""),4)</f>
        <v>4</v>
      </c>
      <c r="K873" s="120">
        <f ca="1">IFERROR(__xludf.DUMMYFUNCTION("""COMPUTED_VALUE"""),139.55)</f>
        <v>139.55000000000001</v>
      </c>
      <c r="L873" s="121"/>
      <c r="M873" s="120"/>
      <c r="N873" s="121"/>
      <c r="O873" s="120">
        <f ca="1">IFERROR(__xludf.DUMMYFUNCTION("""COMPUTED_VALUE"""),115.3)</f>
        <v>115.3</v>
      </c>
      <c r="P873" s="122"/>
      <c r="Q873" s="123" t="str">
        <f ca="1">IFERROR(__xludf.DUMMYFUNCTION("""COMPUTED_VALUE"""),"Sofia Stanley")</f>
        <v>Sofia Stanley</v>
      </c>
      <c r="R873" s="123"/>
      <c r="S873" s="123" t="str">
        <f ca="1">IFERROR(__xludf.DUMMYFUNCTION("""COMPUTED_VALUE"""),"Malin Klousia")</f>
        <v>Malin Klousia</v>
      </c>
      <c r="T873" s="123" t="str">
        <f ca="1">IFERROR(__xludf.DUMMYFUNCTION("""COMPUTED_VALUE"""),"Tristan Dasch")</f>
        <v>Tristan Dasch</v>
      </c>
    </row>
    <row r="874" spans="1:20" ht="13.8">
      <c r="A874" s="118" t="str">
        <f ca="1">IFERROR(__xludf.DUMMYFUNCTION("""COMPUTED_VALUE"""),"HS")</f>
        <v>HS</v>
      </c>
      <c r="B874" s="119" t="str">
        <f ca="1">IFERROR(__xludf.DUMMYFUNCTION("""COMPUTED_VALUE"""),"Brennan Wilson")</f>
        <v>Brennan Wilson</v>
      </c>
      <c r="C874" s="118">
        <f ca="1">IFERROR(__xludf.DUMMYFUNCTION("""COMPUTED_VALUE"""),15)</f>
        <v>15</v>
      </c>
      <c r="D874" s="118" t="str">
        <f ca="1">IFERROR(__xludf.DUMMYFUNCTION("""COMPUTED_VALUE"""),"B")</f>
        <v>B</v>
      </c>
      <c r="E874" s="118" t="str">
        <f ca="1">IFERROR(__xludf.DUMMYFUNCTION("""COMPUTED_VALUE"""),"S")</f>
        <v>S</v>
      </c>
      <c r="F874" s="118" t="str">
        <f ca="1">IFERROR(__xludf.DUMMYFUNCTION("""COMPUTED_VALUE"""),"S")</f>
        <v>S</v>
      </c>
      <c r="G874" s="118">
        <f ca="1">IFERROR(__xludf.DUMMYFUNCTION("""COMPUTED_VALUE"""),2)</f>
        <v>2</v>
      </c>
      <c r="H874" s="118" t="str">
        <f ca="1">IFERROR(__xludf.DUMMYFUNCTION("""COMPUTED_VALUE"""),"HS")</f>
        <v>HS</v>
      </c>
      <c r="I874" s="118">
        <f ca="1">IFERROR(__xludf.DUMMYFUNCTION("""COMPUTED_VALUE"""),11)</f>
        <v>11</v>
      </c>
      <c r="J874" s="118">
        <f ca="1">IFERROR(__xludf.DUMMYFUNCTION("""COMPUTED_VALUE"""),3)</f>
        <v>3</v>
      </c>
      <c r="K874" s="120">
        <f ca="1">IFERROR(__xludf.DUMMYFUNCTION("""COMPUTED_VALUE"""),94.6)</f>
        <v>94.6</v>
      </c>
      <c r="L874" s="121"/>
      <c r="M874" s="120">
        <f ca="1">IFERROR(__xludf.DUMMYFUNCTION("""COMPUTED_VALUE"""),91.1)</f>
        <v>91.1</v>
      </c>
      <c r="N874" s="121"/>
      <c r="O874" s="120">
        <f ca="1">IFERROR(__xludf.DUMMYFUNCTION("""COMPUTED_VALUE"""),94.6)</f>
        <v>94.6</v>
      </c>
      <c r="P874" s="122"/>
      <c r="Q874" s="123" t="str">
        <f ca="1">IFERROR(__xludf.DUMMYFUNCTION("""COMPUTED_VALUE"""),"Sofo Akiyama Sarmentero")</f>
        <v>Sofo Akiyama Sarmentero</v>
      </c>
      <c r="R874" s="123"/>
      <c r="S874" s="123" t="str">
        <f ca="1">IFERROR(__xludf.DUMMYFUNCTION("""COMPUTED_VALUE"""),"Mallory Brown")</f>
        <v>Mallory Brown</v>
      </c>
      <c r="T874" s="123" t="str">
        <f ca="1">IFERROR(__xludf.DUMMYFUNCTION("""COMPUTED_VALUE"""),"Tristan Smith")</f>
        <v>Tristan Smith</v>
      </c>
    </row>
    <row r="875" spans="1:20" ht="13.8">
      <c r="A875" s="118" t="str">
        <f ca="1">IFERROR(__xludf.DUMMYFUNCTION("""COMPUTED_VALUE"""),"HS")</f>
        <v>HS</v>
      </c>
      <c r="B875" s="119" t="str">
        <f ca="1">IFERROR(__xludf.DUMMYFUNCTION("""COMPUTED_VALUE"""),"Connor Barlotta")</f>
        <v>Connor Barlotta</v>
      </c>
      <c r="C875" s="118">
        <f ca="1">IFERROR(__xludf.DUMMYFUNCTION("""COMPUTED_VALUE"""),15)</f>
        <v>15</v>
      </c>
      <c r="D875" s="118" t="str">
        <f ca="1">IFERROR(__xludf.DUMMYFUNCTION("""COMPUTED_VALUE"""),"B")</f>
        <v>B</v>
      </c>
      <c r="E875" s="118" t="str">
        <f ca="1">IFERROR(__xludf.DUMMYFUNCTION("""COMPUTED_VALUE"""),"S")</f>
        <v>S</v>
      </c>
      <c r="F875" s="118" t="str">
        <f ca="1">IFERROR(__xludf.DUMMYFUNCTION("""COMPUTED_VALUE"""),"S")</f>
        <v>S</v>
      </c>
      <c r="G875" s="118">
        <f ca="1">IFERROR(__xludf.DUMMYFUNCTION("""COMPUTED_VALUE"""),2)</f>
        <v>2</v>
      </c>
      <c r="H875" s="118" t="str">
        <f ca="1">IFERROR(__xludf.DUMMYFUNCTION("""COMPUTED_VALUE"""),"HS")</f>
        <v>HS</v>
      </c>
      <c r="I875" s="118">
        <f ca="1">IFERROR(__xludf.DUMMYFUNCTION("""COMPUTED_VALUE"""),11)</f>
        <v>11</v>
      </c>
      <c r="J875" s="118">
        <f ca="1">IFERROR(__xludf.DUMMYFUNCTION("""COMPUTED_VALUE"""),1)</f>
        <v>1</v>
      </c>
      <c r="K875" s="120"/>
      <c r="L875" s="121"/>
      <c r="M875" s="120"/>
      <c r="N875" s="121"/>
      <c r="O875" s="120"/>
      <c r="P875" s="122"/>
      <c r="Q875" s="123" t="str">
        <f ca="1">IFERROR(__xludf.DUMMYFUNCTION("""COMPUTED_VALUE"""),"Sona Pandarinath")</f>
        <v>Sona Pandarinath</v>
      </c>
      <c r="R875" s="123"/>
      <c r="S875" s="123" t="str">
        <f ca="1">IFERROR(__xludf.DUMMYFUNCTION("""COMPUTED_VALUE"""),"Mallory Coute")</f>
        <v>Mallory Coute</v>
      </c>
      <c r="T875" s="123" t="str">
        <f ca="1">IFERROR(__xludf.DUMMYFUNCTION("""COMPUTED_VALUE"""),"Tyler Brown")</f>
        <v>Tyler Brown</v>
      </c>
    </row>
    <row r="876" spans="1:20" ht="13.8">
      <c r="A876" s="118" t="str">
        <f ca="1">IFERROR(__xludf.DUMMYFUNCTION("""COMPUTED_VALUE"""),"HS")</f>
        <v>HS</v>
      </c>
      <c r="B876" s="119" t="str">
        <f ca="1">IFERROR(__xludf.DUMMYFUNCTION("""COMPUTED_VALUE"""),"Emelio Minvielle")</f>
        <v>Emelio Minvielle</v>
      </c>
      <c r="C876" s="118">
        <f ca="1">IFERROR(__xludf.DUMMYFUNCTION("""COMPUTED_VALUE"""),15)</f>
        <v>15</v>
      </c>
      <c r="D876" s="118" t="str">
        <f ca="1">IFERROR(__xludf.DUMMYFUNCTION("""COMPUTED_VALUE"""),"B")</f>
        <v>B</v>
      </c>
      <c r="E876" s="118" t="str">
        <f ca="1">IFERROR(__xludf.DUMMYFUNCTION("""COMPUTED_VALUE"""),"S")</f>
        <v>S</v>
      </c>
      <c r="F876" s="118" t="str">
        <f ca="1">IFERROR(__xludf.DUMMYFUNCTION("""COMPUTED_VALUE"""),"S")</f>
        <v>S</v>
      </c>
      <c r="G876" s="118">
        <f ca="1">IFERROR(__xludf.DUMMYFUNCTION("""COMPUTED_VALUE"""),2)</f>
        <v>2</v>
      </c>
      <c r="H876" s="118" t="str">
        <f ca="1">IFERROR(__xludf.DUMMYFUNCTION("""COMPUTED_VALUE"""),"HS")</f>
        <v>HS</v>
      </c>
      <c r="I876" s="118">
        <f ca="1">IFERROR(__xludf.DUMMYFUNCTION("""COMPUTED_VALUE"""),11)</f>
        <v>11</v>
      </c>
      <c r="J876" s="118">
        <f ca="1">IFERROR(__xludf.DUMMYFUNCTION("""COMPUTED_VALUE"""),1)</f>
        <v>1</v>
      </c>
      <c r="K876" s="120"/>
      <c r="L876" s="121"/>
      <c r="M876" s="120"/>
      <c r="N876" s="121"/>
      <c r="O876" s="120"/>
      <c r="P876" s="122"/>
      <c r="Q876" s="123" t="str">
        <f ca="1">IFERROR(__xludf.DUMMYFUNCTION("""COMPUTED_VALUE"""),"Sonia Parikh")</f>
        <v>Sonia Parikh</v>
      </c>
      <c r="R876" s="123"/>
      <c r="S876" s="123" t="str">
        <f ca="1">IFERROR(__xludf.DUMMYFUNCTION("""COMPUTED_VALUE"""),"Mara Albro")</f>
        <v>Mara Albro</v>
      </c>
      <c r="T876" s="123" t="str">
        <f ca="1">IFERROR(__xludf.DUMMYFUNCTION("""COMPUTED_VALUE"""),"Tyler Kroopnick")</f>
        <v>Tyler Kroopnick</v>
      </c>
    </row>
    <row r="877" spans="1:20" ht="13.8">
      <c r="A877" s="118" t="str">
        <f ca="1">IFERROR(__xludf.DUMMYFUNCTION("""COMPUTED_VALUE"""),"HS")</f>
        <v>HS</v>
      </c>
      <c r="B877" s="119" t="str">
        <f ca="1">IFERROR(__xludf.DUMMYFUNCTION("""COMPUTED_VALUE"""),"Lucas Stadelmann")</f>
        <v>Lucas Stadelmann</v>
      </c>
      <c r="C877" s="118">
        <f ca="1">IFERROR(__xludf.DUMMYFUNCTION("""COMPUTED_VALUE"""),15)</f>
        <v>15</v>
      </c>
      <c r="D877" s="118" t="str">
        <f ca="1">IFERROR(__xludf.DUMMYFUNCTION("""COMPUTED_VALUE"""),"B")</f>
        <v>B</v>
      </c>
      <c r="E877" s="118" t="str">
        <f ca="1">IFERROR(__xludf.DUMMYFUNCTION("""COMPUTED_VALUE"""),"S")</f>
        <v>S</v>
      </c>
      <c r="F877" s="118" t="str">
        <f ca="1">IFERROR(__xludf.DUMMYFUNCTION("""COMPUTED_VALUE"""),"S")</f>
        <v>S</v>
      </c>
      <c r="G877" s="118">
        <f ca="1">IFERROR(__xludf.DUMMYFUNCTION("""COMPUTED_VALUE"""),2)</f>
        <v>2</v>
      </c>
      <c r="H877" s="118" t="str">
        <f ca="1">IFERROR(__xludf.DUMMYFUNCTION("""COMPUTED_VALUE"""),"HS")</f>
        <v>HS</v>
      </c>
      <c r="I877" s="118">
        <f ca="1">IFERROR(__xludf.DUMMYFUNCTION("""COMPUTED_VALUE"""),11)</f>
        <v>11</v>
      </c>
      <c r="J877" s="118">
        <f ca="1">IFERROR(__xludf.DUMMYFUNCTION("""COMPUTED_VALUE"""),4)</f>
        <v>4</v>
      </c>
      <c r="K877" s="120">
        <f ca="1">IFERROR(__xludf.DUMMYFUNCTION("""COMPUTED_VALUE"""),155.4)</f>
        <v>155.4</v>
      </c>
      <c r="L877" s="121"/>
      <c r="M877" s="120">
        <f ca="1">IFERROR(__xludf.DUMMYFUNCTION("""COMPUTED_VALUE"""),147)</f>
        <v>147</v>
      </c>
      <c r="N877" s="121"/>
      <c r="O877" s="120">
        <f ca="1">IFERROR(__xludf.DUMMYFUNCTION("""COMPUTED_VALUE"""),126.85)</f>
        <v>126.85</v>
      </c>
      <c r="P877" s="122"/>
      <c r="Q877" s="123" t="str">
        <f ca="1">IFERROR(__xludf.DUMMYFUNCTION("""COMPUTED_VALUE"""),"Sophia Blanco")</f>
        <v>Sophia Blanco</v>
      </c>
      <c r="R877" s="123"/>
      <c r="S877" s="123" t="str">
        <f ca="1">IFERROR(__xludf.DUMMYFUNCTION("""COMPUTED_VALUE"""),"Mara Fontanesi")</f>
        <v>Mara Fontanesi</v>
      </c>
      <c r="T877" s="123" t="str">
        <f ca="1">IFERROR(__xludf.DUMMYFUNCTION("""COMPUTED_VALUE"""),"Tyler Salmons")</f>
        <v>Tyler Salmons</v>
      </c>
    </row>
    <row r="878" spans="1:20" ht="13.8">
      <c r="A878" s="118" t="str">
        <f ca="1">IFERROR(__xludf.DUMMYFUNCTION("""COMPUTED_VALUE"""),"HSC")</f>
        <v>HSC</v>
      </c>
      <c r="B878" s="119" t="str">
        <f ca="1">IFERROR(__xludf.DUMMYFUNCTION("""COMPUTED_VALUE"""),"Alicia Pereira Kim")</f>
        <v>Alicia Pereira Kim</v>
      </c>
      <c r="C878" s="118">
        <f ca="1">IFERROR(__xludf.DUMMYFUNCTION("""COMPUTED_VALUE"""),8)</f>
        <v>8</v>
      </c>
      <c r="D878" s="118" t="str">
        <f ca="1">IFERROR(__xludf.DUMMYFUNCTION("""COMPUTED_VALUE"""),"G")</f>
        <v>G</v>
      </c>
      <c r="E878" s="118" t="str">
        <f ca="1">IFERROR(__xludf.DUMMYFUNCTION("""COMPUTED_VALUE"""),"F")</f>
        <v>F</v>
      </c>
      <c r="F878" s="118" t="str">
        <f ca="1">IFERROR(__xludf.DUMMYFUNCTION("""COMPUTED_VALUE"""),"J")</f>
        <v>J</v>
      </c>
      <c r="G878" s="118">
        <f ca="1">IFERROR(__xludf.DUMMYFUNCTION("""COMPUTED_VALUE"""),8)</f>
        <v>8</v>
      </c>
      <c r="H878" s="118" t="str">
        <f ca="1">IFERROR(__xludf.DUMMYFUNCTION("""COMPUTED_VALUE"""),"HSC")</f>
        <v>HSC</v>
      </c>
      <c r="I878" s="118">
        <f ca="1">IFERROR(__xludf.DUMMYFUNCTION("""COMPUTED_VALUE"""),4)</f>
        <v>4</v>
      </c>
      <c r="J878" s="118">
        <f ca="1">IFERROR(__xludf.DUMMYFUNCTION("""COMPUTED_VALUE"""),4)</f>
        <v>4</v>
      </c>
      <c r="K878" s="120">
        <f ca="1">IFERROR(__xludf.DUMMYFUNCTION("""COMPUTED_VALUE"""),55.4)</f>
        <v>55.4</v>
      </c>
      <c r="L878" s="121"/>
      <c r="M878" s="120">
        <f ca="1">IFERROR(__xludf.DUMMYFUNCTION("""COMPUTED_VALUE"""),33.15)</f>
        <v>33.15</v>
      </c>
      <c r="N878" s="121"/>
      <c r="O878" s="120"/>
      <c r="P878" s="122"/>
      <c r="Q878" s="123" t="str">
        <f ca="1">IFERROR(__xludf.DUMMYFUNCTION("""COMPUTED_VALUE"""),"Sophia Daniels")</f>
        <v>Sophia Daniels</v>
      </c>
      <c r="R878" s="123"/>
      <c r="S878" s="123" t="str">
        <f ca="1">IFERROR(__xludf.DUMMYFUNCTION("""COMPUTED_VALUE"""),"Maren Lamkin")</f>
        <v>Maren Lamkin</v>
      </c>
      <c r="T878" s="123" t="str">
        <f ca="1">IFERROR(__xludf.DUMMYFUNCTION("""COMPUTED_VALUE"""),"Vaibhav Boini")</f>
        <v>Vaibhav Boini</v>
      </c>
    </row>
    <row r="879" spans="1:20" ht="13.8">
      <c r="A879" s="118" t="str">
        <f ca="1">IFERROR(__xludf.DUMMYFUNCTION("""COMPUTED_VALUE"""),"HSC")</f>
        <v>HSC</v>
      </c>
      <c r="B879" s="119" t="str">
        <f ca="1">IFERROR(__xludf.DUMMYFUNCTION("""COMPUTED_VALUE"""),"Amelia Gentry")</f>
        <v>Amelia Gentry</v>
      </c>
      <c r="C879" s="118">
        <f ca="1">IFERROR(__xludf.DUMMYFUNCTION("""COMPUTED_VALUE"""),9)</f>
        <v>9</v>
      </c>
      <c r="D879" s="118" t="str">
        <f ca="1">IFERROR(__xludf.DUMMYFUNCTION("""COMPUTED_VALUE"""),"G")</f>
        <v>G</v>
      </c>
      <c r="E879" s="118" t="str">
        <f ca="1">IFERROR(__xludf.DUMMYFUNCTION("""COMPUTED_VALUE"""),"F")</f>
        <v>F</v>
      </c>
      <c r="F879" s="118" t="str">
        <f ca="1">IFERROR(__xludf.DUMMYFUNCTION("""COMPUTED_VALUE"""),"J")</f>
        <v>J</v>
      </c>
      <c r="G879" s="118">
        <f ca="1">IFERROR(__xludf.DUMMYFUNCTION("""COMPUTED_VALUE"""),8)</f>
        <v>8</v>
      </c>
      <c r="H879" s="118" t="str">
        <f ca="1">IFERROR(__xludf.DUMMYFUNCTION("""COMPUTED_VALUE"""),"HSC")</f>
        <v>HSC</v>
      </c>
      <c r="I879" s="118">
        <f ca="1">IFERROR(__xludf.DUMMYFUNCTION("""COMPUTED_VALUE"""),4)</f>
        <v>4</v>
      </c>
      <c r="J879" s="118">
        <f ca="1">IFERROR(__xludf.DUMMYFUNCTION("""COMPUTED_VALUE"""),5)</f>
        <v>5</v>
      </c>
      <c r="K879" s="120">
        <f ca="1">IFERROR(__xludf.DUMMYFUNCTION("""COMPUTED_VALUE"""),44.2)</f>
        <v>44.2</v>
      </c>
      <c r="L879" s="121"/>
      <c r="M879" s="120">
        <f ca="1">IFERROR(__xludf.DUMMYFUNCTION("""COMPUTED_VALUE"""),34.65)</f>
        <v>34.65</v>
      </c>
      <c r="N879" s="121"/>
      <c r="O879" s="120">
        <f ca="1">IFERROR(__xludf.DUMMYFUNCTION("""COMPUTED_VALUE"""),35.8)</f>
        <v>35.799999999999997</v>
      </c>
      <c r="P879" s="122"/>
      <c r="Q879" s="123" t="str">
        <f ca="1">IFERROR(__xludf.DUMMYFUNCTION("""COMPUTED_VALUE"""),"Sophia Herbert")</f>
        <v>Sophia Herbert</v>
      </c>
      <c r="R879" s="123"/>
      <c r="S879" s="123" t="str">
        <f ca="1">IFERROR(__xludf.DUMMYFUNCTION("""COMPUTED_VALUE"""),"Maren Randazzo")</f>
        <v>Maren Randazzo</v>
      </c>
      <c r="T879" s="123" t="str">
        <f ca="1">IFERROR(__xludf.DUMMYFUNCTION("""COMPUTED_VALUE"""),"Victor Kruml")</f>
        <v>Victor Kruml</v>
      </c>
    </row>
    <row r="880" spans="1:20" ht="13.8">
      <c r="A880" s="118" t="str">
        <f ca="1">IFERROR(__xludf.DUMMYFUNCTION("""COMPUTED_VALUE"""),"HSC")</f>
        <v>HSC</v>
      </c>
      <c r="B880" s="119" t="str">
        <f ca="1">IFERROR(__xludf.DUMMYFUNCTION("""COMPUTED_VALUE"""),"Britton Colosi")</f>
        <v>Britton Colosi</v>
      </c>
      <c r="C880" s="118">
        <f ca="1">IFERROR(__xludf.DUMMYFUNCTION("""COMPUTED_VALUE"""),9)</f>
        <v>9</v>
      </c>
      <c r="D880" s="118" t="str">
        <f ca="1">IFERROR(__xludf.DUMMYFUNCTION("""COMPUTED_VALUE"""),"G")</f>
        <v>G</v>
      </c>
      <c r="E880" s="118" t="str">
        <f ca="1">IFERROR(__xludf.DUMMYFUNCTION("""COMPUTED_VALUE"""),"F")</f>
        <v>F</v>
      </c>
      <c r="F880" s="118" t="str">
        <f ca="1">IFERROR(__xludf.DUMMYFUNCTION("""COMPUTED_VALUE"""),"J")</f>
        <v>J</v>
      </c>
      <c r="G880" s="118">
        <f ca="1">IFERROR(__xludf.DUMMYFUNCTION("""COMPUTED_VALUE"""),8)</f>
        <v>8</v>
      </c>
      <c r="H880" s="118" t="str">
        <f ca="1">IFERROR(__xludf.DUMMYFUNCTION("""COMPUTED_VALUE"""),"HSC")</f>
        <v>HSC</v>
      </c>
      <c r="I880" s="118">
        <f ca="1">IFERROR(__xludf.DUMMYFUNCTION("""COMPUTED_VALUE"""),4)</f>
        <v>4</v>
      </c>
      <c r="J880" s="118">
        <f ca="1">IFERROR(__xludf.DUMMYFUNCTION("""COMPUTED_VALUE"""),3)</f>
        <v>3</v>
      </c>
      <c r="K880" s="120">
        <f ca="1">IFERROR(__xludf.DUMMYFUNCTION("""COMPUTED_VALUE"""),55.1)</f>
        <v>55.1</v>
      </c>
      <c r="L880" s="121"/>
      <c r="M880" s="120">
        <f ca="1">IFERROR(__xludf.DUMMYFUNCTION("""COMPUTED_VALUE"""),53.7)</f>
        <v>53.7</v>
      </c>
      <c r="N880" s="121"/>
      <c r="O880" s="120">
        <f ca="1">IFERROR(__xludf.DUMMYFUNCTION("""COMPUTED_VALUE"""),55.1)</f>
        <v>55.1</v>
      </c>
      <c r="P880" s="122"/>
      <c r="Q880" s="123" t="str">
        <f ca="1">IFERROR(__xludf.DUMMYFUNCTION("""COMPUTED_VALUE"""),"Sophia McConnell")</f>
        <v>Sophia McConnell</v>
      </c>
      <c r="R880" s="123"/>
      <c r="S880" s="123" t="str">
        <f ca="1">IFERROR(__xludf.DUMMYFUNCTION("""COMPUTED_VALUE"""),"Margaret Franker")</f>
        <v>Margaret Franker</v>
      </c>
      <c r="T880" s="123" t="str">
        <f ca="1">IFERROR(__xludf.DUMMYFUNCTION("""COMPUTED_VALUE"""),"Victor Rodriguez")</f>
        <v>Victor Rodriguez</v>
      </c>
    </row>
    <row r="881" spans="1:20" ht="13.8">
      <c r="A881" s="118" t="str">
        <f ca="1">IFERROR(__xludf.DUMMYFUNCTION("""COMPUTED_VALUE"""),"HSC")</f>
        <v>HSC</v>
      </c>
      <c r="B881" s="119" t="str">
        <f ca="1">IFERROR(__xludf.DUMMYFUNCTION("""COMPUTED_VALUE"""),"Grace Wegner")</f>
        <v>Grace Wegner</v>
      </c>
      <c r="C881" s="118">
        <f ca="1">IFERROR(__xludf.DUMMYFUNCTION("""COMPUTED_VALUE"""),10)</f>
        <v>10</v>
      </c>
      <c r="D881" s="118" t="str">
        <f ca="1">IFERROR(__xludf.DUMMYFUNCTION("""COMPUTED_VALUE"""),"G")</f>
        <v>G</v>
      </c>
      <c r="E881" s="118" t="str">
        <f ca="1">IFERROR(__xludf.DUMMYFUNCTION("""COMPUTED_VALUE"""),"F")</f>
        <v>F</v>
      </c>
      <c r="F881" s="118" t="str">
        <f ca="1">IFERROR(__xludf.DUMMYFUNCTION("""COMPUTED_VALUE"""),"J")</f>
        <v>J</v>
      </c>
      <c r="G881" s="118">
        <f ca="1">IFERROR(__xludf.DUMMYFUNCTION("""COMPUTED_VALUE"""),8)</f>
        <v>8</v>
      </c>
      <c r="H881" s="118" t="str">
        <f ca="1">IFERROR(__xludf.DUMMYFUNCTION("""COMPUTED_VALUE"""),"HSC")</f>
        <v>HSC</v>
      </c>
      <c r="I881" s="118">
        <f ca="1">IFERROR(__xludf.DUMMYFUNCTION("""COMPUTED_VALUE"""),4)</f>
        <v>4</v>
      </c>
      <c r="J881" s="118">
        <f ca="1">IFERROR(__xludf.DUMMYFUNCTION("""COMPUTED_VALUE"""),5)</f>
        <v>5</v>
      </c>
      <c r="K881" s="120">
        <f ca="1">IFERROR(__xludf.DUMMYFUNCTION("""COMPUTED_VALUE"""),70.75)</f>
        <v>70.75</v>
      </c>
      <c r="L881" s="121"/>
      <c r="M881" s="120">
        <f ca="1">IFERROR(__xludf.DUMMYFUNCTION("""COMPUTED_VALUE"""),-71.15)</f>
        <v>-71.150000000000006</v>
      </c>
      <c r="N881" s="121"/>
      <c r="O881" s="120">
        <f ca="1">IFERROR(__xludf.DUMMYFUNCTION("""COMPUTED_VALUE"""),59.95)</f>
        <v>59.95</v>
      </c>
      <c r="P881" s="122"/>
      <c r="Q881" s="123" t="str">
        <f ca="1">IFERROR(__xludf.DUMMYFUNCTION("""COMPUTED_VALUE"""),"Sophia Niday")</f>
        <v>Sophia Niday</v>
      </c>
      <c r="R881" s="123"/>
      <c r="S881" s="123" t="str">
        <f ca="1">IFERROR(__xludf.DUMMYFUNCTION("""COMPUTED_VALUE"""),"Margaret Grogan")</f>
        <v>Margaret Grogan</v>
      </c>
      <c r="T881" s="123" t="str">
        <f ca="1">IFERROR(__xludf.DUMMYFUNCTION("""COMPUTED_VALUE"""),"Vikram Martinez")</f>
        <v>Vikram Martinez</v>
      </c>
    </row>
    <row r="882" spans="1:20" ht="13.8">
      <c r="A882" s="118" t="str">
        <f ca="1">IFERROR(__xludf.DUMMYFUNCTION("""COMPUTED_VALUE"""),"HSC")</f>
        <v>HSC</v>
      </c>
      <c r="B882" s="119" t="str">
        <f ca="1">IFERROR(__xludf.DUMMYFUNCTION("""COMPUTED_VALUE"""),"Jordana Ghazal")</f>
        <v>Jordana Ghazal</v>
      </c>
      <c r="C882" s="118">
        <f ca="1">IFERROR(__xludf.DUMMYFUNCTION("""COMPUTED_VALUE"""),7)</f>
        <v>7</v>
      </c>
      <c r="D882" s="118" t="str">
        <f ca="1">IFERROR(__xludf.DUMMYFUNCTION("""COMPUTED_VALUE"""),"G")</f>
        <v>G</v>
      </c>
      <c r="E882" s="118" t="str">
        <f ca="1">IFERROR(__xludf.DUMMYFUNCTION("""COMPUTED_VALUE"""),"F")</f>
        <v>F</v>
      </c>
      <c r="F882" s="118" t="str">
        <f ca="1">IFERROR(__xludf.DUMMYFUNCTION("""COMPUTED_VALUE"""),"J")</f>
        <v>J</v>
      </c>
      <c r="G882" s="118">
        <f ca="1">IFERROR(__xludf.DUMMYFUNCTION("""COMPUTED_VALUE"""),8)</f>
        <v>8</v>
      </c>
      <c r="H882" s="118" t="str">
        <f ca="1">IFERROR(__xludf.DUMMYFUNCTION("""COMPUTED_VALUE"""),"HSC")</f>
        <v>HSC</v>
      </c>
      <c r="I882" s="118">
        <f ca="1">IFERROR(__xludf.DUMMYFUNCTION("""COMPUTED_VALUE"""),4)</f>
        <v>4</v>
      </c>
      <c r="J882" s="118">
        <f ca="1">IFERROR(__xludf.DUMMYFUNCTION("""COMPUTED_VALUE"""),3)</f>
        <v>3</v>
      </c>
      <c r="K882" s="120">
        <f ca="1">IFERROR(__xludf.DUMMYFUNCTION("""COMPUTED_VALUE"""),49.4)</f>
        <v>49.4</v>
      </c>
      <c r="L882" s="121"/>
      <c r="M882" s="120">
        <f ca="1">IFERROR(__xludf.DUMMYFUNCTION("""COMPUTED_VALUE"""),49.4)</f>
        <v>49.4</v>
      </c>
      <c r="N882" s="121"/>
      <c r="O882" s="120">
        <f ca="1">IFERROR(__xludf.DUMMYFUNCTION("""COMPUTED_VALUE"""),43.8)</f>
        <v>43.8</v>
      </c>
      <c r="P882" s="122"/>
      <c r="Q882" s="123" t="str">
        <f ca="1">IFERROR(__xludf.DUMMYFUNCTION("""COMPUTED_VALUE"""),"Sophie Burges")</f>
        <v>Sophie Burges</v>
      </c>
      <c r="R882" s="123"/>
      <c r="S882" s="123" t="str">
        <f ca="1">IFERROR(__xludf.DUMMYFUNCTION("""COMPUTED_VALUE"""),"Margaret Rider")</f>
        <v>Margaret Rider</v>
      </c>
      <c r="T882" s="123" t="str">
        <f ca="1">IFERROR(__xludf.DUMMYFUNCTION("""COMPUTED_VALUE"""),"Vin Landi")</f>
        <v>Vin Landi</v>
      </c>
    </row>
    <row r="883" spans="1:20" ht="13.8">
      <c r="A883" s="118" t="str">
        <f ca="1">IFERROR(__xludf.DUMMYFUNCTION("""COMPUTED_VALUE"""),"HSC")</f>
        <v>HSC</v>
      </c>
      <c r="B883" s="119" t="str">
        <f ca="1">IFERROR(__xludf.DUMMYFUNCTION("""COMPUTED_VALUE"""),"Maya Robertson")</f>
        <v>Maya Robertson</v>
      </c>
      <c r="C883" s="118">
        <f ca="1">IFERROR(__xludf.DUMMYFUNCTION("""COMPUTED_VALUE"""),6)</f>
        <v>6</v>
      </c>
      <c r="D883" s="118" t="str">
        <f ca="1">IFERROR(__xludf.DUMMYFUNCTION("""COMPUTED_VALUE"""),"G")</f>
        <v>G</v>
      </c>
      <c r="E883" s="118" t="str">
        <f ca="1">IFERROR(__xludf.DUMMYFUNCTION("""COMPUTED_VALUE"""),"F")</f>
        <v>F</v>
      </c>
      <c r="F883" s="118" t="str">
        <f ca="1">IFERROR(__xludf.DUMMYFUNCTION("""COMPUTED_VALUE"""),"J")</f>
        <v>J</v>
      </c>
      <c r="G883" s="118">
        <f ca="1">IFERROR(__xludf.DUMMYFUNCTION("""COMPUTED_VALUE"""),8)</f>
        <v>8</v>
      </c>
      <c r="H883" s="118" t="str">
        <f ca="1">IFERROR(__xludf.DUMMYFUNCTION("""COMPUTED_VALUE"""),"HSC")</f>
        <v>HSC</v>
      </c>
      <c r="I883" s="118">
        <f ca="1">IFERROR(__xludf.DUMMYFUNCTION("""COMPUTED_VALUE"""),4)</f>
        <v>4</v>
      </c>
      <c r="J883" s="118">
        <f ca="1">IFERROR(__xludf.DUMMYFUNCTION("""COMPUTED_VALUE"""),5)</f>
        <v>5</v>
      </c>
      <c r="K883" s="120">
        <f ca="1">IFERROR(__xludf.DUMMYFUNCTION("""COMPUTED_VALUE"""),21.75)</f>
        <v>21.75</v>
      </c>
      <c r="L883" s="121"/>
      <c r="M883" s="120">
        <f ca="1">IFERROR(__xludf.DUMMYFUNCTION("""COMPUTED_VALUE"""),16.45)</f>
        <v>16.45</v>
      </c>
      <c r="N883" s="121"/>
      <c r="O883" s="120">
        <f ca="1">IFERROR(__xludf.DUMMYFUNCTION("""COMPUTED_VALUE"""),16.25)</f>
        <v>16.25</v>
      </c>
      <c r="P883" s="122"/>
      <c r="Q883" s="123" t="str">
        <f ca="1">IFERROR(__xludf.DUMMYFUNCTION("""COMPUTED_VALUE"""),"Sophie Genter")</f>
        <v>Sophie Genter</v>
      </c>
      <c r="R883" s="123"/>
      <c r="S883" s="123" t="str">
        <f ca="1">IFERROR(__xludf.DUMMYFUNCTION("""COMPUTED_VALUE"""),"Margie Hammond")</f>
        <v>Margie Hammond</v>
      </c>
      <c r="T883" s="123" t="str">
        <f ca="1">IFERROR(__xludf.DUMMYFUNCTION("""COMPUTED_VALUE"""),"Vince Kidder")</f>
        <v>Vince Kidder</v>
      </c>
    </row>
    <row r="884" spans="1:20" ht="13.8">
      <c r="A884" s="118" t="str">
        <f ca="1">IFERROR(__xludf.DUMMYFUNCTION("""COMPUTED_VALUE"""),"HSC")</f>
        <v>HSC</v>
      </c>
      <c r="B884" s="119" t="str">
        <f ca="1">IFERROR(__xludf.DUMMYFUNCTION("""COMPUTED_VALUE"""),"Olivia Gentry")</f>
        <v>Olivia Gentry</v>
      </c>
      <c r="C884" s="118">
        <f ca="1">IFERROR(__xludf.DUMMYFUNCTION("""COMPUTED_VALUE"""),9)</f>
        <v>9</v>
      </c>
      <c r="D884" s="118" t="str">
        <f ca="1">IFERROR(__xludf.DUMMYFUNCTION("""COMPUTED_VALUE"""),"G")</f>
        <v>G</v>
      </c>
      <c r="E884" s="118" t="str">
        <f ca="1">IFERROR(__xludf.DUMMYFUNCTION("""COMPUTED_VALUE"""),"F")</f>
        <v>F</v>
      </c>
      <c r="F884" s="118" t="str">
        <f ca="1">IFERROR(__xludf.DUMMYFUNCTION("""COMPUTED_VALUE"""),"J")</f>
        <v>J</v>
      </c>
      <c r="G884" s="118">
        <f ca="1">IFERROR(__xludf.DUMMYFUNCTION("""COMPUTED_VALUE"""),8)</f>
        <v>8</v>
      </c>
      <c r="H884" s="118" t="str">
        <f ca="1">IFERROR(__xludf.DUMMYFUNCTION("""COMPUTED_VALUE"""),"HSC")</f>
        <v>HSC</v>
      </c>
      <c r="I884" s="118">
        <f ca="1">IFERROR(__xludf.DUMMYFUNCTION("""COMPUTED_VALUE"""),4)</f>
        <v>4</v>
      </c>
      <c r="J884" s="118">
        <f ca="1">IFERROR(__xludf.DUMMYFUNCTION("""COMPUTED_VALUE"""),1)</f>
        <v>1</v>
      </c>
      <c r="K884" s="120"/>
      <c r="L884" s="121"/>
      <c r="M884" s="120"/>
      <c r="N884" s="121"/>
      <c r="O884" s="120"/>
      <c r="P884" s="122"/>
      <c r="Q884" s="123" t="str">
        <f ca="1">IFERROR(__xludf.DUMMYFUNCTION("""COMPUTED_VALUE"""),"Sophie Ryan")</f>
        <v>Sophie Ryan</v>
      </c>
      <c r="R884" s="123"/>
      <c r="S884" s="123" t="str">
        <f ca="1">IFERROR(__xludf.DUMMYFUNCTION("""COMPUTED_VALUE"""),"Margot DeSorrento")</f>
        <v>Margot DeSorrento</v>
      </c>
      <c r="T884" s="123" t="str">
        <f ca="1">IFERROR(__xludf.DUMMYFUNCTION("""COMPUTED_VALUE"""),"Wade Squire")</f>
        <v>Wade Squire</v>
      </c>
    </row>
    <row r="885" spans="1:20" ht="13.8">
      <c r="A885" s="118" t="str">
        <f ca="1">IFERROR(__xludf.DUMMYFUNCTION("""COMPUTED_VALUE"""),"HSC")</f>
        <v>HSC</v>
      </c>
      <c r="B885" s="119" t="str">
        <f ca="1">IFERROR(__xludf.DUMMYFUNCTION("""COMPUTED_VALUE"""),"Orla Powles")</f>
        <v>Orla Powles</v>
      </c>
      <c r="C885" s="118">
        <f ca="1">IFERROR(__xludf.DUMMYFUNCTION("""COMPUTED_VALUE"""),6)</f>
        <v>6</v>
      </c>
      <c r="D885" s="118" t="str">
        <f ca="1">IFERROR(__xludf.DUMMYFUNCTION("""COMPUTED_VALUE"""),"G")</f>
        <v>G</v>
      </c>
      <c r="E885" s="118" t="str">
        <f ca="1">IFERROR(__xludf.DUMMYFUNCTION("""COMPUTED_VALUE"""),"F")</f>
        <v>F</v>
      </c>
      <c r="F885" s="118" t="str">
        <f ca="1">IFERROR(__xludf.DUMMYFUNCTION("""COMPUTED_VALUE"""),"J")</f>
        <v>J</v>
      </c>
      <c r="G885" s="118">
        <f ca="1">IFERROR(__xludf.DUMMYFUNCTION("""COMPUTED_VALUE"""),8)</f>
        <v>8</v>
      </c>
      <c r="H885" s="118" t="str">
        <f ca="1">IFERROR(__xludf.DUMMYFUNCTION("""COMPUTED_VALUE"""),"HSC")</f>
        <v>HSC</v>
      </c>
      <c r="I885" s="118">
        <f ca="1">IFERROR(__xludf.DUMMYFUNCTION("""COMPUTED_VALUE"""),4)</f>
        <v>4</v>
      </c>
      <c r="J885" s="118">
        <f ca="1">IFERROR(__xludf.DUMMYFUNCTION("""COMPUTED_VALUE"""),4)</f>
        <v>4</v>
      </c>
      <c r="K885" s="120">
        <f ca="1">IFERROR(__xludf.DUMMYFUNCTION("""COMPUTED_VALUE"""),20.15)</f>
        <v>20.149999999999999</v>
      </c>
      <c r="L885" s="121"/>
      <c r="M885" s="120">
        <f ca="1">IFERROR(__xludf.DUMMYFUNCTION("""COMPUTED_VALUE"""),15.25)</f>
        <v>15.25</v>
      </c>
      <c r="N885" s="121"/>
      <c r="O885" s="120">
        <f ca="1">IFERROR(__xludf.DUMMYFUNCTION("""COMPUTED_VALUE"""),20.15)</f>
        <v>20.149999999999999</v>
      </c>
      <c r="P885" s="122"/>
      <c r="Q885" s="123" t="str">
        <f ca="1">IFERROR(__xludf.DUMMYFUNCTION("""COMPUTED_VALUE"""),"Soraya Hashemi")</f>
        <v>Soraya Hashemi</v>
      </c>
      <c r="R885" s="123"/>
      <c r="S885" s="123" t="str">
        <f ca="1">IFERROR(__xludf.DUMMYFUNCTION("""COMPUTED_VALUE"""),"Margot Kelley")</f>
        <v>Margot Kelley</v>
      </c>
      <c r="T885" s="123" t="str">
        <f ca="1">IFERROR(__xludf.DUMMYFUNCTION("""COMPUTED_VALUE"""),"Walter Hopwood")</f>
        <v>Walter Hopwood</v>
      </c>
    </row>
    <row r="886" spans="1:20" ht="13.8">
      <c r="A886" s="118" t="str">
        <f ca="1">IFERROR(__xludf.DUMMYFUNCTION("""COMPUTED_VALUE"""),"HSC")</f>
        <v>HSC</v>
      </c>
      <c r="B886" s="119" t="str">
        <f ca="1">IFERROR(__xludf.DUMMYFUNCTION("""COMPUTED_VALUE"""),"Soraya Hashemi")</f>
        <v>Soraya Hashemi</v>
      </c>
      <c r="C886" s="118">
        <f ca="1">IFERROR(__xludf.DUMMYFUNCTION("""COMPUTED_VALUE"""),9)</f>
        <v>9</v>
      </c>
      <c r="D886" s="118" t="str">
        <f ca="1">IFERROR(__xludf.DUMMYFUNCTION("""COMPUTED_VALUE"""),"G")</f>
        <v>G</v>
      </c>
      <c r="E886" s="118" t="str">
        <f ca="1">IFERROR(__xludf.DUMMYFUNCTION("""COMPUTED_VALUE"""),"F")</f>
        <v>F</v>
      </c>
      <c r="F886" s="118" t="str">
        <f ca="1">IFERROR(__xludf.DUMMYFUNCTION("""COMPUTED_VALUE"""),"J")</f>
        <v>J</v>
      </c>
      <c r="G886" s="118">
        <f ca="1">IFERROR(__xludf.DUMMYFUNCTION("""COMPUTED_VALUE"""),8)</f>
        <v>8</v>
      </c>
      <c r="H886" s="118" t="str">
        <f ca="1">IFERROR(__xludf.DUMMYFUNCTION("""COMPUTED_VALUE"""),"HSC")</f>
        <v>HSC</v>
      </c>
      <c r="I886" s="118">
        <f ca="1">IFERROR(__xludf.DUMMYFUNCTION("""COMPUTED_VALUE"""),4)</f>
        <v>4</v>
      </c>
      <c r="J886" s="118">
        <f ca="1">IFERROR(__xludf.DUMMYFUNCTION("""COMPUTED_VALUE"""),0)</f>
        <v>0</v>
      </c>
      <c r="K886" s="120"/>
      <c r="L886" s="121"/>
      <c r="M886" s="120"/>
      <c r="N886" s="121"/>
      <c r="O886" s="120"/>
      <c r="P886" s="122"/>
      <c r="Q886" s="123" t="str">
        <f ca="1">IFERROR(__xludf.DUMMYFUNCTION("""COMPUTED_VALUE"""),"Stella Baldeon Masturzo")</f>
        <v>Stella Baldeon Masturzo</v>
      </c>
      <c r="R886" s="123"/>
      <c r="S886" s="123" t="str">
        <f ca="1">IFERROR(__xludf.DUMMYFUNCTION("""COMPUTED_VALUE"""),"Mari Tovar")</f>
        <v>Mari Tovar</v>
      </c>
      <c r="T886" s="123" t="str">
        <f ca="1">IFERROR(__xludf.DUMMYFUNCTION("""COMPUTED_VALUE"""),"Walter Simonsen")</f>
        <v>Walter Simonsen</v>
      </c>
    </row>
    <row r="887" spans="1:20" ht="13.8">
      <c r="A887" s="118" t="str">
        <f ca="1">IFERROR(__xludf.DUMMYFUNCTION("""COMPUTED_VALUE"""),"HSC")</f>
        <v>HSC</v>
      </c>
      <c r="B887" s="119" t="str">
        <f ca="1">IFERROR(__xludf.DUMMYFUNCTION("""COMPUTED_VALUE"""),"Stella Pierre")</f>
        <v>Stella Pierre</v>
      </c>
      <c r="C887" s="118">
        <f ca="1">IFERROR(__xludf.DUMMYFUNCTION("""COMPUTED_VALUE"""),6)</f>
        <v>6</v>
      </c>
      <c r="D887" s="118" t="str">
        <f ca="1">IFERROR(__xludf.DUMMYFUNCTION("""COMPUTED_VALUE"""),"G")</f>
        <v>G</v>
      </c>
      <c r="E887" s="118" t="str">
        <f ca="1">IFERROR(__xludf.DUMMYFUNCTION("""COMPUTED_VALUE"""),"F")</f>
        <v>F</v>
      </c>
      <c r="F887" s="118" t="str">
        <f ca="1">IFERROR(__xludf.DUMMYFUNCTION("""COMPUTED_VALUE"""),"J")</f>
        <v>J</v>
      </c>
      <c r="G887" s="118">
        <f ca="1">IFERROR(__xludf.DUMMYFUNCTION("""COMPUTED_VALUE"""),8)</f>
        <v>8</v>
      </c>
      <c r="H887" s="118" t="str">
        <f ca="1">IFERROR(__xludf.DUMMYFUNCTION("""COMPUTED_VALUE"""),"HSC")</f>
        <v>HSC</v>
      </c>
      <c r="I887" s="118">
        <f ca="1">IFERROR(__xludf.DUMMYFUNCTION("""COMPUTED_VALUE"""),4)</f>
        <v>4</v>
      </c>
      <c r="J887" s="118">
        <f ca="1">IFERROR(__xludf.DUMMYFUNCTION("""COMPUTED_VALUE"""),5)</f>
        <v>5</v>
      </c>
      <c r="K887" s="120">
        <f ca="1">IFERROR(__xludf.DUMMYFUNCTION("""COMPUTED_VALUE"""),46)</f>
        <v>46</v>
      </c>
      <c r="L887" s="121"/>
      <c r="M887" s="120">
        <f ca="1">IFERROR(__xludf.DUMMYFUNCTION("""COMPUTED_VALUE"""),8.5)</f>
        <v>8.5</v>
      </c>
      <c r="N887" s="121"/>
      <c r="O887" s="120">
        <f ca="1">IFERROR(__xludf.DUMMYFUNCTION("""COMPUTED_VALUE"""),46)</f>
        <v>46</v>
      </c>
      <c r="P887" s="122"/>
      <c r="Q887" s="123" t="str">
        <f ca="1">IFERROR(__xludf.DUMMYFUNCTION("""COMPUTED_VALUE"""),"Stella Beaman")</f>
        <v>Stella Beaman</v>
      </c>
      <c r="R887" s="123"/>
      <c r="S887" s="123" t="str">
        <f ca="1">IFERROR(__xludf.DUMMYFUNCTION("""COMPUTED_VALUE"""),"Maria Garcia-McIntire")</f>
        <v>Maria Garcia-McIntire</v>
      </c>
      <c r="T887" s="123" t="str">
        <f ca="1">IFERROR(__xludf.DUMMYFUNCTION("""COMPUTED_VALUE"""),"Ward Gardiner")</f>
        <v>Ward Gardiner</v>
      </c>
    </row>
    <row r="888" spans="1:20" ht="13.8">
      <c r="A888" s="118" t="str">
        <f ca="1">IFERROR(__xludf.DUMMYFUNCTION("""COMPUTED_VALUE"""),"HSC")</f>
        <v>HSC</v>
      </c>
      <c r="B888" s="119" t="str">
        <f ca="1">IFERROR(__xludf.DUMMYFUNCTION("""COMPUTED_VALUE"""),"Beau Rosser")</f>
        <v>Beau Rosser</v>
      </c>
      <c r="C888" s="118">
        <f ca="1">IFERROR(__xludf.DUMMYFUNCTION("""COMPUTED_VALUE"""),5)</f>
        <v>5</v>
      </c>
      <c r="D888" s="118" t="str">
        <f ca="1">IFERROR(__xludf.DUMMYFUNCTION("""COMPUTED_VALUE"""),"B")</f>
        <v>B</v>
      </c>
      <c r="E888" s="118" t="str">
        <f ca="1">IFERROR(__xludf.DUMMYFUNCTION("""COMPUTED_VALUE"""),"F")</f>
        <v>F</v>
      </c>
      <c r="F888" s="118" t="str">
        <f ca="1">IFERROR(__xludf.DUMMYFUNCTION("""COMPUTED_VALUE"""),"J")</f>
        <v>J</v>
      </c>
      <c r="G888" s="118">
        <f ca="1">IFERROR(__xludf.DUMMYFUNCTION("""COMPUTED_VALUE"""),8)</f>
        <v>8</v>
      </c>
      <c r="H888" s="118" t="str">
        <f ca="1">IFERROR(__xludf.DUMMYFUNCTION("""COMPUTED_VALUE"""),"HSC")</f>
        <v>HSC</v>
      </c>
      <c r="I888" s="118">
        <f ca="1">IFERROR(__xludf.DUMMYFUNCTION("""COMPUTED_VALUE"""),5)</f>
        <v>5</v>
      </c>
      <c r="J888" s="118">
        <f ca="1">IFERROR(__xludf.DUMMYFUNCTION("""COMPUTED_VALUE"""),0)</f>
        <v>0</v>
      </c>
      <c r="K888" s="120"/>
      <c r="L888" s="121"/>
      <c r="M888" s="120"/>
      <c r="N888" s="121"/>
      <c r="O888" s="120"/>
      <c r="P888" s="122"/>
      <c r="Q888" s="123" t="str">
        <f ca="1">IFERROR(__xludf.DUMMYFUNCTION("""COMPUTED_VALUE"""),"Stella Boger")</f>
        <v>Stella Boger</v>
      </c>
      <c r="R888" s="123"/>
      <c r="S888" s="123" t="str">
        <f ca="1">IFERROR(__xludf.DUMMYFUNCTION("""COMPUTED_VALUE"""),"Maria Miller")</f>
        <v>Maria Miller</v>
      </c>
      <c r="T888" s="123" t="str">
        <f ca="1">IFERROR(__xludf.DUMMYFUNCTION("""COMPUTED_VALUE"""),"Webb Stewart")</f>
        <v>Webb Stewart</v>
      </c>
    </row>
    <row r="889" spans="1:20" ht="13.8">
      <c r="A889" s="118" t="str">
        <f ca="1">IFERROR(__xludf.DUMMYFUNCTION("""COMPUTED_VALUE"""),"HSC")</f>
        <v>HSC</v>
      </c>
      <c r="B889" s="119" t="str">
        <f ca="1">IFERROR(__xludf.DUMMYFUNCTION("""COMPUTED_VALUE"""),"Jackson Zuroweste")</f>
        <v>Jackson Zuroweste</v>
      </c>
      <c r="C889" s="118">
        <f ca="1">IFERROR(__xludf.DUMMYFUNCTION("""COMPUTED_VALUE"""),8)</f>
        <v>8</v>
      </c>
      <c r="D889" s="118" t="str">
        <f ca="1">IFERROR(__xludf.DUMMYFUNCTION("""COMPUTED_VALUE"""),"B")</f>
        <v>B</v>
      </c>
      <c r="E889" s="118" t="str">
        <f ca="1">IFERROR(__xludf.DUMMYFUNCTION("""COMPUTED_VALUE"""),"F")</f>
        <v>F</v>
      </c>
      <c r="F889" s="118" t="str">
        <f ca="1">IFERROR(__xludf.DUMMYFUNCTION("""COMPUTED_VALUE"""),"J")</f>
        <v>J</v>
      </c>
      <c r="G889" s="118">
        <f ca="1">IFERROR(__xludf.DUMMYFUNCTION("""COMPUTED_VALUE"""),8)</f>
        <v>8</v>
      </c>
      <c r="H889" s="118" t="str">
        <f ca="1">IFERROR(__xludf.DUMMYFUNCTION("""COMPUTED_VALUE"""),"HSC")</f>
        <v>HSC</v>
      </c>
      <c r="I889" s="118">
        <f ca="1">IFERROR(__xludf.DUMMYFUNCTION("""COMPUTED_VALUE"""),5)</f>
        <v>5</v>
      </c>
      <c r="J889" s="118">
        <f ca="1">IFERROR(__xludf.DUMMYFUNCTION("""COMPUTED_VALUE"""),0)</f>
        <v>0</v>
      </c>
      <c r="K889" s="120"/>
      <c r="L889" s="121"/>
      <c r="M889" s="120"/>
      <c r="N889" s="121"/>
      <c r="O889" s="120"/>
      <c r="P889" s="122"/>
      <c r="Q889" s="123" t="str">
        <f ca="1">IFERROR(__xludf.DUMMYFUNCTION("""COMPUTED_VALUE"""),"Stella Gilbert")</f>
        <v>Stella Gilbert</v>
      </c>
      <c r="R889" s="123"/>
      <c r="S889" s="123" t="str">
        <f ca="1">IFERROR(__xludf.DUMMYFUNCTION("""COMPUTED_VALUE"""),"Marianna McKinnon")</f>
        <v>Marianna McKinnon</v>
      </c>
      <c r="T889" s="123" t="str">
        <f ca="1">IFERROR(__xludf.DUMMYFUNCTION("""COMPUTED_VALUE"""),"Wesley Grogan")</f>
        <v>Wesley Grogan</v>
      </c>
    </row>
    <row r="890" spans="1:20" ht="13.8">
      <c r="A890" s="118" t="str">
        <f ca="1">IFERROR(__xludf.DUMMYFUNCTION("""COMPUTED_VALUE"""),"HSC")</f>
        <v>HSC</v>
      </c>
      <c r="B890" s="119" t="str">
        <f ca="1">IFERROR(__xludf.DUMMYFUNCTION("""COMPUTED_VALUE"""),"Logan Thornsbury")</f>
        <v>Logan Thornsbury</v>
      </c>
      <c r="C890" s="118">
        <f ca="1">IFERROR(__xludf.DUMMYFUNCTION("""COMPUTED_VALUE"""),10)</f>
        <v>10</v>
      </c>
      <c r="D890" s="118" t="str">
        <f ca="1">IFERROR(__xludf.DUMMYFUNCTION("""COMPUTED_VALUE"""),"B")</f>
        <v>B</v>
      </c>
      <c r="E890" s="118" t="str">
        <f ca="1">IFERROR(__xludf.DUMMYFUNCTION("""COMPUTED_VALUE"""),"F")</f>
        <v>F</v>
      </c>
      <c r="F890" s="118" t="str">
        <f ca="1">IFERROR(__xludf.DUMMYFUNCTION("""COMPUTED_VALUE"""),"J")</f>
        <v>J</v>
      </c>
      <c r="G890" s="118">
        <f ca="1">IFERROR(__xludf.DUMMYFUNCTION("""COMPUTED_VALUE"""),8)</f>
        <v>8</v>
      </c>
      <c r="H890" s="118" t="str">
        <f ca="1">IFERROR(__xludf.DUMMYFUNCTION("""COMPUTED_VALUE"""),"HSC")</f>
        <v>HSC</v>
      </c>
      <c r="I890" s="118">
        <f ca="1">IFERROR(__xludf.DUMMYFUNCTION("""COMPUTED_VALUE"""),5)</f>
        <v>5</v>
      </c>
      <c r="J890" s="118">
        <f ca="1">IFERROR(__xludf.DUMMYFUNCTION("""COMPUTED_VALUE"""),0)</f>
        <v>0</v>
      </c>
      <c r="K890" s="120"/>
      <c r="L890" s="121"/>
      <c r="M890" s="120"/>
      <c r="N890" s="121"/>
      <c r="O890" s="120"/>
      <c r="P890" s="122"/>
      <c r="Q890" s="123" t="str">
        <f ca="1">IFERROR(__xludf.DUMMYFUNCTION("""COMPUTED_VALUE"""),"Stella Lesser")</f>
        <v>Stella Lesser</v>
      </c>
      <c r="R890" s="123"/>
      <c r="S890" s="123" t="str">
        <f ca="1">IFERROR(__xludf.DUMMYFUNCTION("""COMPUTED_VALUE"""),"Marie Christofferson")</f>
        <v>Marie Christofferson</v>
      </c>
      <c r="T890" s="123" t="str">
        <f ca="1">IFERROR(__xludf.DUMMYFUNCTION("""COMPUTED_VALUE"""),"Wesley Johnson")</f>
        <v>Wesley Johnson</v>
      </c>
    </row>
    <row r="891" spans="1:20" ht="13.8">
      <c r="A891" s="118" t="str">
        <f ca="1">IFERROR(__xludf.DUMMYFUNCTION("""COMPUTED_VALUE"""),"HSC")</f>
        <v>HSC</v>
      </c>
      <c r="B891" s="119" t="str">
        <f ca="1">IFERROR(__xludf.DUMMYFUNCTION("""COMPUTED_VALUE"""),"Noah Collazo")</f>
        <v>Noah Collazo</v>
      </c>
      <c r="C891" s="118">
        <f ca="1">IFERROR(__xludf.DUMMYFUNCTION("""COMPUTED_VALUE"""),7)</f>
        <v>7</v>
      </c>
      <c r="D891" s="118" t="str">
        <f ca="1">IFERROR(__xludf.DUMMYFUNCTION("""COMPUTED_VALUE"""),"B")</f>
        <v>B</v>
      </c>
      <c r="E891" s="118" t="str">
        <f ca="1">IFERROR(__xludf.DUMMYFUNCTION("""COMPUTED_VALUE"""),"F")</f>
        <v>F</v>
      </c>
      <c r="F891" s="118" t="str">
        <f ca="1">IFERROR(__xludf.DUMMYFUNCTION("""COMPUTED_VALUE"""),"J")</f>
        <v>J</v>
      </c>
      <c r="G891" s="118">
        <f ca="1">IFERROR(__xludf.DUMMYFUNCTION("""COMPUTED_VALUE"""),8)</f>
        <v>8</v>
      </c>
      <c r="H891" s="118" t="str">
        <f ca="1">IFERROR(__xludf.DUMMYFUNCTION("""COMPUTED_VALUE"""),"HSC")</f>
        <v>HSC</v>
      </c>
      <c r="I891" s="118">
        <f ca="1">IFERROR(__xludf.DUMMYFUNCTION("""COMPUTED_VALUE"""),5)</f>
        <v>5</v>
      </c>
      <c r="J891" s="118">
        <f ca="1">IFERROR(__xludf.DUMMYFUNCTION("""COMPUTED_VALUE"""),2)</f>
        <v>2</v>
      </c>
      <c r="K891" s="120">
        <f ca="1">IFERROR(__xludf.DUMMYFUNCTION("""COMPUTED_VALUE"""),51)</f>
        <v>51</v>
      </c>
      <c r="L891" s="121"/>
      <c r="M891" s="120"/>
      <c r="N891" s="121"/>
      <c r="O891" s="120"/>
      <c r="P891" s="122"/>
      <c r="Q891" s="123" t="str">
        <f ca="1">IFERROR(__xludf.DUMMYFUNCTION("""COMPUTED_VALUE"""),"Stella McCormack")</f>
        <v>Stella McCormack</v>
      </c>
      <c r="R891" s="123"/>
      <c r="S891" s="123" t="str">
        <f ca="1">IFERROR(__xludf.DUMMYFUNCTION("""COMPUTED_VALUE"""),"Marie Dorchak")</f>
        <v>Marie Dorchak</v>
      </c>
      <c r="T891" s="123" t="str">
        <f ca="1">IFERROR(__xludf.DUMMYFUNCTION("""COMPUTED_VALUE"""),"Wesley Klousia")</f>
        <v>Wesley Klousia</v>
      </c>
    </row>
    <row r="892" spans="1:20" ht="13.8">
      <c r="A892" s="118" t="str">
        <f ca="1">IFERROR(__xludf.DUMMYFUNCTION("""COMPUTED_VALUE"""),"HSC")</f>
        <v>HSC</v>
      </c>
      <c r="B892" s="119" t="str">
        <f ca="1">IFERROR(__xludf.DUMMYFUNCTION("""COMPUTED_VALUE"""),"Parsa Tavakol")</f>
        <v>Parsa Tavakol</v>
      </c>
      <c r="C892" s="118">
        <f ca="1">IFERROR(__xludf.DUMMYFUNCTION("""COMPUTED_VALUE"""),6)</f>
        <v>6</v>
      </c>
      <c r="D892" s="118" t="str">
        <f ca="1">IFERROR(__xludf.DUMMYFUNCTION("""COMPUTED_VALUE"""),"B")</f>
        <v>B</v>
      </c>
      <c r="E892" s="118" t="str">
        <f ca="1">IFERROR(__xludf.DUMMYFUNCTION("""COMPUTED_VALUE"""),"F")</f>
        <v>F</v>
      </c>
      <c r="F892" s="118" t="str">
        <f ca="1">IFERROR(__xludf.DUMMYFUNCTION("""COMPUTED_VALUE"""),"J")</f>
        <v>J</v>
      </c>
      <c r="G892" s="118">
        <f ca="1">IFERROR(__xludf.DUMMYFUNCTION("""COMPUTED_VALUE"""),8)</f>
        <v>8</v>
      </c>
      <c r="H892" s="118" t="str">
        <f ca="1">IFERROR(__xludf.DUMMYFUNCTION("""COMPUTED_VALUE"""),"HSC")</f>
        <v>HSC</v>
      </c>
      <c r="I892" s="118">
        <f ca="1">IFERROR(__xludf.DUMMYFUNCTION("""COMPUTED_VALUE"""),5)</f>
        <v>5</v>
      </c>
      <c r="J892" s="118">
        <f ca="1">IFERROR(__xludf.DUMMYFUNCTION("""COMPUTED_VALUE"""),0)</f>
        <v>0</v>
      </c>
      <c r="K892" s="120"/>
      <c r="L892" s="121"/>
      <c r="M892" s="120"/>
      <c r="N892" s="121"/>
      <c r="O892" s="120"/>
      <c r="P892" s="122"/>
      <c r="Q892" s="123" t="str">
        <f ca="1">IFERROR(__xludf.DUMMYFUNCTION("""COMPUTED_VALUE"""),"Stella Pierre")</f>
        <v>Stella Pierre</v>
      </c>
      <c r="R892" s="123"/>
      <c r="S892" s="123" t="str">
        <f ca="1">IFERROR(__xludf.DUMMYFUNCTION("""COMPUTED_VALUE"""),"Mariella Oelrich")</f>
        <v>Mariella Oelrich</v>
      </c>
      <c r="T892" s="123" t="str">
        <f ca="1">IFERROR(__xludf.DUMMYFUNCTION("""COMPUTED_VALUE"""),"Wesley Nayer")</f>
        <v>Wesley Nayer</v>
      </c>
    </row>
    <row r="893" spans="1:20" ht="13.8">
      <c r="A893" s="118" t="str">
        <f ca="1">IFERROR(__xludf.DUMMYFUNCTION("""COMPUTED_VALUE"""),"HSC")</f>
        <v>HSC</v>
      </c>
      <c r="B893" s="119" t="str">
        <f ca="1">IFERROR(__xludf.DUMMYFUNCTION("""COMPUTED_VALUE"""),"Sam Rosser")</f>
        <v>Sam Rosser</v>
      </c>
      <c r="C893" s="118">
        <f ca="1">IFERROR(__xludf.DUMMYFUNCTION("""COMPUTED_VALUE"""),10)</f>
        <v>10</v>
      </c>
      <c r="D893" s="118" t="str">
        <f ca="1">IFERROR(__xludf.DUMMYFUNCTION("""COMPUTED_VALUE"""),"B")</f>
        <v>B</v>
      </c>
      <c r="E893" s="118" t="str">
        <f ca="1">IFERROR(__xludf.DUMMYFUNCTION("""COMPUTED_VALUE"""),"F")</f>
        <v>F</v>
      </c>
      <c r="F893" s="118" t="str">
        <f ca="1">IFERROR(__xludf.DUMMYFUNCTION("""COMPUTED_VALUE"""),"J")</f>
        <v>J</v>
      </c>
      <c r="G893" s="118">
        <f ca="1">IFERROR(__xludf.DUMMYFUNCTION("""COMPUTED_VALUE"""),8)</f>
        <v>8</v>
      </c>
      <c r="H893" s="118" t="str">
        <f ca="1">IFERROR(__xludf.DUMMYFUNCTION("""COMPUTED_VALUE"""),"HSC")</f>
        <v>HSC</v>
      </c>
      <c r="I893" s="118">
        <f ca="1">IFERROR(__xludf.DUMMYFUNCTION("""COMPUTED_VALUE"""),5)</f>
        <v>5</v>
      </c>
      <c r="J893" s="118">
        <f ca="1">IFERROR(__xludf.DUMMYFUNCTION("""COMPUTED_VALUE"""),0)</f>
        <v>0</v>
      </c>
      <c r="K893" s="120"/>
      <c r="L893" s="121"/>
      <c r="M893" s="120"/>
      <c r="N893" s="121"/>
      <c r="O893" s="120"/>
      <c r="P893" s="122"/>
      <c r="Q893" s="123" t="str">
        <f ca="1">IFERROR(__xludf.DUMMYFUNCTION("""COMPUTED_VALUE"""),"Stella Tuttle")</f>
        <v>Stella Tuttle</v>
      </c>
      <c r="R893" s="123"/>
      <c r="S893" s="123" t="str">
        <f ca="1">IFERROR(__xludf.DUMMYFUNCTION("""COMPUTED_VALUE"""),"Marisa Torregroza")</f>
        <v>Marisa Torregroza</v>
      </c>
      <c r="T893" s="123" t="str">
        <f ca="1">IFERROR(__xludf.DUMMYFUNCTION("""COMPUTED_VALUE"""),"West Carter")</f>
        <v>West Carter</v>
      </c>
    </row>
    <row r="894" spans="1:20" ht="13.8">
      <c r="A894" s="118" t="str">
        <f ca="1">IFERROR(__xludf.DUMMYFUNCTION("""COMPUTED_VALUE"""),"HSC")</f>
        <v>HSC</v>
      </c>
      <c r="B894" s="119" t="str">
        <f ca="1">IFERROR(__xludf.DUMMYFUNCTION("""COMPUTED_VALUE"""),"Wyatt Doak")</f>
        <v>Wyatt Doak</v>
      </c>
      <c r="C894" s="118">
        <f ca="1">IFERROR(__xludf.DUMMYFUNCTION("""COMPUTED_VALUE"""),10)</f>
        <v>10</v>
      </c>
      <c r="D894" s="118" t="str">
        <f ca="1">IFERROR(__xludf.DUMMYFUNCTION("""COMPUTED_VALUE"""),"B")</f>
        <v>B</v>
      </c>
      <c r="E894" s="118" t="str">
        <f ca="1">IFERROR(__xludf.DUMMYFUNCTION("""COMPUTED_VALUE"""),"F")</f>
        <v>F</v>
      </c>
      <c r="F894" s="118" t="str">
        <f ca="1">IFERROR(__xludf.DUMMYFUNCTION("""COMPUTED_VALUE"""),"J")</f>
        <v>J</v>
      </c>
      <c r="G894" s="118">
        <f ca="1">IFERROR(__xludf.DUMMYFUNCTION("""COMPUTED_VALUE"""),8)</f>
        <v>8</v>
      </c>
      <c r="H894" s="118" t="str">
        <f ca="1">IFERROR(__xludf.DUMMYFUNCTION("""COMPUTED_VALUE"""),"HSC")</f>
        <v>HSC</v>
      </c>
      <c r="I894" s="118">
        <f ca="1">IFERROR(__xludf.DUMMYFUNCTION("""COMPUTED_VALUE"""),5)</f>
        <v>5</v>
      </c>
      <c r="J894" s="118">
        <f ca="1">IFERROR(__xludf.DUMMYFUNCTION("""COMPUTED_VALUE"""),0)</f>
        <v>0</v>
      </c>
      <c r="K894" s="120"/>
      <c r="L894" s="121"/>
      <c r="M894" s="120"/>
      <c r="N894" s="121"/>
      <c r="O894" s="120"/>
      <c r="P894" s="122"/>
      <c r="Q894" s="123" t="str">
        <f ca="1">IFERROR(__xludf.DUMMYFUNCTION("""COMPUTED_VALUE"""),"Sunny Smythe")</f>
        <v>Sunny Smythe</v>
      </c>
      <c r="R894" s="123"/>
      <c r="S894" s="123" t="str">
        <f ca="1">IFERROR(__xludf.DUMMYFUNCTION("""COMPUTED_VALUE"""),"Marissa Rubin")</f>
        <v>Marissa Rubin</v>
      </c>
      <c r="T894" s="123" t="str">
        <f ca="1">IFERROR(__xludf.DUMMYFUNCTION("""COMPUTED_VALUE"""),"Wheeler Simoneaux")</f>
        <v>Wheeler Simoneaux</v>
      </c>
    </row>
    <row r="895" spans="1:20" ht="13.8">
      <c r="A895" s="118" t="str">
        <f ca="1">IFERROR(__xludf.DUMMYFUNCTION("""COMPUTED_VALUE"""),"HSC")</f>
        <v>HSC</v>
      </c>
      <c r="B895" s="119" t="str">
        <f ca="1">IFERROR(__xludf.DUMMYFUNCTION("""COMPUTED_VALUE"""),"Abby Desai")</f>
        <v>Abby Desai</v>
      </c>
      <c r="C895" s="118">
        <f ca="1">IFERROR(__xludf.DUMMYFUNCTION("""COMPUTED_VALUE"""),11)</f>
        <v>11</v>
      </c>
      <c r="D895" s="118" t="str">
        <f ca="1">IFERROR(__xludf.DUMMYFUNCTION("""COMPUTED_VALUE"""),"G")</f>
        <v>G</v>
      </c>
      <c r="E895" s="118" t="str">
        <f ca="1">IFERROR(__xludf.DUMMYFUNCTION("""COMPUTED_VALUE"""),"J")</f>
        <v>J</v>
      </c>
      <c r="F895" s="118" t="str">
        <f ca="1">IFERROR(__xludf.DUMMYFUNCTION("""COMPUTED_VALUE"""),"I")</f>
        <v>I</v>
      </c>
      <c r="G895" s="118">
        <f ca="1">IFERROR(__xludf.DUMMYFUNCTION("""COMPUTED_VALUE"""),8)</f>
        <v>8</v>
      </c>
      <c r="H895" s="118" t="str">
        <f ca="1">IFERROR(__xludf.DUMMYFUNCTION("""COMPUTED_VALUE"""),"HSC")</f>
        <v>HSC</v>
      </c>
      <c r="I895" s="118">
        <f ca="1">IFERROR(__xludf.DUMMYFUNCTION("""COMPUTED_VALUE"""),6)</f>
        <v>6</v>
      </c>
      <c r="J895" s="118">
        <f ca="1">IFERROR(__xludf.DUMMYFUNCTION("""COMPUTED_VALUE"""),0)</f>
        <v>0</v>
      </c>
      <c r="K895" s="120"/>
      <c r="L895" s="121"/>
      <c r="M895" s="120"/>
      <c r="N895" s="121"/>
      <c r="O895" s="120"/>
      <c r="P895" s="122"/>
      <c r="Q895" s="123" t="str">
        <f ca="1">IFERROR(__xludf.DUMMYFUNCTION("""COMPUTED_VALUE"""),"Susan Miller")</f>
        <v>Susan Miller</v>
      </c>
      <c r="R895" s="123"/>
      <c r="S895" s="123" t="str">
        <f ca="1">IFERROR(__xludf.DUMMYFUNCTION("""COMPUTED_VALUE"""),"Marleigh daSilva")</f>
        <v>Marleigh daSilva</v>
      </c>
      <c r="T895" s="123" t="str">
        <f ca="1">IFERROR(__xludf.DUMMYFUNCTION("""COMPUTED_VALUE"""),"Wilkins Harvin")</f>
        <v>Wilkins Harvin</v>
      </c>
    </row>
    <row r="896" spans="1:20" ht="13.8">
      <c r="A896" s="118" t="str">
        <f ca="1">IFERROR(__xludf.DUMMYFUNCTION("""COMPUTED_VALUE"""),"HSC")</f>
        <v>HSC</v>
      </c>
      <c r="B896" s="119" t="str">
        <f ca="1">IFERROR(__xludf.DUMMYFUNCTION("""COMPUTED_VALUE"""),"Alexandra Steber")</f>
        <v>Alexandra Steber</v>
      </c>
      <c r="C896" s="118">
        <f ca="1">IFERROR(__xludf.DUMMYFUNCTION("""COMPUTED_VALUE"""),12)</f>
        <v>12</v>
      </c>
      <c r="D896" s="118" t="str">
        <f ca="1">IFERROR(__xludf.DUMMYFUNCTION("""COMPUTED_VALUE"""),"G")</f>
        <v>G</v>
      </c>
      <c r="E896" s="118" t="str">
        <f ca="1">IFERROR(__xludf.DUMMYFUNCTION("""COMPUTED_VALUE"""),"J")</f>
        <v>J</v>
      </c>
      <c r="F896" s="118" t="str">
        <f ca="1">IFERROR(__xludf.DUMMYFUNCTION("""COMPUTED_VALUE"""),"I")</f>
        <v>I</v>
      </c>
      <c r="G896" s="118">
        <f ca="1">IFERROR(__xludf.DUMMYFUNCTION("""COMPUTED_VALUE"""),8)</f>
        <v>8</v>
      </c>
      <c r="H896" s="118" t="str">
        <f ca="1">IFERROR(__xludf.DUMMYFUNCTION("""COMPUTED_VALUE"""),"HSC")</f>
        <v>HSC</v>
      </c>
      <c r="I896" s="118">
        <f ca="1">IFERROR(__xludf.DUMMYFUNCTION("""COMPUTED_VALUE"""),6)</f>
        <v>6</v>
      </c>
      <c r="J896" s="118">
        <f ca="1">IFERROR(__xludf.DUMMYFUNCTION("""COMPUTED_VALUE"""),0)</f>
        <v>0</v>
      </c>
      <c r="K896" s="120"/>
      <c r="L896" s="121"/>
      <c r="M896" s="120"/>
      <c r="N896" s="121"/>
      <c r="O896" s="120"/>
      <c r="P896" s="122"/>
      <c r="Q896" s="123" t="str">
        <f ca="1">IFERROR(__xludf.DUMMYFUNCTION("""COMPUTED_VALUE"""),"Susannah Hill")</f>
        <v>Susannah Hill</v>
      </c>
      <c r="R896" s="123"/>
      <c r="S896" s="123" t="str">
        <f ca="1">IFERROR(__xludf.DUMMYFUNCTION("""COMPUTED_VALUE"""),"Martha Bryan")</f>
        <v>Martha Bryan</v>
      </c>
      <c r="T896" s="123" t="str">
        <f ca="1">IFERROR(__xludf.DUMMYFUNCTION("""COMPUTED_VALUE"""),"Will Copes")</f>
        <v>Will Copes</v>
      </c>
    </row>
    <row r="897" spans="1:20" ht="13.8">
      <c r="A897" s="118" t="str">
        <f ca="1">IFERROR(__xludf.DUMMYFUNCTION("""COMPUTED_VALUE"""),"HSC")</f>
        <v>HSC</v>
      </c>
      <c r="B897" s="119" t="str">
        <f ca="1">IFERROR(__xludf.DUMMYFUNCTION("""COMPUTED_VALUE"""),"Artemisia Hashemi")</f>
        <v>Artemisia Hashemi</v>
      </c>
      <c r="C897" s="118">
        <f ca="1">IFERROR(__xludf.DUMMYFUNCTION("""COMPUTED_VALUE"""),11)</f>
        <v>11</v>
      </c>
      <c r="D897" s="118" t="str">
        <f ca="1">IFERROR(__xludf.DUMMYFUNCTION("""COMPUTED_VALUE"""),"G")</f>
        <v>G</v>
      </c>
      <c r="E897" s="118" t="str">
        <f ca="1">IFERROR(__xludf.DUMMYFUNCTION("""COMPUTED_VALUE"""),"J")</f>
        <v>J</v>
      </c>
      <c r="F897" s="118" t="str">
        <f ca="1">IFERROR(__xludf.DUMMYFUNCTION("""COMPUTED_VALUE"""),"I")</f>
        <v>I</v>
      </c>
      <c r="G897" s="118">
        <f ca="1">IFERROR(__xludf.DUMMYFUNCTION("""COMPUTED_VALUE"""),8)</f>
        <v>8</v>
      </c>
      <c r="H897" s="118" t="str">
        <f ca="1">IFERROR(__xludf.DUMMYFUNCTION("""COMPUTED_VALUE"""),"HSC")</f>
        <v>HSC</v>
      </c>
      <c r="I897" s="118">
        <f ca="1">IFERROR(__xludf.DUMMYFUNCTION("""COMPUTED_VALUE"""),6)</f>
        <v>6</v>
      </c>
      <c r="J897" s="118">
        <f ca="1">IFERROR(__xludf.DUMMYFUNCTION("""COMPUTED_VALUE"""),5)</f>
        <v>5</v>
      </c>
      <c r="K897" s="120">
        <f ca="1">IFERROR(__xludf.DUMMYFUNCTION("""COMPUTED_VALUE"""),81.45)</f>
        <v>81.45</v>
      </c>
      <c r="L897" s="121"/>
      <c r="M897" s="120">
        <f ca="1">IFERROR(__xludf.DUMMYFUNCTION("""COMPUTED_VALUE"""),74.6)</f>
        <v>74.599999999999994</v>
      </c>
      <c r="N897" s="121"/>
      <c r="O897" s="120">
        <f ca="1">IFERROR(__xludf.DUMMYFUNCTION("""COMPUTED_VALUE"""),81.45)</f>
        <v>81.45</v>
      </c>
      <c r="P897" s="122"/>
      <c r="Q897" s="123" t="str">
        <f ca="1">IFERROR(__xludf.DUMMYFUNCTION("""COMPUTED_VALUE"""),"Sutton Boyd")</f>
        <v>Sutton Boyd</v>
      </c>
      <c r="R897" s="123"/>
      <c r="S897" s="123" t="str">
        <f ca="1">IFERROR(__xludf.DUMMYFUNCTION("""COMPUTED_VALUE"""),"Mary Abela")</f>
        <v>Mary Abela</v>
      </c>
      <c r="T897" s="123" t="str">
        <f ca="1">IFERROR(__xludf.DUMMYFUNCTION("""COMPUTED_VALUE"""),"Will Dallas")</f>
        <v>Will Dallas</v>
      </c>
    </row>
    <row r="898" spans="1:20" ht="13.8">
      <c r="A898" s="118" t="str">
        <f ca="1">IFERROR(__xludf.DUMMYFUNCTION("""COMPUTED_VALUE"""),"HSC")</f>
        <v>HSC</v>
      </c>
      <c r="B898" s="119" t="str">
        <f ca="1">IFERROR(__xludf.DUMMYFUNCTION("""COMPUTED_VALUE"""),"Boyang Ma")</f>
        <v>Boyang Ma</v>
      </c>
      <c r="C898" s="118">
        <f ca="1">IFERROR(__xludf.DUMMYFUNCTION("""COMPUTED_VALUE"""),12)</f>
        <v>12</v>
      </c>
      <c r="D898" s="118" t="str">
        <f ca="1">IFERROR(__xludf.DUMMYFUNCTION("""COMPUTED_VALUE"""),"G")</f>
        <v>G</v>
      </c>
      <c r="E898" s="118" t="str">
        <f ca="1">IFERROR(__xludf.DUMMYFUNCTION("""COMPUTED_VALUE"""),"J")</f>
        <v>J</v>
      </c>
      <c r="F898" s="118" t="str">
        <f ca="1">IFERROR(__xludf.DUMMYFUNCTION("""COMPUTED_VALUE"""),"I")</f>
        <v>I</v>
      </c>
      <c r="G898" s="118">
        <f ca="1">IFERROR(__xludf.DUMMYFUNCTION("""COMPUTED_VALUE"""),8)</f>
        <v>8</v>
      </c>
      <c r="H898" s="118" t="str">
        <f ca="1">IFERROR(__xludf.DUMMYFUNCTION("""COMPUTED_VALUE"""),"HSC")</f>
        <v>HSC</v>
      </c>
      <c r="I898" s="118">
        <f ca="1">IFERROR(__xludf.DUMMYFUNCTION("""COMPUTED_VALUE"""),6)</f>
        <v>6</v>
      </c>
      <c r="J898" s="118">
        <f ca="1">IFERROR(__xludf.DUMMYFUNCTION("""COMPUTED_VALUE"""),1)</f>
        <v>1</v>
      </c>
      <c r="K898" s="120"/>
      <c r="L898" s="121"/>
      <c r="M898" s="120"/>
      <c r="N898" s="121"/>
      <c r="O898" s="120"/>
      <c r="P898" s="122"/>
      <c r="Q898" s="123" t="str">
        <f ca="1">IFERROR(__xludf.DUMMYFUNCTION("""COMPUTED_VALUE"""),"Swara Vadlamani")</f>
        <v>Swara Vadlamani</v>
      </c>
      <c r="R898" s="123"/>
      <c r="S898" s="123" t="str">
        <f ca="1">IFERROR(__xludf.DUMMYFUNCTION("""COMPUTED_VALUE"""),"Mary Bairstow")</f>
        <v>Mary Bairstow</v>
      </c>
      <c r="T898" s="123" t="str">
        <f ca="1">IFERROR(__xludf.DUMMYFUNCTION("""COMPUTED_VALUE"""),"Will Davis")</f>
        <v>Will Davis</v>
      </c>
    </row>
    <row r="899" spans="1:20" ht="13.8">
      <c r="A899" s="118" t="str">
        <f ca="1">IFERROR(__xludf.DUMMYFUNCTION("""COMPUTED_VALUE"""),"HSC")</f>
        <v>HSC</v>
      </c>
      <c r="B899" s="119" t="str">
        <f ca="1">IFERROR(__xludf.DUMMYFUNCTION("""COMPUTED_VALUE"""),"Elise Wise")</f>
        <v>Elise Wise</v>
      </c>
      <c r="C899" s="118">
        <f ca="1">IFERROR(__xludf.DUMMYFUNCTION("""COMPUTED_VALUE"""),12)</f>
        <v>12</v>
      </c>
      <c r="D899" s="118" t="str">
        <f ca="1">IFERROR(__xludf.DUMMYFUNCTION("""COMPUTED_VALUE"""),"G")</f>
        <v>G</v>
      </c>
      <c r="E899" s="118" t="str">
        <f ca="1">IFERROR(__xludf.DUMMYFUNCTION("""COMPUTED_VALUE"""),"J")</f>
        <v>J</v>
      </c>
      <c r="F899" s="118" t="str">
        <f ca="1">IFERROR(__xludf.DUMMYFUNCTION("""COMPUTED_VALUE"""),"I")</f>
        <v>I</v>
      </c>
      <c r="G899" s="118">
        <f ca="1">IFERROR(__xludf.DUMMYFUNCTION("""COMPUTED_VALUE"""),8)</f>
        <v>8</v>
      </c>
      <c r="H899" s="118" t="str">
        <f ca="1">IFERROR(__xludf.DUMMYFUNCTION("""COMPUTED_VALUE"""),"HSC")</f>
        <v>HSC</v>
      </c>
      <c r="I899" s="118">
        <f ca="1">IFERROR(__xludf.DUMMYFUNCTION("""COMPUTED_VALUE"""),6)</f>
        <v>6</v>
      </c>
      <c r="J899" s="118">
        <f ca="1">IFERROR(__xludf.DUMMYFUNCTION("""COMPUTED_VALUE"""),3)</f>
        <v>3</v>
      </c>
      <c r="K899" s="120">
        <f ca="1">IFERROR(__xludf.DUMMYFUNCTION("""COMPUTED_VALUE"""),75.1)</f>
        <v>75.099999999999994</v>
      </c>
      <c r="L899" s="121"/>
      <c r="M899" s="120">
        <f ca="1">IFERROR(__xludf.DUMMYFUNCTION("""COMPUTED_VALUE"""),72.05)</f>
        <v>72.05</v>
      </c>
      <c r="N899" s="121"/>
      <c r="O899" s="120">
        <f ca="1">IFERROR(__xludf.DUMMYFUNCTION("""COMPUTED_VALUE"""),75.1)</f>
        <v>75.099999999999994</v>
      </c>
      <c r="P899" s="122"/>
      <c r="Q899" s="123" t="str">
        <f ca="1">IFERROR(__xludf.DUMMYFUNCTION("""COMPUTED_VALUE"""),"Sydney Lawyer")</f>
        <v>Sydney Lawyer</v>
      </c>
      <c r="R899" s="123"/>
      <c r="S899" s="123" t="str">
        <f ca="1">IFERROR(__xludf.DUMMYFUNCTION("""COMPUTED_VALUE"""),"Mary Brooks Simoneaux")</f>
        <v>Mary Brooks Simoneaux</v>
      </c>
      <c r="T899" s="123" t="str">
        <f ca="1">IFERROR(__xludf.DUMMYFUNCTION("""COMPUTED_VALUE"""),"Will Evett")</f>
        <v>Will Evett</v>
      </c>
    </row>
    <row r="900" spans="1:20" ht="13.8">
      <c r="A900" s="118" t="str">
        <f ca="1">IFERROR(__xludf.DUMMYFUNCTION("""COMPUTED_VALUE"""),"HSC")</f>
        <v>HSC</v>
      </c>
      <c r="B900" s="119" t="str">
        <f ca="1">IFERROR(__xludf.DUMMYFUNCTION("""COMPUTED_VALUE"""),"Kate Gentry")</f>
        <v>Kate Gentry</v>
      </c>
      <c r="C900" s="118">
        <f ca="1">IFERROR(__xludf.DUMMYFUNCTION("""COMPUTED_VALUE"""),12)</f>
        <v>12</v>
      </c>
      <c r="D900" s="118" t="str">
        <f ca="1">IFERROR(__xludf.DUMMYFUNCTION("""COMPUTED_VALUE"""),"G")</f>
        <v>G</v>
      </c>
      <c r="E900" s="118" t="str">
        <f ca="1">IFERROR(__xludf.DUMMYFUNCTION("""COMPUTED_VALUE"""),"J")</f>
        <v>J</v>
      </c>
      <c r="F900" s="118" t="str">
        <f ca="1">IFERROR(__xludf.DUMMYFUNCTION("""COMPUTED_VALUE"""),"I")</f>
        <v>I</v>
      </c>
      <c r="G900" s="118">
        <f ca="1">IFERROR(__xludf.DUMMYFUNCTION("""COMPUTED_VALUE"""),8)</f>
        <v>8</v>
      </c>
      <c r="H900" s="118" t="str">
        <f ca="1">IFERROR(__xludf.DUMMYFUNCTION("""COMPUTED_VALUE"""),"HSC")</f>
        <v>HSC</v>
      </c>
      <c r="I900" s="118">
        <f ca="1">IFERROR(__xludf.DUMMYFUNCTION("""COMPUTED_VALUE"""),6)</f>
        <v>6</v>
      </c>
      <c r="J900" s="118">
        <f ca="1">IFERROR(__xludf.DUMMYFUNCTION("""COMPUTED_VALUE"""),4)</f>
        <v>4</v>
      </c>
      <c r="K900" s="120">
        <f ca="1">IFERROR(__xludf.DUMMYFUNCTION("""COMPUTED_VALUE"""),97.75)</f>
        <v>97.75</v>
      </c>
      <c r="L900" s="121"/>
      <c r="M900" s="120">
        <f ca="1">IFERROR(__xludf.DUMMYFUNCTION("""COMPUTED_VALUE"""),92.85)</f>
        <v>92.85</v>
      </c>
      <c r="N900" s="121"/>
      <c r="O900" s="120">
        <f ca="1">IFERROR(__xludf.DUMMYFUNCTION("""COMPUTED_VALUE"""),97.55)</f>
        <v>97.55</v>
      </c>
      <c r="P900" s="122"/>
      <c r="Q900" s="123" t="str">
        <f ca="1">IFERROR(__xludf.DUMMYFUNCTION("""COMPUTED_VALUE"""),"Sydney Magnuson")</f>
        <v>Sydney Magnuson</v>
      </c>
      <c r="R900" s="123"/>
      <c r="S900" s="123" t="str">
        <f ca="1">IFERROR(__xludf.DUMMYFUNCTION("""COMPUTED_VALUE"""),"Matilda Balzer")</f>
        <v>Matilda Balzer</v>
      </c>
      <c r="T900" s="123" t="str">
        <f ca="1">IFERROR(__xludf.DUMMYFUNCTION("""COMPUTED_VALUE"""),"Will Feeney")</f>
        <v>Will Feeney</v>
      </c>
    </row>
    <row r="901" spans="1:20" ht="13.8">
      <c r="A901" s="118" t="str">
        <f ca="1">IFERROR(__xludf.DUMMYFUNCTION("""COMPUTED_VALUE"""),"HSC")</f>
        <v>HSC</v>
      </c>
      <c r="B901" s="119" t="str">
        <f ca="1">IFERROR(__xludf.DUMMYFUNCTION("""COMPUTED_VALUE"""),"Margaret Franker")</f>
        <v>Margaret Franker</v>
      </c>
      <c r="C901" s="118">
        <f ca="1">IFERROR(__xludf.DUMMYFUNCTION("""COMPUTED_VALUE"""),12)</f>
        <v>12</v>
      </c>
      <c r="D901" s="118" t="str">
        <f ca="1">IFERROR(__xludf.DUMMYFUNCTION("""COMPUTED_VALUE"""),"G")</f>
        <v>G</v>
      </c>
      <c r="E901" s="118" t="str">
        <f ca="1">IFERROR(__xludf.DUMMYFUNCTION("""COMPUTED_VALUE"""),"J")</f>
        <v>J</v>
      </c>
      <c r="F901" s="118" t="str">
        <f ca="1">IFERROR(__xludf.DUMMYFUNCTION("""COMPUTED_VALUE"""),"I")</f>
        <v>I</v>
      </c>
      <c r="G901" s="118">
        <f ca="1">IFERROR(__xludf.DUMMYFUNCTION("""COMPUTED_VALUE"""),8)</f>
        <v>8</v>
      </c>
      <c r="H901" s="118" t="str">
        <f ca="1">IFERROR(__xludf.DUMMYFUNCTION("""COMPUTED_VALUE"""),"HSC")</f>
        <v>HSC</v>
      </c>
      <c r="I901" s="118">
        <f ca="1">IFERROR(__xludf.DUMMYFUNCTION("""COMPUTED_VALUE"""),6)</f>
        <v>6</v>
      </c>
      <c r="J901" s="118">
        <f ca="1">IFERROR(__xludf.DUMMYFUNCTION("""COMPUTED_VALUE"""),0)</f>
        <v>0</v>
      </c>
      <c r="K901" s="120"/>
      <c r="L901" s="121"/>
      <c r="M901" s="120"/>
      <c r="N901" s="121"/>
      <c r="O901" s="120"/>
      <c r="P901" s="122"/>
      <c r="Q901" s="123" t="str">
        <f ca="1">IFERROR(__xludf.DUMMYFUNCTION("""COMPUTED_VALUE"""),"Sydney White")</f>
        <v>Sydney White</v>
      </c>
      <c r="R901" s="123"/>
      <c r="S901" s="123" t="str">
        <f ca="1">IFERROR(__xludf.DUMMYFUNCTION("""COMPUTED_VALUE"""),"Matilda Duffy")</f>
        <v>Matilda Duffy</v>
      </c>
      <c r="T901" s="123" t="str">
        <f ca="1">IFERROR(__xludf.DUMMYFUNCTION("""COMPUTED_VALUE"""),"Will Fletcher")</f>
        <v>Will Fletcher</v>
      </c>
    </row>
    <row r="902" spans="1:20" ht="13.8">
      <c r="A902" s="118" t="str">
        <f ca="1">IFERROR(__xludf.DUMMYFUNCTION("""COMPUTED_VALUE"""),"HSC")</f>
        <v>HSC</v>
      </c>
      <c r="B902" s="119" t="str">
        <f ca="1">IFERROR(__xludf.DUMMYFUNCTION("""COMPUTED_VALUE"""),"Meera Bansal")</f>
        <v>Meera Bansal</v>
      </c>
      <c r="C902" s="118">
        <f ca="1">IFERROR(__xludf.DUMMYFUNCTION("""COMPUTED_VALUE"""),12)</f>
        <v>12</v>
      </c>
      <c r="D902" s="118" t="str">
        <f ca="1">IFERROR(__xludf.DUMMYFUNCTION("""COMPUTED_VALUE"""),"G")</f>
        <v>G</v>
      </c>
      <c r="E902" s="118" t="str">
        <f ca="1">IFERROR(__xludf.DUMMYFUNCTION("""COMPUTED_VALUE"""),"J")</f>
        <v>J</v>
      </c>
      <c r="F902" s="118" t="str">
        <f ca="1">IFERROR(__xludf.DUMMYFUNCTION("""COMPUTED_VALUE"""),"I")</f>
        <v>I</v>
      </c>
      <c r="G902" s="118">
        <f ca="1">IFERROR(__xludf.DUMMYFUNCTION("""COMPUTED_VALUE"""),8)</f>
        <v>8</v>
      </c>
      <c r="H902" s="118" t="str">
        <f ca="1">IFERROR(__xludf.DUMMYFUNCTION("""COMPUTED_VALUE"""),"HSC")</f>
        <v>HSC</v>
      </c>
      <c r="I902" s="118">
        <f ca="1">IFERROR(__xludf.DUMMYFUNCTION("""COMPUTED_VALUE"""),6)</f>
        <v>6</v>
      </c>
      <c r="J902" s="118">
        <f ca="1">IFERROR(__xludf.DUMMYFUNCTION("""COMPUTED_VALUE"""),0)</f>
        <v>0</v>
      </c>
      <c r="K902" s="120"/>
      <c r="L902" s="121"/>
      <c r="M902" s="120"/>
      <c r="N902" s="121"/>
      <c r="O902" s="120"/>
      <c r="P902" s="122"/>
      <c r="Q902" s="123" t="str">
        <f ca="1">IFERROR(__xludf.DUMMYFUNCTION("""COMPUTED_VALUE"""),"Tabby Shimooka")</f>
        <v>Tabby Shimooka</v>
      </c>
      <c r="R902" s="123"/>
      <c r="S902" s="123" t="str">
        <f ca="1">IFERROR(__xludf.DUMMYFUNCTION("""COMPUTED_VALUE"""),"Matilda Kotania")</f>
        <v>Matilda Kotania</v>
      </c>
      <c r="T902" s="123" t="str">
        <f ca="1">IFERROR(__xludf.DUMMYFUNCTION("""COMPUTED_VALUE"""),"Will Lee")</f>
        <v>Will Lee</v>
      </c>
    </row>
    <row r="903" spans="1:20" ht="13.8">
      <c r="A903" s="118" t="str">
        <f ca="1">IFERROR(__xludf.DUMMYFUNCTION("""COMPUTED_VALUE"""),"HSC")</f>
        <v>HSC</v>
      </c>
      <c r="B903" s="119" t="str">
        <f ca="1">IFERROR(__xludf.DUMMYFUNCTION("""COMPUTED_VALUE"""),"Radha Bansal")</f>
        <v>Radha Bansal</v>
      </c>
      <c r="C903" s="118">
        <f ca="1">IFERROR(__xludf.DUMMYFUNCTION("""COMPUTED_VALUE"""),11)</f>
        <v>11</v>
      </c>
      <c r="D903" s="118" t="str">
        <f ca="1">IFERROR(__xludf.DUMMYFUNCTION("""COMPUTED_VALUE"""),"G")</f>
        <v>G</v>
      </c>
      <c r="E903" s="118" t="str">
        <f ca="1">IFERROR(__xludf.DUMMYFUNCTION("""COMPUTED_VALUE"""),"J")</f>
        <v>J</v>
      </c>
      <c r="F903" s="118" t="str">
        <f ca="1">IFERROR(__xludf.DUMMYFUNCTION("""COMPUTED_VALUE"""),"I")</f>
        <v>I</v>
      </c>
      <c r="G903" s="118">
        <f ca="1">IFERROR(__xludf.DUMMYFUNCTION("""COMPUTED_VALUE"""),8)</f>
        <v>8</v>
      </c>
      <c r="H903" s="118" t="str">
        <f ca="1">IFERROR(__xludf.DUMMYFUNCTION("""COMPUTED_VALUE"""),"HSC")</f>
        <v>HSC</v>
      </c>
      <c r="I903" s="118">
        <f ca="1">IFERROR(__xludf.DUMMYFUNCTION("""COMPUTED_VALUE"""),6)</f>
        <v>6</v>
      </c>
      <c r="J903" s="118">
        <f ca="1">IFERROR(__xludf.DUMMYFUNCTION("""COMPUTED_VALUE"""),0)</f>
        <v>0</v>
      </c>
      <c r="K903" s="120"/>
      <c r="L903" s="121"/>
      <c r="M903" s="120"/>
      <c r="N903" s="121"/>
      <c r="O903" s="120"/>
      <c r="P903" s="122"/>
      <c r="Q903" s="123" t="str">
        <f ca="1">IFERROR(__xludf.DUMMYFUNCTION("""COMPUTED_VALUE"""),"Tamar Davitian")</f>
        <v>Tamar Davitian</v>
      </c>
      <c r="R903" s="123"/>
      <c r="S903" s="123" t="str">
        <f ca="1">IFERROR(__xludf.DUMMYFUNCTION("""COMPUTED_VALUE"""),"Mattie Lechtman")</f>
        <v>Mattie Lechtman</v>
      </c>
      <c r="T903" s="123" t="str">
        <f ca="1">IFERROR(__xludf.DUMMYFUNCTION("""COMPUTED_VALUE"""),"Will McCool")</f>
        <v>Will McCool</v>
      </c>
    </row>
    <row r="904" spans="1:20" ht="13.8">
      <c r="A904" s="118" t="str">
        <f ca="1">IFERROR(__xludf.DUMMYFUNCTION("""COMPUTED_VALUE"""),"HSC")</f>
        <v>HSC</v>
      </c>
      <c r="B904" s="119" t="str">
        <f ca="1">IFERROR(__xludf.DUMMYFUNCTION("""COMPUTED_VALUE"""),"Zhanna Doak")</f>
        <v>Zhanna Doak</v>
      </c>
      <c r="C904" s="118">
        <f ca="1">IFERROR(__xludf.DUMMYFUNCTION("""COMPUTED_VALUE"""),11)</f>
        <v>11</v>
      </c>
      <c r="D904" s="118" t="str">
        <f ca="1">IFERROR(__xludf.DUMMYFUNCTION("""COMPUTED_VALUE"""),"G")</f>
        <v>G</v>
      </c>
      <c r="E904" s="118" t="str">
        <f ca="1">IFERROR(__xludf.DUMMYFUNCTION("""COMPUTED_VALUE"""),"J")</f>
        <v>J</v>
      </c>
      <c r="F904" s="118" t="str">
        <f ca="1">IFERROR(__xludf.DUMMYFUNCTION("""COMPUTED_VALUE"""),"I")</f>
        <v>I</v>
      </c>
      <c r="G904" s="118">
        <f ca="1">IFERROR(__xludf.DUMMYFUNCTION("""COMPUTED_VALUE"""),8)</f>
        <v>8</v>
      </c>
      <c r="H904" s="118" t="str">
        <f ca="1">IFERROR(__xludf.DUMMYFUNCTION("""COMPUTED_VALUE"""),"HSC")</f>
        <v>HSC</v>
      </c>
      <c r="I904" s="118">
        <f ca="1">IFERROR(__xludf.DUMMYFUNCTION("""COMPUTED_VALUE"""),6)</f>
        <v>6</v>
      </c>
      <c r="J904" s="118">
        <f ca="1">IFERROR(__xludf.DUMMYFUNCTION("""COMPUTED_VALUE"""),0)</f>
        <v>0</v>
      </c>
      <c r="K904" s="120"/>
      <c r="L904" s="121"/>
      <c r="M904" s="120"/>
      <c r="N904" s="121"/>
      <c r="O904" s="120"/>
      <c r="P904" s="122"/>
      <c r="Q904" s="123" t="str">
        <f ca="1">IFERROR(__xludf.DUMMYFUNCTION("""COMPUTED_VALUE"""),"Tanisa Kanchanawanchai")</f>
        <v>Tanisa Kanchanawanchai</v>
      </c>
      <c r="R904" s="123"/>
      <c r="S904" s="123" t="str">
        <f ca="1">IFERROR(__xludf.DUMMYFUNCTION("""COMPUTED_VALUE"""),"Maura Leonard")</f>
        <v>Maura Leonard</v>
      </c>
      <c r="T904" s="123" t="str">
        <f ca="1">IFERROR(__xludf.DUMMYFUNCTION("""COMPUTED_VALUE"""),"Will Miracle")</f>
        <v>Will Miracle</v>
      </c>
    </row>
    <row r="905" spans="1:20" ht="13.8">
      <c r="A905" s="118" t="str">
        <f ca="1">IFERROR(__xludf.DUMMYFUNCTION("""COMPUTED_VALUE"""),"HSC")</f>
        <v>HSC</v>
      </c>
      <c r="B905" s="119" t="str">
        <f ca="1">IFERROR(__xludf.DUMMYFUNCTION("""COMPUTED_VALUE"""),"Connor Schilling")</f>
        <v>Connor Schilling</v>
      </c>
      <c r="C905" s="118">
        <f ca="1">IFERROR(__xludf.DUMMYFUNCTION("""COMPUTED_VALUE"""),11)</f>
        <v>11</v>
      </c>
      <c r="D905" s="118" t="str">
        <f ca="1">IFERROR(__xludf.DUMMYFUNCTION("""COMPUTED_VALUE"""),"B")</f>
        <v>B</v>
      </c>
      <c r="E905" s="118" t="str">
        <f ca="1">IFERROR(__xludf.DUMMYFUNCTION("""COMPUTED_VALUE"""),"J")</f>
        <v>J</v>
      </c>
      <c r="F905" s="118" t="str">
        <f ca="1">IFERROR(__xludf.DUMMYFUNCTION("""COMPUTED_VALUE"""),"I")</f>
        <v>I</v>
      </c>
      <c r="G905" s="118">
        <f ca="1">IFERROR(__xludf.DUMMYFUNCTION("""COMPUTED_VALUE"""),8)</f>
        <v>8</v>
      </c>
      <c r="H905" s="118" t="str">
        <f ca="1">IFERROR(__xludf.DUMMYFUNCTION("""COMPUTED_VALUE"""),"HSC")</f>
        <v>HSC</v>
      </c>
      <c r="I905" s="118">
        <f ca="1">IFERROR(__xludf.DUMMYFUNCTION("""COMPUTED_VALUE"""),7)</f>
        <v>7</v>
      </c>
      <c r="J905" s="118">
        <f ca="1">IFERROR(__xludf.DUMMYFUNCTION("""COMPUTED_VALUE"""),0)</f>
        <v>0</v>
      </c>
      <c r="K905" s="120"/>
      <c r="L905" s="121"/>
      <c r="M905" s="120"/>
      <c r="N905" s="121"/>
      <c r="O905" s="120"/>
      <c r="P905" s="122"/>
      <c r="Q905" s="123" t="str">
        <f ca="1">IFERROR(__xludf.DUMMYFUNCTION("""COMPUTED_VALUE"""),"Tara Farid")</f>
        <v>Tara Farid</v>
      </c>
      <c r="R905" s="123"/>
      <c r="S905" s="123" t="str">
        <f ca="1">IFERROR(__xludf.DUMMYFUNCTION("""COMPUTED_VALUE"""),"Maya Fritz")</f>
        <v>Maya Fritz</v>
      </c>
      <c r="T905" s="123" t="str">
        <f ca="1">IFERROR(__xludf.DUMMYFUNCTION("""COMPUTED_VALUE"""),"Will Townes")</f>
        <v>Will Townes</v>
      </c>
    </row>
    <row r="906" spans="1:20" ht="13.8">
      <c r="A906" s="118" t="str">
        <f ca="1">IFERROR(__xludf.DUMMYFUNCTION("""COMPUTED_VALUE"""),"HSC")</f>
        <v>HSC</v>
      </c>
      <c r="B906" s="119" t="str">
        <f ca="1">IFERROR(__xludf.DUMMYFUNCTION("""COMPUTED_VALUE"""),"Nader Tabandeh")</f>
        <v>Nader Tabandeh</v>
      </c>
      <c r="C906" s="118">
        <f ca="1">IFERROR(__xludf.DUMMYFUNCTION("""COMPUTED_VALUE"""),12)</f>
        <v>12</v>
      </c>
      <c r="D906" s="118" t="str">
        <f ca="1">IFERROR(__xludf.DUMMYFUNCTION("""COMPUTED_VALUE"""),"B")</f>
        <v>B</v>
      </c>
      <c r="E906" s="118" t="str">
        <f ca="1">IFERROR(__xludf.DUMMYFUNCTION("""COMPUTED_VALUE"""),"J")</f>
        <v>J</v>
      </c>
      <c r="F906" s="118" t="str">
        <f ca="1">IFERROR(__xludf.DUMMYFUNCTION("""COMPUTED_VALUE"""),"I")</f>
        <v>I</v>
      </c>
      <c r="G906" s="118">
        <f ca="1">IFERROR(__xludf.DUMMYFUNCTION("""COMPUTED_VALUE"""),8)</f>
        <v>8</v>
      </c>
      <c r="H906" s="118" t="str">
        <f ca="1">IFERROR(__xludf.DUMMYFUNCTION("""COMPUTED_VALUE"""),"HSC")</f>
        <v>HSC</v>
      </c>
      <c r="I906" s="118">
        <f ca="1">IFERROR(__xludf.DUMMYFUNCTION("""COMPUTED_VALUE"""),7)</f>
        <v>7</v>
      </c>
      <c r="J906" s="118">
        <f ca="1">IFERROR(__xludf.DUMMYFUNCTION("""COMPUTED_VALUE"""),0)</f>
        <v>0</v>
      </c>
      <c r="K906" s="120"/>
      <c r="L906" s="121"/>
      <c r="M906" s="120"/>
      <c r="N906" s="121"/>
      <c r="O906" s="120"/>
      <c r="P906" s="122"/>
      <c r="Q906" s="123" t="str">
        <f ca="1">IFERROR(__xludf.DUMMYFUNCTION("""COMPUTED_VALUE"""),"Tasanee Verasin")</f>
        <v>Tasanee Verasin</v>
      </c>
      <c r="R906" s="123"/>
      <c r="S906" s="123" t="str">
        <f ca="1">IFERROR(__xludf.DUMMYFUNCTION("""COMPUTED_VALUE"""),"Maya Orlova")</f>
        <v>Maya Orlova</v>
      </c>
      <c r="T906" s="123" t="str">
        <f ca="1">IFERROR(__xludf.DUMMYFUNCTION("""COMPUTED_VALUE"""),"Will Winslow")</f>
        <v>Will Winslow</v>
      </c>
    </row>
    <row r="907" spans="1:20" ht="13.8">
      <c r="A907" s="118" t="str">
        <f ca="1">IFERROR(__xludf.DUMMYFUNCTION("""COMPUTED_VALUE"""),"HSC")</f>
        <v>HSC</v>
      </c>
      <c r="B907" s="119" t="str">
        <f ca="1">IFERROR(__xludf.DUMMYFUNCTION("""COMPUTED_VALUE"""),"William Gentry")</f>
        <v>William Gentry</v>
      </c>
      <c r="C907" s="118">
        <f ca="1">IFERROR(__xludf.DUMMYFUNCTION("""COMPUTED_VALUE"""),12)</f>
        <v>12</v>
      </c>
      <c r="D907" s="118" t="str">
        <f ca="1">IFERROR(__xludf.DUMMYFUNCTION("""COMPUTED_VALUE"""),"B")</f>
        <v>B</v>
      </c>
      <c r="E907" s="118" t="str">
        <f ca="1">IFERROR(__xludf.DUMMYFUNCTION("""COMPUTED_VALUE"""),"J")</f>
        <v>J</v>
      </c>
      <c r="F907" s="118" t="str">
        <f ca="1">IFERROR(__xludf.DUMMYFUNCTION("""COMPUTED_VALUE"""),"I")</f>
        <v>I</v>
      </c>
      <c r="G907" s="118">
        <f ca="1">IFERROR(__xludf.DUMMYFUNCTION("""COMPUTED_VALUE"""),8)</f>
        <v>8</v>
      </c>
      <c r="H907" s="118" t="str">
        <f ca="1">IFERROR(__xludf.DUMMYFUNCTION("""COMPUTED_VALUE"""),"HSC")</f>
        <v>HSC</v>
      </c>
      <c r="I907" s="118">
        <f ca="1">IFERROR(__xludf.DUMMYFUNCTION("""COMPUTED_VALUE"""),7)</f>
        <v>7</v>
      </c>
      <c r="J907" s="118">
        <f ca="1">IFERROR(__xludf.DUMMYFUNCTION("""COMPUTED_VALUE"""),3)</f>
        <v>3</v>
      </c>
      <c r="K907" s="120">
        <f ca="1">IFERROR(__xludf.DUMMYFUNCTION("""COMPUTED_VALUE"""),56.4)</f>
        <v>56.4</v>
      </c>
      <c r="L907" s="121"/>
      <c r="M907" s="120"/>
      <c r="N907" s="121"/>
      <c r="O907" s="120">
        <f ca="1">IFERROR(__xludf.DUMMYFUNCTION("""COMPUTED_VALUE"""),56.4)</f>
        <v>56.4</v>
      </c>
      <c r="P907" s="122"/>
      <c r="Q907" s="123" t="str">
        <f ca="1">IFERROR(__xludf.DUMMYFUNCTION("""COMPUTED_VALUE"""),"Taylor Kluger")</f>
        <v>Taylor Kluger</v>
      </c>
      <c r="R907" s="123"/>
      <c r="S907" s="123" t="str">
        <f ca="1">IFERROR(__xludf.DUMMYFUNCTION("""COMPUTED_VALUE"""),"Maya Robertson")</f>
        <v>Maya Robertson</v>
      </c>
      <c r="T907" s="123" t="str">
        <f ca="1">IFERROR(__xludf.DUMMYFUNCTION("""COMPUTED_VALUE"""),"William Beck")</f>
        <v>William Beck</v>
      </c>
    </row>
    <row r="908" spans="1:20" ht="13.8">
      <c r="A908" s="118" t="str">
        <f ca="1">IFERROR(__xludf.DUMMYFUNCTION("""COMPUTED_VALUE"""),"HSC")</f>
        <v>HSC</v>
      </c>
      <c r="B908" s="119" t="str">
        <f ca="1">IFERROR(__xludf.DUMMYFUNCTION("""COMPUTED_VALUE"""),"William Pickard")</f>
        <v>William Pickard</v>
      </c>
      <c r="C908" s="118">
        <f ca="1">IFERROR(__xludf.DUMMYFUNCTION("""COMPUTED_VALUE"""),11)</f>
        <v>11</v>
      </c>
      <c r="D908" s="118" t="str">
        <f ca="1">IFERROR(__xludf.DUMMYFUNCTION("""COMPUTED_VALUE"""),"B")</f>
        <v>B</v>
      </c>
      <c r="E908" s="118" t="str">
        <f ca="1">IFERROR(__xludf.DUMMYFUNCTION("""COMPUTED_VALUE"""),"J")</f>
        <v>J</v>
      </c>
      <c r="F908" s="118" t="str">
        <f ca="1">IFERROR(__xludf.DUMMYFUNCTION("""COMPUTED_VALUE"""),"I")</f>
        <v>I</v>
      </c>
      <c r="G908" s="118">
        <f ca="1">IFERROR(__xludf.DUMMYFUNCTION("""COMPUTED_VALUE"""),8)</f>
        <v>8</v>
      </c>
      <c r="H908" s="118" t="str">
        <f ca="1">IFERROR(__xludf.DUMMYFUNCTION("""COMPUTED_VALUE"""),"HSC")</f>
        <v>HSC</v>
      </c>
      <c r="I908" s="118">
        <f ca="1">IFERROR(__xludf.DUMMYFUNCTION("""COMPUTED_VALUE"""),7)</f>
        <v>7</v>
      </c>
      <c r="J908" s="118">
        <f ca="1">IFERROR(__xludf.DUMMYFUNCTION("""COMPUTED_VALUE"""),0)</f>
        <v>0</v>
      </c>
      <c r="K908" s="120"/>
      <c r="L908" s="121"/>
      <c r="M908" s="120"/>
      <c r="N908" s="121"/>
      <c r="O908" s="120"/>
      <c r="P908" s="122"/>
      <c r="Q908" s="123" t="str">
        <f ca="1">IFERROR(__xludf.DUMMYFUNCTION("""COMPUTED_VALUE"""),"Taylor Lehmann")</f>
        <v>Taylor Lehmann</v>
      </c>
      <c r="R908" s="123"/>
      <c r="S908" s="123" t="str">
        <f ca="1">IFERROR(__xludf.DUMMYFUNCTION("""COMPUTED_VALUE"""),"Maya Truitt")</f>
        <v>Maya Truitt</v>
      </c>
      <c r="T908" s="123" t="str">
        <f ca="1">IFERROR(__xludf.DUMMYFUNCTION("""COMPUTED_VALUE"""),"William Camel")</f>
        <v>William Camel</v>
      </c>
    </row>
    <row r="909" spans="1:20" ht="13.8">
      <c r="A909" s="118" t="str">
        <f ca="1">IFERROR(__xludf.DUMMYFUNCTION("""COMPUTED_VALUE"""),"HSC")</f>
        <v>HSC</v>
      </c>
      <c r="B909" s="119" t="str">
        <f ca="1">IFERROR(__xludf.DUMMYFUNCTION("""COMPUTED_VALUE"""),"Abby Pickard")</f>
        <v>Abby Pickard</v>
      </c>
      <c r="C909" s="118">
        <f ca="1">IFERROR(__xludf.DUMMYFUNCTION("""COMPUTED_VALUE"""),13)</f>
        <v>13</v>
      </c>
      <c r="D909" s="118" t="str">
        <f ca="1">IFERROR(__xludf.DUMMYFUNCTION("""COMPUTED_VALUE"""),"G")</f>
        <v>G</v>
      </c>
      <c r="E909" s="118" t="str">
        <f ca="1">IFERROR(__xludf.DUMMYFUNCTION("""COMPUTED_VALUE"""),"I")</f>
        <v>I</v>
      </c>
      <c r="F909" s="118" t="str">
        <f ca="1">IFERROR(__xludf.DUMMYFUNCTION("""COMPUTED_VALUE"""),"S")</f>
        <v>S</v>
      </c>
      <c r="G909" s="118">
        <f ca="1">IFERROR(__xludf.DUMMYFUNCTION("""COMPUTED_VALUE"""),8)</f>
        <v>8</v>
      </c>
      <c r="H909" s="118" t="str">
        <f ca="1">IFERROR(__xludf.DUMMYFUNCTION("""COMPUTED_VALUE"""),"HSC")</f>
        <v>HSC</v>
      </c>
      <c r="I909" s="118">
        <f ca="1">IFERROR(__xludf.DUMMYFUNCTION("""COMPUTED_VALUE"""),8)</f>
        <v>8</v>
      </c>
      <c r="J909" s="118">
        <f ca="1">IFERROR(__xludf.DUMMYFUNCTION("""COMPUTED_VALUE"""),4)</f>
        <v>4</v>
      </c>
      <c r="K909" s="120">
        <f ca="1">IFERROR(__xludf.DUMMYFUNCTION("""COMPUTED_VALUE"""),113.4)</f>
        <v>113.4</v>
      </c>
      <c r="L909" s="121"/>
      <c r="M909" s="120">
        <f ca="1">IFERROR(__xludf.DUMMYFUNCTION("""COMPUTED_VALUE"""),105.2)</f>
        <v>105.2</v>
      </c>
      <c r="N909" s="121"/>
      <c r="O909" s="120">
        <f ca="1">IFERROR(__xludf.DUMMYFUNCTION("""COMPUTED_VALUE"""),113.4)</f>
        <v>113.4</v>
      </c>
      <c r="P909" s="122"/>
      <c r="Q909" s="123" t="str">
        <f ca="1">IFERROR(__xludf.DUMMYFUNCTION("""COMPUTED_VALUE"""),"Taylor Randazzo")</f>
        <v>Taylor Randazzo</v>
      </c>
      <c r="R909" s="123"/>
      <c r="S909" s="123" t="str">
        <f ca="1">IFERROR(__xludf.DUMMYFUNCTION("""COMPUTED_VALUE"""),"Maya Weidner")</f>
        <v>Maya Weidner</v>
      </c>
      <c r="T909" s="123" t="str">
        <f ca="1">IFERROR(__xludf.DUMMYFUNCTION("""COMPUTED_VALUE"""),"William Cravens")</f>
        <v>William Cravens</v>
      </c>
    </row>
    <row r="910" spans="1:20" ht="13.8">
      <c r="A910" s="118" t="str">
        <f ca="1">IFERROR(__xludf.DUMMYFUNCTION("""COMPUTED_VALUE"""),"HSC")</f>
        <v>HSC</v>
      </c>
      <c r="B910" s="119" t="str">
        <f ca="1">IFERROR(__xludf.DUMMYFUNCTION("""COMPUTED_VALUE"""),"Anna Pereira Kim")</f>
        <v>Anna Pereira Kim</v>
      </c>
      <c r="C910" s="118">
        <f ca="1">IFERROR(__xludf.DUMMYFUNCTION("""COMPUTED_VALUE"""),13)</f>
        <v>13</v>
      </c>
      <c r="D910" s="118" t="str">
        <f ca="1">IFERROR(__xludf.DUMMYFUNCTION("""COMPUTED_VALUE"""),"G")</f>
        <v>G</v>
      </c>
      <c r="E910" s="118" t="str">
        <f ca="1">IFERROR(__xludf.DUMMYFUNCTION("""COMPUTED_VALUE"""),"I")</f>
        <v>I</v>
      </c>
      <c r="F910" s="118" t="str">
        <f ca="1">IFERROR(__xludf.DUMMYFUNCTION("""COMPUTED_VALUE"""),"S")</f>
        <v>S</v>
      </c>
      <c r="G910" s="118">
        <f ca="1">IFERROR(__xludf.DUMMYFUNCTION("""COMPUTED_VALUE"""),8)</f>
        <v>8</v>
      </c>
      <c r="H910" s="118" t="str">
        <f ca="1">IFERROR(__xludf.DUMMYFUNCTION("""COMPUTED_VALUE"""),"HSC")</f>
        <v>HSC</v>
      </c>
      <c r="I910" s="118">
        <f ca="1">IFERROR(__xludf.DUMMYFUNCTION("""COMPUTED_VALUE"""),8)</f>
        <v>8</v>
      </c>
      <c r="J910" s="118">
        <f ca="1">IFERROR(__xludf.DUMMYFUNCTION("""COMPUTED_VALUE"""),4)</f>
        <v>4</v>
      </c>
      <c r="K910" s="120">
        <f ca="1">IFERROR(__xludf.DUMMYFUNCTION("""COMPUTED_VALUE"""),107.2)</f>
        <v>107.2</v>
      </c>
      <c r="L910" s="121"/>
      <c r="M910" s="120">
        <f ca="1">IFERROR(__xludf.DUMMYFUNCTION("""COMPUTED_VALUE"""),107.2)</f>
        <v>107.2</v>
      </c>
      <c r="N910" s="121"/>
      <c r="O910" s="120"/>
      <c r="P910" s="122"/>
      <c r="Q910" s="123" t="str">
        <f ca="1">IFERROR(__xludf.DUMMYFUNCTION("""COMPUTED_VALUE"""),"Taylor Smith")</f>
        <v>Taylor Smith</v>
      </c>
      <c r="R910" s="123"/>
      <c r="S910" s="123" t="str">
        <f ca="1">IFERROR(__xludf.DUMMYFUNCTION("""COMPUTED_VALUE"""),"McCauley Masley")</f>
        <v>McCauley Masley</v>
      </c>
      <c r="T910" s="123" t="str">
        <f ca="1">IFERROR(__xludf.DUMMYFUNCTION("""COMPUTED_VALUE"""),"William Erwin")</f>
        <v>William Erwin</v>
      </c>
    </row>
    <row r="911" spans="1:20" ht="13.8">
      <c r="A911" s="118" t="str">
        <f ca="1">IFERROR(__xludf.DUMMYFUNCTION("""COMPUTED_VALUE"""),"HSC")</f>
        <v>HSC</v>
      </c>
      <c r="B911" s="119" t="str">
        <f ca="1">IFERROR(__xludf.DUMMYFUNCTION("""COMPUTED_VALUE"""),"Campbell Kurpiel")</f>
        <v>Campbell Kurpiel</v>
      </c>
      <c r="C911" s="118">
        <f ca="1">IFERROR(__xludf.DUMMYFUNCTION("""COMPUTED_VALUE"""),13)</f>
        <v>13</v>
      </c>
      <c r="D911" s="118" t="str">
        <f ca="1">IFERROR(__xludf.DUMMYFUNCTION("""COMPUTED_VALUE"""),"G")</f>
        <v>G</v>
      </c>
      <c r="E911" s="118" t="str">
        <f ca="1">IFERROR(__xludf.DUMMYFUNCTION("""COMPUTED_VALUE"""),"I")</f>
        <v>I</v>
      </c>
      <c r="F911" s="118" t="str">
        <f ca="1">IFERROR(__xludf.DUMMYFUNCTION("""COMPUTED_VALUE"""),"S")</f>
        <v>S</v>
      </c>
      <c r="G911" s="118">
        <f ca="1">IFERROR(__xludf.DUMMYFUNCTION("""COMPUTED_VALUE"""),8)</f>
        <v>8</v>
      </c>
      <c r="H911" s="118" t="str">
        <f ca="1">IFERROR(__xludf.DUMMYFUNCTION("""COMPUTED_VALUE"""),"HSC")</f>
        <v>HSC</v>
      </c>
      <c r="I911" s="118">
        <f ca="1">IFERROR(__xludf.DUMMYFUNCTION("""COMPUTED_VALUE"""),8)</f>
        <v>8</v>
      </c>
      <c r="J911" s="118">
        <f ca="1">IFERROR(__xludf.DUMMYFUNCTION("""COMPUTED_VALUE"""),3)</f>
        <v>3</v>
      </c>
      <c r="K911" s="120">
        <f ca="1">IFERROR(__xludf.DUMMYFUNCTION("""COMPUTED_VALUE"""),125.95)</f>
        <v>125.95</v>
      </c>
      <c r="L911" s="121"/>
      <c r="M911" s="120"/>
      <c r="N911" s="121"/>
      <c r="O911" s="120">
        <f ca="1">IFERROR(__xludf.DUMMYFUNCTION("""COMPUTED_VALUE"""),125.95)</f>
        <v>125.95</v>
      </c>
      <c r="P911" s="122"/>
      <c r="Q911" s="123" t="str">
        <f ca="1">IFERROR(__xludf.DUMMYFUNCTION("""COMPUTED_VALUE"""),"Teagan Williams")</f>
        <v>Teagan Williams</v>
      </c>
      <c r="R911" s="123"/>
      <c r="S911" s="123" t="str">
        <f ca="1">IFERROR(__xludf.DUMMYFUNCTION("""COMPUTED_VALUE"""),"McKay Deegan")</f>
        <v>McKay Deegan</v>
      </c>
      <c r="T911" s="123" t="str">
        <f ca="1">IFERROR(__xludf.DUMMYFUNCTION("""COMPUTED_VALUE"""),"William Foote")</f>
        <v>William Foote</v>
      </c>
    </row>
    <row r="912" spans="1:20" ht="13.8">
      <c r="A912" s="118" t="str">
        <f ca="1">IFERROR(__xludf.DUMMYFUNCTION("""COMPUTED_VALUE"""),"HSC")</f>
        <v>HSC</v>
      </c>
      <c r="B912" s="119" t="str">
        <f ca="1">IFERROR(__xludf.DUMMYFUNCTION("""COMPUTED_VALUE"""),"Erin Kass")</f>
        <v>Erin Kass</v>
      </c>
      <c r="C912" s="118">
        <f ca="1">IFERROR(__xludf.DUMMYFUNCTION("""COMPUTED_VALUE"""),13)</f>
        <v>13</v>
      </c>
      <c r="D912" s="118" t="str">
        <f ca="1">IFERROR(__xludf.DUMMYFUNCTION("""COMPUTED_VALUE"""),"G")</f>
        <v>G</v>
      </c>
      <c r="E912" s="118" t="str">
        <f ca="1">IFERROR(__xludf.DUMMYFUNCTION("""COMPUTED_VALUE"""),"I")</f>
        <v>I</v>
      </c>
      <c r="F912" s="118" t="str">
        <f ca="1">IFERROR(__xludf.DUMMYFUNCTION("""COMPUTED_VALUE"""),"S")</f>
        <v>S</v>
      </c>
      <c r="G912" s="118">
        <f ca="1">IFERROR(__xludf.DUMMYFUNCTION("""COMPUTED_VALUE"""),8)</f>
        <v>8</v>
      </c>
      <c r="H912" s="118" t="str">
        <f ca="1">IFERROR(__xludf.DUMMYFUNCTION("""COMPUTED_VALUE"""),"HSC")</f>
        <v>HSC</v>
      </c>
      <c r="I912" s="118">
        <f ca="1">IFERROR(__xludf.DUMMYFUNCTION("""COMPUTED_VALUE"""),8)</f>
        <v>8</v>
      </c>
      <c r="J912" s="118">
        <f ca="1">IFERROR(__xludf.DUMMYFUNCTION("""COMPUTED_VALUE"""),2)</f>
        <v>2</v>
      </c>
      <c r="K912" s="120">
        <f ca="1">IFERROR(__xludf.DUMMYFUNCTION("""COMPUTED_VALUE"""),100.7)</f>
        <v>100.7</v>
      </c>
      <c r="L912" s="121"/>
      <c r="M912" s="120"/>
      <c r="N912" s="121"/>
      <c r="O912" s="120"/>
      <c r="P912" s="122"/>
      <c r="Q912" s="123" t="str">
        <f ca="1">IFERROR(__xludf.DUMMYFUNCTION("""COMPUTED_VALUE"""),"Tess Coleson")</f>
        <v>Tess Coleson</v>
      </c>
      <c r="R912" s="123"/>
      <c r="S912" s="123" t="str">
        <f ca="1">IFERROR(__xludf.DUMMYFUNCTION("""COMPUTED_VALUE"""),"McKenna Dicke")</f>
        <v>McKenna Dicke</v>
      </c>
      <c r="T912" s="123" t="str">
        <f ca="1">IFERROR(__xludf.DUMMYFUNCTION("""COMPUTED_VALUE"""),"William Gentry")</f>
        <v>William Gentry</v>
      </c>
    </row>
    <row r="913" spans="1:20" ht="13.8">
      <c r="A913" s="118" t="str">
        <f ca="1">IFERROR(__xludf.DUMMYFUNCTION("""COMPUTED_VALUE"""),"HSC")</f>
        <v>HSC</v>
      </c>
      <c r="B913" s="119" t="str">
        <f ca="1">IFERROR(__xludf.DUMMYFUNCTION("""COMPUTED_VALUE"""),"Miah Collazo")</f>
        <v>Miah Collazo</v>
      </c>
      <c r="C913" s="118">
        <f ca="1">IFERROR(__xludf.DUMMYFUNCTION("""COMPUTED_VALUE"""),13)</f>
        <v>13</v>
      </c>
      <c r="D913" s="118" t="str">
        <f ca="1">IFERROR(__xludf.DUMMYFUNCTION("""COMPUTED_VALUE"""),"G")</f>
        <v>G</v>
      </c>
      <c r="E913" s="118" t="str">
        <f ca="1">IFERROR(__xludf.DUMMYFUNCTION("""COMPUTED_VALUE"""),"I")</f>
        <v>I</v>
      </c>
      <c r="F913" s="118" t="str">
        <f ca="1">IFERROR(__xludf.DUMMYFUNCTION("""COMPUTED_VALUE"""),"S")</f>
        <v>S</v>
      </c>
      <c r="G913" s="118">
        <f ca="1">IFERROR(__xludf.DUMMYFUNCTION("""COMPUTED_VALUE"""),8)</f>
        <v>8</v>
      </c>
      <c r="H913" s="118" t="str">
        <f ca="1">IFERROR(__xludf.DUMMYFUNCTION("""COMPUTED_VALUE"""),"HSC")</f>
        <v>HSC</v>
      </c>
      <c r="I913" s="118">
        <f ca="1">IFERROR(__xludf.DUMMYFUNCTION("""COMPUTED_VALUE"""),8)</f>
        <v>8</v>
      </c>
      <c r="J913" s="118">
        <f ca="1">IFERROR(__xludf.DUMMYFUNCTION("""COMPUTED_VALUE"""),2)</f>
        <v>2</v>
      </c>
      <c r="K913" s="120">
        <f ca="1">IFERROR(__xludf.DUMMYFUNCTION("""COMPUTED_VALUE"""),115.85)</f>
        <v>115.85</v>
      </c>
      <c r="L913" s="121"/>
      <c r="M913" s="120"/>
      <c r="N913" s="121"/>
      <c r="O913" s="120"/>
      <c r="P913" s="122"/>
      <c r="Q913" s="123" t="str">
        <f ca="1">IFERROR(__xludf.DUMMYFUNCTION("""COMPUTED_VALUE"""),"Tessa Iaci")</f>
        <v>Tessa Iaci</v>
      </c>
      <c r="R913" s="123"/>
      <c r="S913" s="123" t="str">
        <f ca="1">IFERROR(__xludf.DUMMYFUNCTION("""COMPUTED_VALUE"""),"McKinley Cervenak")</f>
        <v>McKinley Cervenak</v>
      </c>
      <c r="T913" s="123" t="str">
        <f ca="1">IFERROR(__xludf.DUMMYFUNCTION("""COMPUTED_VALUE"""),"William Kunkle")</f>
        <v>William Kunkle</v>
      </c>
    </row>
    <row r="914" spans="1:20" ht="13.8">
      <c r="A914" s="118" t="str">
        <f ca="1">IFERROR(__xludf.DUMMYFUNCTION("""COMPUTED_VALUE"""),"HSC")</f>
        <v>HSC</v>
      </c>
      <c r="B914" s="119" t="str">
        <f ca="1">IFERROR(__xludf.DUMMYFUNCTION("""COMPUTED_VALUE"""),"Alan Fu")</f>
        <v>Alan Fu</v>
      </c>
      <c r="C914" s="118">
        <f ca="1">IFERROR(__xludf.DUMMYFUNCTION("""COMPUTED_VALUE"""),14)</f>
        <v>14</v>
      </c>
      <c r="D914" s="118" t="str">
        <f ca="1">IFERROR(__xludf.DUMMYFUNCTION("""COMPUTED_VALUE"""),"B")</f>
        <v>B</v>
      </c>
      <c r="E914" s="118" t="str">
        <f ca="1">IFERROR(__xludf.DUMMYFUNCTION("""COMPUTED_VALUE"""),"I")</f>
        <v>I</v>
      </c>
      <c r="F914" s="118" t="str">
        <f ca="1">IFERROR(__xludf.DUMMYFUNCTION("""COMPUTED_VALUE"""),"S")</f>
        <v>S</v>
      </c>
      <c r="G914" s="118">
        <f ca="1">IFERROR(__xludf.DUMMYFUNCTION("""COMPUTED_VALUE"""),8)</f>
        <v>8</v>
      </c>
      <c r="H914" s="118" t="str">
        <f ca="1">IFERROR(__xludf.DUMMYFUNCTION("""COMPUTED_VALUE"""),"HSC")</f>
        <v>HSC</v>
      </c>
      <c r="I914" s="118">
        <f ca="1">IFERROR(__xludf.DUMMYFUNCTION("""COMPUTED_VALUE"""),9)</f>
        <v>9</v>
      </c>
      <c r="J914" s="118">
        <f ca="1">IFERROR(__xludf.DUMMYFUNCTION("""COMPUTED_VALUE"""),4)</f>
        <v>4</v>
      </c>
      <c r="K914" s="120">
        <f ca="1">IFERROR(__xludf.DUMMYFUNCTION("""COMPUTED_VALUE"""),176.75)</f>
        <v>176.75</v>
      </c>
      <c r="L914" s="121"/>
      <c r="M914" s="120"/>
      <c r="N914" s="121"/>
      <c r="O914" s="120">
        <f ca="1">IFERROR(__xludf.DUMMYFUNCTION("""COMPUTED_VALUE"""),176.75)</f>
        <v>176.75</v>
      </c>
      <c r="P914" s="122"/>
      <c r="Q914" s="123" t="str">
        <f ca="1">IFERROR(__xludf.DUMMYFUNCTION("""COMPUTED_VALUE"""),"Thatchelle Boateng")</f>
        <v>Thatchelle Boateng</v>
      </c>
      <c r="R914" s="123"/>
      <c r="S914" s="123" t="str">
        <f ca="1">IFERROR(__xludf.DUMMYFUNCTION("""COMPUTED_VALUE"""),"Meera Bansal")</f>
        <v>Meera Bansal</v>
      </c>
      <c r="T914" s="123" t="str">
        <f ca="1">IFERROR(__xludf.DUMMYFUNCTION("""COMPUTED_VALUE"""),"William Pickard")</f>
        <v>William Pickard</v>
      </c>
    </row>
    <row r="915" spans="1:20" ht="13.8">
      <c r="A915" s="118" t="str">
        <f ca="1">IFERROR(__xludf.DUMMYFUNCTION("""COMPUTED_VALUE"""),"HSC")</f>
        <v>HSC</v>
      </c>
      <c r="B915" s="119" t="str">
        <f ca="1">IFERROR(__xludf.DUMMYFUNCTION("""COMPUTED_VALUE"""),"Jacob Ross")</f>
        <v>Jacob Ross</v>
      </c>
      <c r="C915" s="118">
        <f ca="1">IFERROR(__xludf.DUMMYFUNCTION("""COMPUTED_VALUE"""),13)</f>
        <v>13</v>
      </c>
      <c r="D915" s="118" t="str">
        <f ca="1">IFERROR(__xludf.DUMMYFUNCTION("""COMPUTED_VALUE"""),"B")</f>
        <v>B</v>
      </c>
      <c r="E915" s="118" t="str">
        <f ca="1">IFERROR(__xludf.DUMMYFUNCTION("""COMPUTED_VALUE"""),"I")</f>
        <v>I</v>
      </c>
      <c r="F915" s="118" t="str">
        <f ca="1">IFERROR(__xludf.DUMMYFUNCTION("""COMPUTED_VALUE"""),"S")</f>
        <v>S</v>
      </c>
      <c r="G915" s="118">
        <f ca="1">IFERROR(__xludf.DUMMYFUNCTION("""COMPUTED_VALUE"""),8)</f>
        <v>8</v>
      </c>
      <c r="H915" s="118" t="str">
        <f ca="1">IFERROR(__xludf.DUMMYFUNCTION("""COMPUTED_VALUE"""),"HSC")</f>
        <v>HSC</v>
      </c>
      <c r="I915" s="118">
        <f ca="1">IFERROR(__xludf.DUMMYFUNCTION("""COMPUTED_VALUE"""),9)</f>
        <v>9</v>
      </c>
      <c r="J915" s="118">
        <f ca="1">IFERROR(__xludf.DUMMYFUNCTION("""COMPUTED_VALUE"""),3)</f>
        <v>3</v>
      </c>
      <c r="K915" s="120">
        <f ca="1">IFERROR(__xludf.DUMMYFUNCTION("""COMPUTED_VALUE"""),148.55)</f>
        <v>148.55000000000001</v>
      </c>
      <c r="L915" s="121"/>
      <c r="M915" s="120"/>
      <c r="N915" s="121"/>
      <c r="O915" s="120">
        <f ca="1">IFERROR(__xludf.DUMMYFUNCTION("""COMPUTED_VALUE"""),148.55)</f>
        <v>148.55000000000001</v>
      </c>
      <c r="P915" s="122"/>
      <c r="Q915" s="123" t="str">
        <f ca="1">IFERROR(__xludf.DUMMYFUNCTION("""COMPUTED_VALUE"""),"Thea Conole")</f>
        <v>Thea Conole</v>
      </c>
      <c r="R915" s="123"/>
      <c r="S915" s="123" t="str">
        <f ca="1">IFERROR(__xludf.DUMMYFUNCTION("""COMPUTED_VALUE"""),"Megan Hurt")</f>
        <v>Megan Hurt</v>
      </c>
      <c r="T915" s="123" t="str">
        <f ca="1">IFERROR(__xludf.DUMMYFUNCTION("""COMPUTED_VALUE"""),"William Smith")</f>
        <v>William Smith</v>
      </c>
    </row>
    <row r="916" spans="1:20" ht="13.8">
      <c r="A916" s="118" t="str">
        <f ca="1">IFERROR(__xludf.DUMMYFUNCTION("""COMPUTED_VALUE"""),"HSC")</f>
        <v>HSC</v>
      </c>
      <c r="B916" s="119" t="str">
        <f ca="1">IFERROR(__xludf.DUMMYFUNCTION("""COMPUTED_VALUE"""),"Ronin Thornsbury")</f>
        <v>Ronin Thornsbury</v>
      </c>
      <c r="C916" s="118">
        <f ca="1">IFERROR(__xludf.DUMMYFUNCTION("""COMPUTED_VALUE"""),13)</f>
        <v>13</v>
      </c>
      <c r="D916" s="118" t="str">
        <f ca="1">IFERROR(__xludf.DUMMYFUNCTION("""COMPUTED_VALUE"""),"B")</f>
        <v>B</v>
      </c>
      <c r="E916" s="118" t="str">
        <f ca="1">IFERROR(__xludf.DUMMYFUNCTION("""COMPUTED_VALUE"""),"I")</f>
        <v>I</v>
      </c>
      <c r="F916" s="118" t="str">
        <f ca="1">IFERROR(__xludf.DUMMYFUNCTION("""COMPUTED_VALUE"""),"S")</f>
        <v>S</v>
      </c>
      <c r="G916" s="118">
        <f ca="1">IFERROR(__xludf.DUMMYFUNCTION("""COMPUTED_VALUE"""),8)</f>
        <v>8</v>
      </c>
      <c r="H916" s="118" t="str">
        <f ca="1">IFERROR(__xludf.DUMMYFUNCTION("""COMPUTED_VALUE"""),"HSC")</f>
        <v>HSC</v>
      </c>
      <c r="I916" s="118">
        <f ca="1">IFERROR(__xludf.DUMMYFUNCTION("""COMPUTED_VALUE"""),9)</f>
        <v>9</v>
      </c>
      <c r="J916" s="118">
        <f ca="1">IFERROR(__xludf.DUMMYFUNCTION("""COMPUTED_VALUE"""),0)</f>
        <v>0</v>
      </c>
      <c r="K916" s="120"/>
      <c r="L916" s="121"/>
      <c r="M916" s="120"/>
      <c r="N916" s="121"/>
      <c r="O916" s="120"/>
      <c r="P916" s="122"/>
      <c r="Q916" s="123" t="str">
        <f ca="1">IFERROR(__xludf.DUMMYFUNCTION("""COMPUTED_VALUE"""),"Tinsley Arenstein")</f>
        <v>Tinsley Arenstein</v>
      </c>
      <c r="R916" s="123"/>
      <c r="S916" s="123" t="str">
        <f ca="1">IFERROR(__xludf.DUMMYFUNCTION("""COMPUTED_VALUE"""),"Megan Kovachy")</f>
        <v>Megan Kovachy</v>
      </c>
      <c r="T916" s="123" t="str">
        <f ca="1">IFERROR(__xludf.DUMMYFUNCTION("""COMPUTED_VALUE"""),"William Staren")</f>
        <v>William Staren</v>
      </c>
    </row>
    <row r="917" spans="1:20" ht="13.8">
      <c r="A917" s="118" t="str">
        <f ca="1">IFERROR(__xludf.DUMMYFUNCTION("""COMPUTED_VALUE"""),"HSC")</f>
        <v>HSC</v>
      </c>
      <c r="B917" s="119" t="str">
        <f ca="1">IFERROR(__xludf.DUMMYFUNCTION("""COMPUTED_VALUE"""),"Morgan Kass")</f>
        <v>Morgan Kass</v>
      </c>
      <c r="C917" s="118">
        <f ca="1">IFERROR(__xludf.DUMMYFUNCTION("""COMPUTED_VALUE"""),16)</f>
        <v>16</v>
      </c>
      <c r="D917" s="118" t="str">
        <f ca="1">IFERROR(__xludf.DUMMYFUNCTION("""COMPUTED_VALUE"""),"G")</f>
        <v>G</v>
      </c>
      <c r="E917" s="118" t="str">
        <f ca="1">IFERROR(__xludf.DUMMYFUNCTION("""COMPUTED_VALUE"""),"S")</f>
        <v>S</v>
      </c>
      <c r="F917" s="118" t="str">
        <f ca="1">IFERROR(__xludf.DUMMYFUNCTION("""COMPUTED_VALUE"""),"S")</f>
        <v>S</v>
      </c>
      <c r="G917" s="118">
        <f ca="1">IFERROR(__xludf.DUMMYFUNCTION("""COMPUTED_VALUE"""),8)</f>
        <v>8</v>
      </c>
      <c r="H917" s="118" t="str">
        <f ca="1">IFERROR(__xludf.DUMMYFUNCTION("""COMPUTED_VALUE"""),"HSC")</f>
        <v>HSC</v>
      </c>
      <c r="I917" s="118">
        <f ca="1">IFERROR(__xludf.DUMMYFUNCTION("""COMPUTED_VALUE"""),10)</f>
        <v>10</v>
      </c>
      <c r="J917" s="118">
        <f ca="1">IFERROR(__xludf.DUMMYFUNCTION("""COMPUTED_VALUE"""),2)</f>
        <v>2</v>
      </c>
      <c r="K917" s="120">
        <f ca="1">IFERROR(__xludf.DUMMYFUNCTION("""COMPUTED_VALUE"""),129.25)</f>
        <v>129.25</v>
      </c>
      <c r="L917" s="121"/>
      <c r="M917" s="120"/>
      <c r="N917" s="121"/>
      <c r="O917" s="120"/>
      <c r="P917" s="122"/>
      <c r="Q917" s="123" t="str">
        <f ca="1">IFERROR(__xludf.DUMMYFUNCTION("""COMPUTED_VALUE"""),"Tyler Tomlinson")</f>
        <v>Tyler Tomlinson</v>
      </c>
      <c r="R917" s="123"/>
      <c r="S917" s="123" t="str">
        <f ca="1">IFERROR(__xludf.DUMMYFUNCTION("""COMPUTED_VALUE"""),"Megan Lam")</f>
        <v>Megan Lam</v>
      </c>
      <c r="T917" s="123" t="str">
        <f ca="1">IFERROR(__xludf.DUMMYFUNCTION("""COMPUTED_VALUE"""),"Wyatt Doak")</f>
        <v>Wyatt Doak</v>
      </c>
    </row>
    <row r="918" spans="1:20" ht="13.8">
      <c r="A918" s="118" t="str">
        <f ca="1">IFERROR(__xludf.DUMMYFUNCTION("""COMPUTED_VALUE"""),"HSC")</f>
        <v>HSC</v>
      </c>
      <c r="B918" s="119" t="str">
        <f ca="1">IFERROR(__xludf.DUMMYFUNCTION("""COMPUTED_VALUE"""),"Anthony Maull")</f>
        <v>Anthony Maull</v>
      </c>
      <c r="C918" s="118">
        <f ca="1">IFERROR(__xludf.DUMMYFUNCTION("""COMPUTED_VALUE"""),18)</f>
        <v>18</v>
      </c>
      <c r="D918" s="118" t="str">
        <f ca="1">IFERROR(__xludf.DUMMYFUNCTION("""COMPUTED_VALUE"""),"B")</f>
        <v>B</v>
      </c>
      <c r="E918" s="118" t="str">
        <f ca="1">IFERROR(__xludf.DUMMYFUNCTION("""COMPUTED_VALUE"""),"S")</f>
        <v>S</v>
      </c>
      <c r="F918" s="118" t="str">
        <f ca="1">IFERROR(__xludf.DUMMYFUNCTION("""COMPUTED_VALUE"""),"S")</f>
        <v>S</v>
      </c>
      <c r="G918" s="118">
        <f ca="1">IFERROR(__xludf.DUMMYFUNCTION("""COMPUTED_VALUE"""),8)</f>
        <v>8</v>
      </c>
      <c r="H918" s="118" t="str">
        <f ca="1">IFERROR(__xludf.DUMMYFUNCTION("""COMPUTED_VALUE"""),"HSC")</f>
        <v>HSC</v>
      </c>
      <c r="I918" s="118">
        <f ca="1">IFERROR(__xludf.DUMMYFUNCTION("""COMPUTED_VALUE"""),11)</f>
        <v>11</v>
      </c>
      <c r="J918" s="118">
        <f ca="1">IFERROR(__xludf.DUMMYFUNCTION("""COMPUTED_VALUE"""),3)</f>
        <v>3</v>
      </c>
      <c r="K918" s="120">
        <f ca="1">IFERROR(__xludf.DUMMYFUNCTION("""COMPUTED_VALUE"""),196.6)</f>
        <v>196.6</v>
      </c>
      <c r="L918" s="121"/>
      <c r="M918" s="120">
        <f ca="1">IFERROR(__xludf.DUMMYFUNCTION("""COMPUTED_VALUE"""),196.6)</f>
        <v>196.6</v>
      </c>
      <c r="N918" s="121"/>
      <c r="O918" s="120"/>
      <c r="P918" s="122"/>
      <c r="Q918" s="123" t="str">
        <f ca="1">IFERROR(__xludf.DUMMYFUNCTION("""COMPUTED_VALUE"""),"Vale Luks")</f>
        <v>Vale Luks</v>
      </c>
      <c r="R918" s="123"/>
      <c r="S918" s="123" t="str">
        <f ca="1">IFERROR(__xludf.DUMMYFUNCTION("""COMPUTED_VALUE"""),"Meghan Henderson")</f>
        <v>Meghan Henderson</v>
      </c>
      <c r="T918" s="123" t="str">
        <f ca="1">IFERROR(__xludf.DUMMYFUNCTION("""COMPUTED_VALUE"""),"Wyatt Fegan")</f>
        <v>Wyatt Fegan</v>
      </c>
    </row>
    <row r="919" spans="1:20" ht="13.8">
      <c r="A919" s="118" t="str">
        <f ca="1">IFERROR(__xludf.DUMMYFUNCTION("""COMPUTED_VALUE"""),"HSC")</f>
        <v>HSC</v>
      </c>
      <c r="B919" s="119" t="str">
        <f ca="1">IFERROR(__xludf.DUMMYFUNCTION("""COMPUTED_VALUE"""),"Cooper Short")</f>
        <v>Cooper Short</v>
      </c>
      <c r="C919" s="118">
        <f ca="1">IFERROR(__xludf.DUMMYFUNCTION("""COMPUTED_VALUE"""),16)</f>
        <v>16</v>
      </c>
      <c r="D919" s="118" t="str">
        <f ca="1">IFERROR(__xludf.DUMMYFUNCTION("""COMPUTED_VALUE"""),"B")</f>
        <v>B</v>
      </c>
      <c r="E919" s="118" t="str">
        <f ca="1">IFERROR(__xludf.DUMMYFUNCTION("""COMPUTED_VALUE"""),"S")</f>
        <v>S</v>
      </c>
      <c r="F919" s="118" t="str">
        <f ca="1">IFERROR(__xludf.DUMMYFUNCTION("""COMPUTED_VALUE"""),"S")</f>
        <v>S</v>
      </c>
      <c r="G919" s="118">
        <f ca="1">IFERROR(__xludf.DUMMYFUNCTION("""COMPUTED_VALUE"""),8)</f>
        <v>8</v>
      </c>
      <c r="H919" s="118" t="str">
        <f ca="1">IFERROR(__xludf.DUMMYFUNCTION("""COMPUTED_VALUE"""),"HSC")</f>
        <v>HSC</v>
      </c>
      <c r="I919" s="118">
        <f ca="1">IFERROR(__xludf.DUMMYFUNCTION("""COMPUTED_VALUE"""),11)</f>
        <v>11</v>
      </c>
      <c r="J919" s="118">
        <f ca="1">IFERROR(__xludf.DUMMYFUNCTION("""COMPUTED_VALUE"""),3)</f>
        <v>3</v>
      </c>
      <c r="K919" s="120">
        <f ca="1">IFERROR(__xludf.DUMMYFUNCTION("""COMPUTED_VALUE"""),196.25)</f>
        <v>196.25</v>
      </c>
      <c r="L919" s="121"/>
      <c r="M919" s="120">
        <f ca="1">IFERROR(__xludf.DUMMYFUNCTION("""COMPUTED_VALUE"""),196.25)</f>
        <v>196.25</v>
      </c>
      <c r="N919" s="121"/>
      <c r="O919" s="120"/>
      <c r="P919" s="122"/>
      <c r="Q919" s="123" t="str">
        <f ca="1">IFERROR(__xludf.DUMMYFUNCTION("""COMPUTED_VALUE"""),"Valerie Devlin")</f>
        <v>Valerie Devlin</v>
      </c>
      <c r="R919" s="123"/>
      <c r="S919" s="123" t="str">
        <f ca="1">IFERROR(__xludf.DUMMYFUNCTION("""COMPUTED_VALUE"""),"Meghan Hetmanski")</f>
        <v>Meghan Hetmanski</v>
      </c>
      <c r="T919" s="123" t="str">
        <f ca="1">IFERROR(__xludf.DUMMYFUNCTION("""COMPUTED_VALUE"""),"Wyatt Neighbors")</f>
        <v>Wyatt Neighbors</v>
      </c>
    </row>
    <row r="920" spans="1:20" ht="13.8">
      <c r="A920" s="118" t="str">
        <f ca="1">IFERROR(__xludf.DUMMYFUNCTION("""COMPUTED_VALUE"""),"HSC")</f>
        <v>HSC</v>
      </c>
      <c r="B920" s="119" t="str">
        <f ca="1">IFERROR(__xludf.DUMMYFUNCTION("""COMPUTED_VALUE"""),"Savas Emanuel")</f>
        <v>Savas Emanuel</v>
      </c>
      <c r="C920" s="118">
        <f ca="1">IFERROR(__xludf.DUMMYFUNCTION("""COMPUTED_VALUE"""),17)</f>
        <v>17</v>
      </c>
      <c r="D920" s="118" t="str">
        <f ca="1">IFERROR(__xludf.DUMMYFUNCTION("""COMPUTED_VALUE"""),"B")</f>
        <v>B</v>
      </c>
      <c r="E920" s="118" t="str">
        <f ca="1">IFERROR(__xludf.DUMMYFUNCTION("""COMPUTED_VALUE"""),"S")</f>
        <v>S</v>
      </c>
      <c r="F920" s="118" t="str">
        <f ca="1">IFERROR(__xludf.DUMMYFUNCTION("""COMPUTED_VALUE"""),"S")</f>
        <v>S</v>
      </c>
      <c r="G920" s="118">
        <f ca="1">IFERROR(__xludf.DUMMYFUNCTION("""COMPUTED_VALUE"""),8)</f>
        <v>8</v>
      </c>
      <c r="H920" s="118" t="str">
        <f ca="1">IFERROR(__xludf.DUMMYFUNCTION("""COMPUTED_VALUE"""),"HSC")</f>
        <v>HSC</v>
      </c>
      <c r="I920" s="118">
        <f ca="1">IFERROR(__xludf.DUMMYFUNCTION("""COMPUTED_VALUE"""),11)</f>
        <v>11</v>
      </c>
      <c r="J920" s="118">
        <f ca="1">IFERROR(__xludf.DUMMYFUNCTION("""COMPUTED_VALUE"""),5)</f>
        <v>5</v>
      </c>
      <c r="K920" s="120">
        <f ca="1">IFERROR(__xludf.DUMMYFUNCTION("""COMPUTED_VALUE"""),143.9)</f>
        <v>143.9</v>
      </c>
      <c r="L920" s="121"/>
      <c r="M920" s="120">
        <f ca="1">IFERROR(__xludf.DUMMYFUNCTION("""COMPUTED_VALUE"""),143.9)</f>
        <v>143.9</v>
      </c>
      <c r="N920" s="121"/>
      <c r="O920" s="120">
        <f ca="1">IFERROR(__xludf.DUMMYFUNCTION("""COMPUTED_VALUE"""),131.75)</f>
        <v>131.75</v>
      </c>
      <c r="P920" s="122"/>
      <c r="Q920" s="123" t="str">
        <f ca="1">IFERROR(__xludf.DUMMYFUNCTION("""COMPUTED_VALUE"""),"Vi Robert")</f>
        <v>Vi Robert</v>
      </c>
      <c r="R920" s="123"/>
      <c r="S920" s="123" t="str">
        <f ca="1">IFERROR(__xludf.DUMMYFUNCTION("""COMPUTED_VALUE"""),"Meghan Murphy")</f>
        <v>Meghan Murphy</v>
      </c>
      <c r="T920" s="123" t="str">
        <f ca="1">IFERROR(__xludf.DUMMYFUNCTION("""COMPUTED_VALUE"""),"Wystan Kyser")</f>
        <v>Wystan Kyser</v>
      </c>
    </row>
    <row r="921" spans="1:20" ht="13.8">
      <c r="A921" s="118" t="str">
        <f ca="1">IFERROR(__xludf.DUMMYFUNCTION("""COMPUTED_VALUE"""),"HV")</f>
        <v>HV</v>
      </c>
      <c r="B921" s="119" t="str">
        <f ca="1">IFERROR(__xludf.DUMMYFUNCTION("""COMPUTED_VALUE"""),"Aliyah Pleisch")</f>
        <v>Aliyah Pleisch</v>
      </c>
      <c r="C921" s="118">
        <f ca="1">IFERROR(__xludf.DUMMYFUNCTION("""COMPUTED_VALUE"""),8)</f>
        <v>8</v>
      </c>
      <c r="D921" s="118" t="str">
        <f ca="1">IFERROR(__xludf.DUMMYFUNCTION("""COMPUTED_VALUE"""),"G")</f>
        <v>G</v>
      </c>
      <c r="E921" s="118" t="str">
        <f ca="1">IFERROR(__xludf.DUMMYFUNCTION("""COMPUTED_VALUE"""),"F")</f>
        <v>F</v>
      </c>
      <c r="F921" s="118" t="str">
        <f ca="1">IFERROR(__xludf.DUMMYFUNCTION("""COMPUTED_VALUE"""),"J")</f>
        <v>J</v>
      </c>
      <c r="G921" s="118">
        <f ca="1">IFERROR(__xludf.DUMMYFUNCTION("""COMPUTED_VALUE"""),2)</f>
        <v>2</v>
      </c>
      <c r="H921" s="118" t="str">
        <f ca="1">IFERROR(__xludf.DUMMYFUNCTION("""COMPUTED_VALUE"""),"HV")</f>
        <v>HV</v>
      </c>
      <c r="I921" s="118">
        <f ca="1">IFERROR(__xludf.DUMMYFUNCTION("""COMPUTED_VALUE"""),4)</f>
        <v>4</v>
      </c>
      <c r="J921" s="118">
        <f ca="1">IFERROR(__xludf.DUMMYFUNCTION("""COMPUTED_VALUE"""),4)</f>
        <v>4</v>
      </c>
      <c r="K921" s="120">
        <f ca="1">IFERROR(__xludf.DUMMYFUNCTION("""COMPUTED_VALUE"""),53)</f>
        <v>53</v>
      </c>
      <c r="L921" s="121"/>
      <c r="M921" s="120">
        <f ca="1">IFERROR(__xludf.DUMMYFUNCTION("""COMPUTED_VALUE"""),-42)</f>
        <v>-42</v>
      </c>
      <c r="N921" s="121"/>
      <c r="O921" s="120">
        <f ca="1">IFERROR(__xludf.DUMMYFUNCTION("""COMPUTED_VALUE"""),42.25)</f>
        <v>42.25</v>
      </c>
      <c r="P921" s="122"/>
      <c r="Q921" s="123" t="str">
        <f ca="1">IFERROR(__xludf.DUMMYFUNCTION("""COMPUTED_VALUE"""),"Victoria Beier")</f>
        <v>Victoria Beier</v>
      </c>
      <c r="R921" s="123"/>
      <c r="S921" s="123" t="str">
        <f ca="1">IFERROR(__xludf.DUMMYFUNCTION("""COMPUTED_VALUE"""),"Mei Leung")</f>
        <v>Mei Leung</v>
      </c>
      <c r="T921" s="123" t="str">
        <f ca="1">IFERROR(__xludf.DUMMYFUNCTION("""COMPUTED_VALUE"""),"Xavier Zelle James")</f>
        <v>Xavier Zelle James</v>
      </c>
    </row>
    <row r="922" spans="1:20" ht="13.8">
      <c r="A922" s="118" t="str">
        <f ca="1">IFERROR(__xludf.DUMMYFUNCTION("""COMPUTED_VALUE"""),"HV")</f>
        <v>HV</v>
      </c>
      <c r="B922" s="119" t="str">
        <f ca="1">IFERROR(__xludf.DUMMYFUNCTION("""COMPUTED_VALUE"""),"Arlee Miller")</f>
        <v>Arlee Miller</v>
      </c>
      <c r="C922" s="118">
        <f ca="1">IFERROR(__xludf.DUMMYFUNCTION("""COMPUTED_VALUE"""),6)</f>
        <v>6</v>
      </c>
      <c r="D922" s="118" t="str">
        <f ca="1">IFERROR(__xludf.DUMMYFUNCTION("""COMPUTED_VALUE"""),"G")</f>
        <v>G</v>
      </c>
      <c r="E922" s="118" t="str">
        <f ca="1">IFERROR(__xludf.DUMMYFUNCTION("""COMPUTED_VALUE"""),"F")</f>
        <v>F</v>
      </c>
      <c r="F922" s="118" t="str">
        <f ca="1">IFERROR(__xludf.DUMMYFUNCTION("""COMPUTED_VALUE"""),"J")</f>
        <v>J</v>
      </c>
      <c r="G922" s="118">
        <f ca="1">IFERROR(__xludf.DUMMYFUNCTION("""COMPUTED_VALUE"""),2)</f>
        <v>2</v>
      </c>
      <c r="H922" s="118" t="str">
        <f ca="1">IFERROR(__xludf.DUMMYFUNCTION("""COMPUTED_VALUE"""),"HV")</f>
        <v>HV</v>
      </c>
      <c r="I922" s="118">
        <f ca="1">IFERROR(__xludf.DUMMYFUNCTION("""COMPUTED_VALUE"""),4)</f>
        <v>4</v>
      </c>
      <c r="J922" s="118">
        <f ca="1">IFERROR(__xludf.DUMMYFUNCTION("""COMPUTED_VALUE"""),5)</f>
        <v>5</v>
      </c>
      <c r="K922" s="120">
        <f ca="1">IFERROR(__xludf.DUMMYFUNCTION("""COMPUTED_VALUE"""),34)</f>
        <v>34</v>
      </c>
      <c r="L922" s="121"/>
      <c r="M922" s="120">
        <f ca="1">IFERROR(__xludf.DUMMYFUNCTION("""COMPUTED_VALUE"""),31.5)</f>
        <v>31.5</v>
      </c>
      <c r="N922" s="121"/>
      <c r="O922" s="120">
        <f ca="1">IFERROR(__xludf.DUMMYFUNCTION("""COMPUTED_VALUE"""),34)</f>
        <v>34</v>
      </c>
      <c r="P922" s="122"/>
      <c r="Q922" s="123" t="str">
        <f ca="1">IFERROR(__xludf.DUMMYFUNCTION("""COMPUTED_VALUE"""),"Victoria Gomes")</f>
        <v>Victoria Gomes</v>
      </c>
      <c r="R922" s="123"/>
      <c r="S922" s="123" t="str">
        <f ca="1">IFERROR(__xludf.DUMMYFUNCTION("""COMPUTED_VALUE"""),"Melinda Alarie")</f>
        <v>Melinda Alarie</v>
      </c>
      <c r="T922" s="123" t="str">
        <f ca="1">IFERROR(__xludf.DUMMYFUNCTION("""COMPUTED_VALUE"""),"Yousef Chawki")</f>
        <v>Yousef Chawki</v>
      </c>
    </row>
    <row r="923" spans="1:20" ht="13.8">
      <c r="A923" s="118" t="str">
        <f ca="1">IFERROR(__xludf.DUMMYFUNCTION("""COMPUTED_VALUE"""),"HV")</f>
        <v>HV</v>
      </c>
      <c r="B923" s="119" t="str">
        <f ca="1">IFERROR(__xludf.DUMMYFUNCTION("""COMPUTED_VALUE"""),"Arya Bitner")</f>
        <v>Arya Bitner</v>
      </c>
      <c r="C923" s="118">
        <f ca="1">IFERROR(__xludf.DUMMYFUNCTION("""COMPUTED_VALUE"""),6)</f>
        <v>6</v>
      </c>
      <c r="D923" s="118" t="str">
        <f ca="1">IFERROR(__xludf.DUMMYFUNCTION("""COMPUTED_VALUE"""),"G")</f>
        <v>G</v>
      </c>
      <c r="E923" s="118" t="str">
        <f ca="1">IFERROR(__xludf.DUMMYFUNCTION("""COMPUTED_VALUE"""),"F")</f>
        <v>F</v>
      </c>
      <c r="F923" s="118" t="str">
        <f ca="1">IFERROR(__xludf.DUMMYFUNCTION("""COMPUTED_VALUE"""),"J")</f>
        <v>J</v>
      </c>
      <c r="G923" s="118">
        <f ca="1">IFERROR(__xludf.DUMMYFUNCTION("""COMPUTED_VALUE"""),2)</f>
        <v>2</v>
      </c>
      <c r="H923" s="118" t="str">
        <f ca="1">IFERROR(__xludf.DUMMYFUNCTION("""COMPUTED_VALUE"""),"HV")</f>
        <v>HV</v>
      </c>
      <c r="I923" s="118">
        <f ca="1">IFERROR(__xludf.DUMMYFUNCTION("""COMPUTED_VALUE"""),4)</f>
        <v>4</v>
      </c>
      <c r="J923" s="118">
        <f ca="1">IFERROR(__xludf.DUMMYFUNCTION("""COMPUTED_VALUE"""),0)</f>
        <v>0</v>
      </c>
      <c r="K923" s="120"/>
      <c r="L923" s="121"/>
      <c r="M923" s="120"/>
      <c r="N923" s="121"/>
      <c r="O923" s="120"/>
      <c r="P923" s="122"/>
      <c r="Q923" s="123" t="str">
        <f ca="1">IFERROR(__xludf.DUMMYFUNCTION("""COMPUTED_VALUE"""),"Victoria Hill")</f>
        <v>Victoria Hill</v>
      </c>
      <c r="R923" s="123"/>
      <c r="S923" s="123" t="str">
        <f ca="1">IFERROR(__xludf.DUMMYFUNCTION("""COMPUTED_VALUE"""),"Melody MacGarvey")</f>
        <v>Melody MacGarvey</v>
      </c>
      <c r="T923" s="123" t="str">
        <f ca="1">IFERROR(__xludf.DUMMYFUNCTION("""COMPUTED_VALUE"""),"Yusef Suqi")</f>
        <v>Yusef Suqi</v>
      </c>
    </row>
    <row r="924" spans="1:20" ht="13.8">
      <c r="A924" s="118" t="str">
        <f ca="1">IFERROR(__xludf.DUMMYFUNCTION("""COMPUTED_VALUE"""),"HV")</f>
        <v>HV</v>
      </c>
      <c r="B924" s="119" t="str">
        <f ca="1">IFERROR(__xludf.DUMMYFUNCTION("""COMPUTED_VALUE"""),"Audrey Fleming")</f>
        <v>Audrey Fleming</v>
      </c>
      <c r="C924" s="118">
        <f ca="1">IFERROR(__xludf.DUMMYFUNCTION("""COMPUTED_VALUE"""),5)</f>
        <v>5</v>
      </c>
      <c r="D924" s="118" t="str">
        <f ca="1">IFERROR(__xludf.DUMMYFUNCTION("""COMPUTED_VALUE"""),"G")</f>
        <v>G</v>
      </c>
      <c r="E924" s="118" t="str">
        <f ca="1">IFERROR(__xludf.DUMMYFUNCTION("""COMPUTED_VALUE"""),"F")</f>
        <v>F</v>
      </c>
      <c r="F924" s="118" t="str">
        <f ca="1">IFERROR(__xludf.DUMMYFUNCTION("""COMPUTED_VALUE"""),"J")</f>
        <v>J</v>
      </c>
      <c r="G924" s="118">
        <f ca="1">IFERROR(__xludf.DUMMYFUNCTION("""COMPUTED_VALUE"""),2)</f>
        <v>2</v>
      </c>
      <c r="H924" s="118" t="str">
        <f ca="1">IFERROR(__xludf.DUMMYFUNCTION("""COMPUTED_VALUE"""),"HV")</f>
        <v>HV</v>
      </c>
      <c r="I924" s="118">
        <f ca="1">IFERROR(__xludf.DUMMYFUNCTION("""COMPUTED_VALUE"""),4)</f>
        <v>4</v>
      </c>
      <c r="J924" s="118">
        <f ca="1">IFERROR(__xludf.DUMMYFUNCTION("""COMPUTED_VALUE"""),5)</f>
        <v>5</v>
      </c>
      <c r="K924" s="120">
        <f ca="1">IFERROR(__xludf.DUMMYFUNCTION("""COMPUTED_VALUE"""),34.55)</f>
        <v>34.549999999999997</v>
      </c>
      <c r="L924" s="121"/>
      <c r="M924" s="120">
        <f ca="1">IFERROR(__xludf.DUMMYFUNCTION("""COMPUTED_VALUE"""),25.55)</f>
        <v>25.55</v>
      </c>
      <c r="N924" s="121"/>
      <c r="O924" s="120">
        <f ca="1">IFERROR(__xludf.DUMMYFUNCTION("""COMPUTED_VALUE"""),28.35)</f>
        <v>28.35</v>
      </c>
      <c r="P924" s="122"/>
      <c r="Q924" s="123" t="str">
        <f ca="1">IFERROR(__xludf.DUMMYFUNCTION("""COMPUTED_VALUE"""),"Victoria Matthews")</f>
        <v>Victoria Matthews</v>
      </c>
      <c r="R924" s="123"/>
      <c r="S924" s="123" t="str">
        <f ca="1">IFERROR(__xludf.DUMMYFUNCTION("""COMPUTED_VALUE"""),"Meora Allsbrook")</f>
        <v>Meora Allsbrook</v>
      </c>
      <c r="T924" s="123" t="str">
        <f ca="1">IFERROR(__xludf.DUMMYFUNCTION("""COMPUTED_VALUE"""),"Zach Ervin")</f>
        <v>Zach Ervin</v>
      </c>
    </row>
    <row r="925" spans="1:20" ht="13.8">
      <c r="A925" s="118" t="str">
        <f ca="1">IFERROR(__xludf.DUMMYFUNCTION("""COMPUTED_VALUE"""),"HV")</f>
        <v>HV</v>
      </c>
      <c r="B925" s="119" t="str">
        <f ca="1">IFERROR(__xludf.DUMMYFUNCTION("""COMPUTED_VALUE"""),"Bella Fleming")</f>
        <v>Bella Fleming</v>
      </c>
      <c r="C925" s="118">
        <f ca="1">IFERROR(__xludf.DUMMYFUNCTION("""COMPUTED_VALUE"""),8)</f>
        <v>8</v>
      </c>
      <c r="D925" s="118" t="str">
        <f ca="1">IFERROR(__xludf.DUMMYFUNCTION("""COMPUTED_VALUE"""),"G")</f>
        <v>G</v>
      </c>
      <c r="E925" s="118" t="str">
        <f ca="1">IFERROR(__xludf.DUMMYFUNCTION("""COMPUTED_VALUE"""),"F")</f>
        <v>F</v>
      </c>
      <c r="F925" s="118" t="str">
        <f ca="1">IFERROR(__xludf.DUMMYFUNCTION("""COMPUTED_VALUE"""),"J")</f>
        <v>J</v>
      </c>
      <c r="G925" s="118">
        <f ca="1">IFERROR(__xludf.DUMMYFUNCTION("""COMPUTED_VALUE"""),2)</f>
        <v>2</v>
      </c>
      <c r="H925" s="118" t="str">
        <f ca="1">IFERROR(__xludf.DUMMYFUNCTION("""COMPUTED_VALUE"""),"HV")</f>
        <v>HV</v>
      </c>
      <c r="I925" s="118">
        <f ca="1">IFERROR(__xludf.DUMMYFUNCTION("""COMPUTED_VALUE"""),4)</f>
        <v>4</v>
      </c>
      <c r="J925" s="118">
        <f ca="1">IFERROR(__xludf.DUMMYFUNCTION("""COMPUTED_VALUE"""),5)</f>
        <v>5</v>
      </c>
      <c r="K925" s="120">
        <f ca="1">IFERROR(__xludf.DUMMYFUNCTION("""COMPUTED_VALUE"""),30.05)</f>
        <v>30.05</v>
      </c>
      <c r="L925" s="121"/>
      <c r="M925" s="120">
        <f ca="1">IFERROR(__xludf.DUMMYFUNCTION("""COMPUTED_VALUE"""),23.65)</f>
        <v>23.65</v>
      </c>
      <c r="N925" s="121"/>
      <c r="O925" s="120">
        <f ca="1">IFERROR(__xludf.DUMMYFUNCTION("""COMPUTED_VALUE"""),30.05)</f>
        <v>30.05</v>
      </c>
      <c r="P925" s="122"/>
      <c r="Q925" s="123" t="str">
        <f ca="1">IFERROR(__xludf.DUMMYFUNCTION("""COMPUTED_VALUE"""),"Victoria Turcot")</f>
        <v>Victoria Turcot</v>
      </c>
      <c r="R925" s="123"/>
      <c r="S925" s="123" t="str">
        <f ca="1">IFERROR(__xludf.DUMMYFUNCTION("""COMPUTED_VALUE"""),"Meredith Lawler")</f>
        <v>Meredith Lawler</v>
      </c>
      <c r="T925" s="123" t="str">
        <f ca="1">IFERROR(__xludf.DUMMYFUNCTION("""COMPUTED_VALUE"""),"Zach Lesser")</f>
        <v>Zach Lesser</v>
      </c>
    </row>
    <row r="926" spans="1:20" ht="13.8">
      <c r="A926" s="118" t="str">
        <f ca="1">IFERROR(__xludf.DUMMYFUNCTION("""COMPUTED_VALUE"""),"HV")</f>
        <v>HV</v>
      </c>
      <c r="B926" s="119" t="str">
        <f ca="1">IFERROR(__xludf.DUMMYFUNCTION("""COMPUTED_VALUE"""),"Claire Bishop")</f>
        <v>Claire Bishop</v>
      </c>
      <c r="C926" s="118">
        <f ca="1">IFERROR(__xludf.DUMMYFUNCTION("""COMPUTED_VALUE"""),7)</f>
        <v>7</v>
      </c>
      <c r="D926" s="118" t="str">
        <f ca="1">IFERROR(__xludf.DUMMYFUNCTION("""COMPUTED_VALUE"""),"G")</f>
        <v>G</v>
      </c>
      <c r="E926" s="118" t="str">
        <f ca="1">IFERROR(__xludf.DUMMYFUNCTION("""COMPUTED_VALUE"""),"F")</f>
        <v>F</v>
      </c>
      <c r="F926" s="118" t="str">
        <f ca="1">IFERROR(__xludf.DUMMYFUNCTION("""COMPUTED_VALUE"""),"J")</f>
        <v>J</v>
      </c>
      <c r="G926" s="118">
        <f ca="1">IFERROR(__xludf.DUMMYFUNCTION("""COMPUTED_VALUE"""),2)</f>
        <v>2</v>
      </c>
      <c r="H926" s="118" t="str">
        <f ca="1">IFERROR(__xludf.DUMMYFUNCTION("""COMPUTED_VALUE"""),"HV")</f>
        <v>HV</v>
      </c>
      <c r="I926" s="118">
        <f ca="1">IFERROR(__xludf.DUMMYFUNCTION("""COMPUTED_VALUE"""),4)</f>
        <v>4</v>
      </c>
      <c r="J926" s="118">
        <f ca="1">IFERROR(__xludf.DUMMYFUNCTION("""COMPUTED_VALUE"""),1)</f>
        <v>1</v>
      </c>
      <c r="K926" s="120"/>
      <c r="L926" s="121"/>
      <c r="M926" s="120"/>
      <c r="N926" s="121"/>
      <c r="O926" s="120"/>
      <c r="P926" s="122"/>
      <c r="Q926" s="123" t="str">
        <f ca="1">IFERROR(__xludf.DUMMYFUNCTION("""COMPUTED_VALUE"""),"Victoria Williams")</f>
        <v>Victoria Williams</v>
      </c>
      <c r="R926" s="123"/>
      <c r="S926" s="123" t="str">
        <f ca="1">IFERROR(__xludf.DUMMYFUNCTION("""COMPUTED_VALUE"""),"Meredith Turkstra")</f>
        <v>Meredith Turkstra</v>
      </c>
      <c r="T926" s="123" t="str">
        <f ca="1">IFERROR(__xludf.DUMMYFUNCTION("""COMPUTED_VALUE"""),"Zach Lum")</f>
        <v>Zach Lum</v>
      </c>
    </row>
    <row r="927" spans="1:20" ht="13.8">
      <c r="A927" s="118" t="str">
        <f ca="1">IFERROR(__xludf.DUMMYFUNCTION("""COMPUTED_VALUE"""),"HV")</f>
        <v>HV</v>
      </c>
      <c r="B927" s="119" t="str">
        <f ca="1">IFERROR(__xludf.DUMMYFUNCTION("""COMPUTED_VALUE"""),"Emily Dunn")</f>
        <v>Emily Dunn</v>
      </c>
      <c r="C927" s="118">
        <f ca="1">IFERROR(__xludf.DUMMYFUNCTION("""COMPUTED_VALUE"""),10)</f>
        <v>10</v>
      </c>
      <c r="D927" s="118" t="str">
        <f ca="1">IFERROR(__xludf.DUMMYFUNCTION("""COMPUTED_VALUE"""),"G")</f>
        <v>G</v>
      </c>
      <c r="E927" s="118" t="str">
        <f ca="1">IFERROR(__xludf.DUMMYFUNCTION("""COMPUTED_VALUE"""),"F")</f>
        <v>F</v>
      </c>
      <c r="F927" s="118" t="str">
        <f ca="1">IFERROR(__xludf.DUMMYFUNCTION("""COMPUTED_VALUE"""),"J")</f>
        <v>J</v>
      </c>
      <c r="G927" s="118">
        <f ca="1">IFERROR(__xludf.DUMMYFUNCTION("""COMPUTED_VALUE"""),2)</f>
        <v>2</v>
      </c>
      <c r="H927" s="118" t="str">
        <f ca="1">IFERROR(__xludf.DUMMYFUNCTION("""COMPUTED_VALUE"""),"HV")</f>
        <v>HV</v>
      </c>
      <c r="I927" s="118">
        <f ca="1">IFERROR(__xludf.DUMMYFUNCTION("""COMPUTED_VALUE"""),4)</f>
        <v>4</v>
      </c>
      <c r="J927" s="118">
        <f ca="1">IFERROR(__xludf.DUMMYFUNCTION("""COMPUTED_VALUE"""),0)</f>
        <v>0</v>
      </c>
      <c r="K927" s="120"/>
      <c r="L927" s="121"/>
      <c r="M927" s="120"/>
      <c r="N927" s="121"/>
      <c r="O927" s="120"/>
      <c r="P927" s="122"/>
      <c r="Q927" s="123" t="str">
        <f ca="1">IFERROR(__xludf.DUMMYFUNCTION("""COMPUTED_VALUE"""),"Vidya Bharathan")</f>
        <v>Vidya Bharathan</v>
      </c>
      <c r="R927" s="123"/>
      <c r="S927" s="123" t="str">
        <f ca="1">IFERROR(__xludf.DUMMYFUNCTION("""COMPUTED_VALUE"""),"Meri Fowler")</f>
        <v>Meri Fowler</v>
      </c>
      <c r="T927" s="123" t="str">
        <f ca="1">IFERROR(__xludf.DUMMYFUNCTION("""COMPUTED_VALUE"""),"Zach Mathieson")</f>
        <v>Zach Mathieson</v>
      </c>
    </row>
    <row r="928" spans="1:20" ht="13.8">
      <c r="A928" s="118" t="str">
        <f ca="1">IFERROR(__xludf.DUMMYFUNCTION("""COMPUTED_VALUE"""),"HV")</f>
        <v>HV</v>
      </c>
      <c r="B928" s="119" t="str">
        <f ca="1">IFERROR(__xludf.DUMMYFUNCTION("""COMPUTED_VALUE"""),"Emma Denardo")</f>
        <v>Emma Denardo</v>
      </c>
      <c r="C928" s="118">
        <f ca="1">IFERROR(__xludf.DUMMYFUNCTION("""COMPUTED_VALUE"""),5)</f>
        <v>5</v>
      </c>
      <c r="D928" s="118" t="str">
        <f ca="1">IFERROR(__xludf.DUMMYFUNCTION("""COMPUTED_VALUE"""),"G")</f>
        <v>G</v>
      </c>
      <c r="E928" s="118" t="str">
        <f ca="1">IFERROR(__xludf.DUMMYFUNCTION("""COMPUTED_VALUE"""),"F")</f>
        <v>F</v>
      </c>
      <c r="F928" s="118" t="str">
        <f ca="1">IFERROR(__xludf.DUMMYFUNCTION("""COMPUTED_VALUE"""),"J")</f>
        <v>J</v>
      </c>
      <c r="G928" s="118">
        <f ca="1">IFERROR(__xludf.DUMMYFUNCTION("""COMPUTED_VALUE"""),2)</f>
        <v>2</v>
      </c>
      <c r="H928" s="118" t="str">
        <f ca="1">IFERROR(__xludf.DUMMYFUNCTION("""COMPUTED_VALUE"""),"HV")</f>
        <v>HV</v>
      </c>
      <c r="I928" s="118">
        <f ca="1">IFERROR(__xludf.DUMMYFUNCTION("""COMPUTED_VALUE"""),4)</f>
        <v>4</v>
      </c>
      <c r="J928" s="118">
        <f ca="1">IFERROR(__xludf.DUMMYFUNCTION("""COMPUTED_VALUE"""),0)</f>
        <v>0</v>
      </c>
      <c r="K928" s="120"/>
      <c r="L928" s="121"/>
      <c r="M928" s="120"/>
      <c r="N928" s="121"/>
      <c r="O928" s="120"/>
      <c r="P928" s="122"/>
      <c r="Q928" s="123" t="str">
        <f ca="1">IFERROR(__xludf.DUMMYFUNCTION("""COMPUTED_VALUE"""),"Violet Daftari")</f>
        <v>Violet Daftari</v>
      </c>
      <c r="R928" s="123"/>
      <c r="S928" s="123" t="str">
        <f ca="1">IFERROR(__xludf.DUMMYFUNCTION("""COMPUTED_VALUE"""),"Mia Borlinghaus")</f>
        <v>Mia Borlinghaus</v>
      </c>
      <c r="T928" s="123" t="str">
        <f ca="1">IFERROR(__xludf.DUMMYFUNCTION("""COMPUTED_VALUE"""),"Zach Napoli")</f>
        <v>Zach Napoli</v>
      </c>
    </row>
    <row r="929" spans="1:20" ht="13.8">
      <c r="A929" s="118" t="str">
        <f ca="1">IFERROR(__xludf.DUMMYFUNCTION("""COMPUTED_VALUE"""),"HV")</f>
        <v>HV</v>
      </c>
      <c r="B929" s="119" t="str">
        <f ca="1">IFERROR(__xludf.DUMMYFUNCTION("""COMPUTED_VALUE"""),"Gabrielle Oporto")</f>
        <v>Gabrielle Oporto</v>
      </c>
      <c r="C929" s="118">
        <f ca="1">IFERROR(__xludf.DUMMYFUNCTION("""COMPUTED_VALUE"""),10)</f>
        <v>10</v>
      </c>
      <c r="D929" s="118" t="str">
        <f ca="1">IFERROR(__xludf.DUMMYFUNCTION("""COMPUTED_VALUE"""),"G")</f>
        <v>G</v>
      </c>
      <c r="E929" s="118" t="str">
        <f ca="1">IFERROR(__xludf.DUMMYFUNCTION("""COMPUTED_VALUE"""),"F")</f>
        <v>F</v>
      </c>
      <c r="F929" s="118" t="str">
        <f ca="1">IFERROR(__xludf.DUMMYFUNCTION("""COMPUTED_VALUE"""),"J")</f>
        <v>J</v>
      </c>
      <c r="G929" s="118">
        <f ca="1">IFERROR(__xludf.DUMMYFUNCTION("""COMPUTED_VALUE"""),2)</f>
        <v>2</v>
      </c>
      <c r="H929" s="118" t="str">
        <f ca="1">IFERROR(__xludf.DUMMYFUNCTION("""COMPUTED_VALUE"""),"HV")</f>
        <v>HV</v>
      </c>
      <c r="I929" s="118">
        <f ca="1">IFERROR(__xludf.DUMMYFUNCTION("""COMPUTED_VALUE"""),4)</f>
        <v>4</v>
      </c>
      <c r="J929" s="118">
        <f ca="1">IFERROR(__xludf.DUMMYFUNCTION("""COMPUTED_VALUE"""),5)</f>
        <v>5</v>
      </c>
      <c r="K929" s="120">
        <f ca="1">IFERROR(__xludf.DUMMYFUNCTION("""COMPUTED_VALUE"""),39.55)</f>
        <v>39.549999999999997</v>
      </c>
      <c r="L929" s="121"/>
      <c r="M929" s="120">
        <f ca="1">IFERROR(__xludf.DUMMYFUNCTION("""COMPUTED_VALUE"""),34.35)</f>
        <v>34.35</v>
      </c>
      <c r="N929" s="121"/>
      <c r="O929" s="120">
        <f ca="1">IFERROR(__xludf.DUMMYFUNCTION("""COMPUTED_VALUE"""),39.55)</f>
        <v>39.549999999999997</v>
      </c>
      <c r="P929" s="122"/>
      <c r="Q929" s="123" t="str">
        <f ca="1">IFERROR(__xludf.DUMMYFUNCTION("""COMPUTED_VALUE"""),"Violet Marsh")</f>
        <v>Violet Marsh</v>
      </c>
      <c r="R929" s="123"/>
      <c r="S929" s="123" t="str">
        <f ca="1">IFERROR(__xludf.DUMMYFUNCTION("""COMPUTED_VALUE"""),"Mia Cusner")</f>
        <v>Mia Cusner</v>
      </c>
      <c r="T929" s="123" t="str">
        <f ca="1">IFERROR(__xludf.DUMMYFUNCTION("""COMPUTED_VALUE"""),"Zach Scherer")</f>
        <v>Zach Scherer</v>
      </c>
    </row>
    <row r="930" spans="1:20" ht="13.8">
      <c r="A930" s="118" t="str">
        <f ca="1">IFERROR(__xludf.DUMMYFUNCTION("""COMPUTED_VALUE"""),"HV")</f>
        <v>HV</v>
      </c>
      <c r="B930" s="119" t="str">
        <f ca="1">IFERROR(__xludf.DUMMYFUNCTION("""COMPUTED_VALUE"""),"Hannah Carr")</f>
        <v>Hannah Carr</v>
      </c>
      <c r="C930" s="118">
        <f ca="1">IFERROR(__xludf.DUMMYFUNCTION("""COMPUTED_VALUE"""),7)</f>
        <v>7</v>
      </c>
      <c r="D930" s="118" t="str">
        <f ca="1">IFERROR(__xludf.DUMMYFUNCTION("""COMPUTED_VALUE"""),"G")</f>
        <v>G</v>
      </c>
      <c r="E930" s="118" t="str">
        <f ca="1">IFERROR(__xludf.DUMMYFUNCTION("""COMPUTED_VALUE"""),"F")</f>
        <v>F</v>
      </c>
      <c r="F930" s="118" t="str">
        <f ca="1">IFERROR(__xludf.DUMMYFUNCTION("""COMPUTED_VALUE"""),"J")</f>
        <v>J</v>
      </c>
      <c r="G930" s="118">
        <f ca="1">IFERROR(__xludf.DUMMYFUNCTION("""COMPUTED_VALUE"""),2)</f>
        <v>2</v>
      </c>
      <c r="H930" s="118" t="str">
        <f ca="1">IFERROR(__xludf.DUMMYFUNCTION("""COMPUTED_VALUE"""),"HV")</f>
        <v>HV</v>
      </c>
      <c r="I930" s="118">
        <f ca="1">IFERROR(__xludf.DUMMYFUNCTION("""COMPUTED_VALUE"""),4)</f>
        <v>4</v>
      </c>
      <c r="J930" s="118">
        <f ca="1">IFERROR(__xludf.DUMMYFUNCTION("""COMPUTED_VALUE"""),4)</f>
        <v>4</v>
      </c>
      <c r="K930" s="120">
        <f ca="1">IFERROR(__xludf.DUMMYFUNCTION("""COMPUTED_VALUE"""),44.9)</f>
        <v>44.9</v>
      </c>
      <c r="L930" s="121"/>
      <c r="M930" s="120">
        <f ca="1">IFERROR(__xludf.DUMMYFUNCTION("""COMPUTED_VALUE"""),39.1)</f>
        <v>39.1</v>
      </c>
      <c r="N930" s="121"/>
      <c r="O930" s="120">
        <f ca="1">IFERROR(__xludf.DUMMYFUNCTION("""COMPUTED_VALUE"""),38.65)</f>
        <v>38.65</v>
      </c>
      <c r="P930" s="122"/>
      <c r="Q930" s="123" t="str">
        <f ca="1">IFERROR(__xludf.DUMMYFUNCTION("""COMPUTED_VALUE"""),"Violet Pearce")</f>
        <v>Violet Pearce</v>
      </c>
      <c r="R930" s="123"/>
      <c r="S930" s="123" t="str">
        <f ca="1">IFERROR(__xludf.DUMMYFUNCTION("""COMPUTED_VALUE"""),"Mia Harbeck")</f>
        <v>Mia Harbeck</v>
      </c>
      <c r="T930" s="123" t="str">
        <f ca="1">IFERROR(__xludf.DUMMYFUNCTION("""COMPUTED_VALUE"""),"Zachary Kearney")</f>
        <v>Zachary Kearney</v>
      </c>
    </row>
    <row r="931" spans="1:20" ht="13.8">
      <c r="A931" s="118" t="str">
        <f ca="1">IFERROR(__xludf.DUMMYFUNCTION("""COMPUTED_VALUE"""),"HV")</f>
        <v>HV</v>
      </c>
      <c r="B931" s="119" t="str">
        <f ca="1">IFERROR(__xludf.DUMMYFUNCTION("""COMPUTED_VALUE"""),"Hannah Gibson")</f>
        <v>Hannah Gibson</v>
      </c>
      <c r="C931" s="118">
        <f ca="1">IFERROR(__xludf.DUMMYFUNCTION("""COMPUTED_VALUE"""),8)</f>
        <v>8</v>
      </c>
      <c r="D931" s="118" t="str">
        <f ca="1">IFERROR(__xludf.DUMMYFUNCTION("""COMPUTED_VALUE"""),"G")</f>
        <v>G</v>
      </c>
      <c r="E931" s="118" t="str">
        <f ca="1">IFERROR(__xludf.DUMMYFUNCTION("""COMPUTED_VALUE"""),"F")</f>
        <v>F</v>
      </c>
      <c r="F931" s="118" t="str">
        <f ca="1">IFERROR(__xludf.DUMMYFUNCTION("""COMPUTED_VALUE"""),"J")</f>
        <v>J</v>
      </c>
      <c r="G931" s="118">
        <f ca="1">IFERROR(__xludf.DUMMYFUNCTION("""COMPUTED_VALUE"""),2)</f>
        <v>2</v>
      </c>
      <c r="H931" s="118" t="str">
        <f ca="1">IFERROR(__xludf.DUMMYFUNCTION("""COMPUTED_VALUE"""),"HV")</f>
        <v>HV</v>
      </c>
      <c r="I931" s="118">
        <f ca="1">IFERROR(__xludf.DUMMYFUNCTION("""COMPUTED_VALUE"""),4)</f>
        <v>4</v>
      </c>
      <c r="J931" s="118">
        <f ca="1">IFERROR(__xludf.DUMMYFUNCTION("""COMPUTED_VALUE"""),3)</f>
        <v>3</v>
      </c>
      <c r="K931" s="120">
        <f ca="1">IFERROR(__xludf.DUMMYFUNCTION("""COMPUTED_VALUE"""),18.9)</f>
        <v>18.899999999999999</v>
      </c>
      <c r="L931" s="121"/>
      <c r="M931" s="120"/>
      <c r="N931" s="121"/>
      <c r="O931" s="120">
        <f ca="1">IFERROR(__xludf.DUMMYFUNCTION("""COMPUTED_VALUE"""),17.65)</f>
        <v>17.649999999999999</v>
      </c>
      <c r="P931" s="122"/>
      <c r="Q931" s="123" t="str">
        <f ca="1">IFERROR(__xludf.DUMMYFUNCTION("""COMPUTED_VALUE"""),"Violet Yam")</f>
        <v>Violet Yam</v>
      </c>
      <c r="R931" s="123"/>
      <c r="S931" s="123" t="str">
        <f ca="1">IFERROR(__xludf.DUMMYFUNCTION("""COMPUTED_VALUE"""),"Mia Khuc")</f>
        <v>Mia Khuc</v>
      </c>
      <c r="T931" s="123" t="str">
        <f ca="1">IFERROR(__xludf.DUMMYFUNCTION("""COMPUTED_VALUE"""),"Zachary Yen")</f>
        <v>Zachary Yen</v>
      </c>
    </row>
    <row r="932" spans="1:20" ht="13.8">
      <c r="A932" s="118" t="str">
        <f ca="1">IFERROR(__xludf.DUMMYFUNCTION("""COMPUTED_VALUE"""),"HV")</f>
        <v>HV</v>
      </c>
      <c r="B932" s="119" t="str">
        <f ca="1">IFERROR(__xludf.DUMMYFUNCTION("""COMPUTED_VALUE"""),"Lillian Gunderson")</f>
        <v>Lillian Gunderson</v>
      </c>
      <c r="C932" s="118">
        <f ca="1">IFERROR(__xludf.DUMMYFUNCTION("""COMPUTED_VALUE"""),9)</f>
        <v>9</v>
      </c>
      <c r="D932" s="118" t="str">
        <f ca="1">IFERROR(__xludf.DUMMYFUNCTION("""COMPUTED_VALUE"""),"G")</f>
        <v>G</v>
      </c>
      <c r="E932" s="118" t="str">
        <f ca="1">IFERROR(__xludf.DUMMYFUNCTION("""COMPUTED_VALUE"""),"F")</f>
        <v>F</v>
      </c>
      <c r="F932" s="118" t="str">
        <f ca="1">IFERROR(__xludf.DUMMYFUNCTION("""COMPUTED_VALUE"""),"J")</f>
        <v>J</v>
      </c>
      <c r="G932" s="118">
        <f ca="1">IFERROR(__xludf.DUMMYFUNCTION("""COMPUTED_VALUE"""),2)</f>
        <v>2</v>
      </c>
      <c r="H932" s="118" t="str">
        <f ca="1">IFERROR(__xludf.DUMMYFUNCTION("""COMPUTED_VALUE"""),"HV")</f>
        <v>HV</v>
      </c>
      <c r="I932" s="118">
        <f ca="1">IFERROR(__xludf.DUMMYFUNCTION("""COMPUTED_VALUE"""),4)</f>
        <v>4</v>
      </c>
      <c r="J932" s="118">
        <f ca="1">IFERROR(__xludf.DUMMYFUNCTION("""COMPUTED_VALUE"""),4)</f>
        <v>4</v>
      </c>
      <c r="K932" s="120">
        <f ca="1">IFERROR(__xludf.DUMMYFUNCTION("""COMPUTED_VALUE"""),78.6)</f>
        <v>78.599999999999994</v>
      </c>
      <c r="L932" s="121"/>
      <c r="M932" s="120"/>
      <c r="N932" s="121"/>
      <c r="O932" s="120">
        <f ca="1">IFERROR(__xludf.DUMMYFUNCTION("""COMPUTED_VALUE"""),62.85)</f>
        <v>62.85</v>
      </c>
      <c r="P932" s="122"/>
      <c r="Q932" s="123" t="str">
        <f ca="1">IFERROR(__xludf.DUMMYFUNCTION("""COMPUTED_VALUE"""),"Violetta Aldana")</f>
        <v>Violetta Aldana</v>
      </c>
      <c r="R932" s="123"/>
      <c r="S932" s="123" t="str">
        <f ca="1">IFERROR(__xludf.DUMMYFUNCTION("""COMPUTED_VALUE"""),"Mia Mroz")</f>
        <v>Mia Mroz</v>
      </c>
      <c r="T932" s="123" t="str">
        <f ca="1">IFERROR(__xludf.DUMMYFUNCTION("""COMPUTED_VALUE"""),"Zack Moorehead")</f>
        <v>Zack Moorehead</v>
      </c>
    </row>
    <row r="933" spans="1:20" ht="13.8">
      <c r="A933" s="118" t="str">
        <f ca="1">IFERROR(__xludf.DUMMYFUNCTION("""COMPUTED_VALUE"""),"HV")</f>
        <v>HV</v>
      </c>
      <c r="B933" s="119" t="str">
        <f ca="1">IFERROR(__xludf.DUMMYFUNCTION("""COMPUTED_VALUE"""),"Natalie Esquivel")</f>
        <v>Natalie Esquivel</v>
      </c>
      <c r="C933" s="118">
        <f ca="1">IFERROR(__xludf.DUMMYFUNCTION("""COMPUTED_VALUE"""),10)</f>
        <v>10</v>
      </c>
      <c r="D933" s="118" t="str">
        <f ca="1">IFERROR(__xludf.DUMMYFUNCTION("""COMPUTED_VALUE"""),"G")</f>
        <v>G</v>
      </c>
      <c r="E933" s="118" t="str">
        <f ca="1">IFERROR(__xludf.DUMMYFUNCTION("""COMPUTED_VALUE"""),"F")</f>
        <v>F</v>
      </c>
      <c r="F933" s="118" t="str">
        <f ca="1">IFERROR(__xludf.DUMMYFUNCTION("""COMPUTED_VALUE"""),"J")</f>
        <v>J</v>
      </c>
      <c r="G933" s="118">
        <f ca="1">IFERROR(__xludf.DUMMYFUNCTION("""COMPUTED_VALUE"""),2)</f>
        <v>2</v>
      </c>
      <c r="H933" s="118" t="str">
        <f ca="1">IFERROR(__xludf.DUMMYFUNCTION("""COMPUTED_VALUE"""),"HV")</f>
        <v>HV</v>
      </c>
      <c r="I933" s="118">
        <f ca="1">IFERROR(__xludf.DUMMYFUNCTION("""COMPUTED_VALUE"""),4)</f>
        <v>4</v>
      </c>
      <c r="J933" s="118">
        <f ca="1">IFERROR(__xludf.DUMMYFUNCTION("""COMPUTED_VALUE"""),3)</f>
        <v>3</v>
      </c>
      <c r="K933" s="120">
        <f ca="1">IFERROR(__xludf.DUMMYFUNCTION("""COMPUTED_VALUE"""),30.3)</f>
        <v>30.3</v>
      </c>
      <c r="L933" s="121"/>
      <c r="M933" s="120">
        <f ca="1">IFERROR(__xludf.DUMMYFUNCTION("""COMPUTED_VALUE"""),29.6)</f>
        <v>29.6</v>
      </c>
      <c r="N933" s="121"/>
      <c r="O933" s="120">
        <f ca="1">IFERROR(__xludf.DUMMYFUNCTION("""COMPUTED_VALUE"""),30.3)</f>
        <v>30.3</v>
      </c>
      <c r="P933" s="122"/>
      <c r="Q933" s="123" t="str">
        <f ca="1">IFERROR(__xludf.DUMMYFUNCTION("""COMPUTED_VALUE"""),"Vivian Beck")</f>
        <v>Vivian Beck</v>
      </c>
      <c r="R933" s="123"/>
      <c r="S933" s="123" t="str">
        <f ca="1">IFERROR(__xludf.DUMMYFUNCTION("""COMPUTED_VALUE"""),"Mia Tabrizi")</f>
        <v>Mia Tabrizi</v>
      </c>
      <c r="T933" s="123" t="str">
        <f ca="1">IFERROR(__xludf.DUMMYFUNCTION("""COMPUTED_VALUE"""),"Zaid Raheem")</f>
        <v>Zaid Raheem</v>
      </c>
    </row>
    <row r="934" spans="1:20" ht="13.8">
      <c r="A934" s="118" t="str">
        <f ca="1">IFERROR(__xludf.DUMMYFUNCTION("""COMPUTED_VALUE"""),"HV")</f>
        <v>HV</v>
      </c>
      <c r="B934" s="119" t="str">
        <f ca="1">IFERROR(__xludf.DUMMYFUNCTION("""COMPUTED_VALUE"""),"Payton Bennett")</f>
        <v>Payton Bennett</v>
      </c>
      <c r="C934" s="118">
        <f ca="1">IFERROR(__xludf.DUMMYFUNCTION("""COMPUTED_VALUE"""),9)</f>
        <v>9</v>
      </c>
      <c r="D934" s="118" t="str">
        <f ca="1">IFERROR(__xludf.DUMMYFUNCTION("""COMPUTED_VALUE"""),"G")</f>
        <v>G</v>
      </c>
      <c r="E934" s="118" t="str">
        <f ca="1">IFERROR(__xludf.DUMMYFUNCTION("""COMPUTED_VALUE"""),"F")</f>
        <v>F</v>
      </c>
      <c r="F934" s="118" t="str">
        <f ca="1">IFERROR(__xludf.DUMMYFUNCTION("""COMPUTED_VALUE"""),"J")</f>
        <v>J</v>
      </c>
      <c r="G934" s="118">
        <f ca="1">IFERROR(__xludf.DUMMYFUNCTION("""COMPUTED_VALUE"""),2)</f>
        <v>2</v>
      </c>
      <c r="H934" s="118" t="str">
        <f ca="1">IFERROR(__xludf.DUMMYFUNCTION("""COMPUTED_VALUE"""),"HV")</f>
        <v>HV</v>
      </c>
      <c r="I934" s="118">
        <f ca="1">IFERROR(__xludf.DUMMYFUNCTION("""COMPUTED_VALUE"""),4)</f>
        <v>4</v>
      </c>
      <c r="J934" s="118">
        <f ca="1">IFERROR(__xludf.DUMMYFUNCTION("""COMPUTED_VALUE"""),5)</f>
        <v>5</v>
      </c>
      <c r="K934" s="120">
        <f ca="1">IFERROR(__xludf.DUMMYFUNCTION("""COMPUTED_VALUE"""),65.7)</f>
        <v>65.7</v>
      </c>
      <c r="L934" s="121"/>
      <c r="M934" s="120">
        <f ca="1">IFERROR(__xludf.DUMMYFUNCTION("""COMPUTED_VALUE"""),-66.9)</f>
        <v>-66.900000000000006</v>
      </c>
      <c r="N934" s="121"/>
      <c r="O934" s="120">
        <f ca="1">IFERROR(__xludf.DUMMYFUNCTION("""COMPUTED_VALUE"""),49.6)</f>
        <v>49.6</v>
      </c>
      <c r="P934" s="122"/>
      <c r="Q934" s="123" t="str">
        <f ca="1">IFERROR(__xludf.DUMMYFUNCTION("""COMPUTED_VALUE"""),"Vivian Meruvia")</f>
        <v>Vivian Meruvia</v>
      </c>
      <c r="R934" s="123"/>
      <c r="S934" s="123" t="str">
        <f ca="1">IFERROR(__xludf.DUMMYFUNCTION("""COMPUTED_VALUE"""),"Miah Collazo")</f>
        <v>Miah Collazo</v>
      </c>
      <c r="T934" s="123" t="str">
        <f ca="1">IFERROR(__xludf.DUMMYFUNCTION("""COMPUTED_VALUE"""),"Zak Kolonda")</f>
        <v>Zak Kolonda</v>
      </c>
    </row>
    <row r="935" spans="1:20" ht="13.8">
      <c r="A935" s="118" t="str">
        <f ca="1">IFERROR(__xludf.DUMMYFUNCTION("""COMPUTED_VALUE"""),"HV")</f>
        <v>HV</v>
      </c>
      <c r="B935" s="119" t="str">
        <f ca="1">IFERROR(__xludf.DUMMYFUNCTION("""COMPUTED_VALUE"""),"Quinn Rogers")</f>
        <v>Quinn Rogers</v>
      </c>
      <c r="C935" s="118">
        <f ca="1">IFERROR(__xludf.DUMMYFUNCTION("""COMPUTED_VALUE"""),5)</f>
        <v>5</v>
      </c>
      <c r="D935" s="118" t="str">
        <f ca="1">IFERROR(__xludf.DUMMYFUNCTION("""COMPUTED_VALUE"""),"G")</f>
        <v>G</v>
      </c>
      <c r="E935" s="118" t="str">
        <f ca="1">IFERROR(__xludf.DUMMYFUNCTION("""COMPUTED_VALUE"""),"F")</f>
        <v>F</v>
      </c>
      <c r="F935" s="118" t="str">
        <f ca="1">IFERROR(__xludf.DUMMYFUNCTION("""COMPUTED_VALUE"""),"J")</f>
        <v>J</v>
      </c>
      <c r="G935" s="118">
        <f ca="1">IFERROR(__xludf.DUMMYFUNCTION("""COMPUTED_VALUE"""),2)</f>
        <v>2</v>
      </c>
      <c r="H935" s="118" t="str">
        <f ca="1">IFERROR(__xludf.DUMMYFUNCTION("""COMPUTED_VALUE"""),"HV")</f>
        <v>HV</v>
      </c>
      <c r="I935" s="118">
        <f ca="1">IFERROR(__xludf.DUMMYFUNCTION("""COMPUTED_VALUE"""),4)</f>
        <v>4</v>
      </c>
      <c r="J935" s="118">
        <f ca="1">IFERROR(__xludf.DUMMYFUNCTION("""COMPUTED_VALUE"""),0)</f>
        <v>0</v>
      </c>
      <c r="K935" s="120"/>
      <c r="L935" s="121"/>
      <c r="M935" s="120"/>
      <c r="N935" s="121"/>
      <c r="O935" s="120"/>
      <c r="P935" s="122"/>
      <c r="Q935" s="123" t="str">
        <f ca="1">IFERROR(__xludf.DUMMYFUNCTION("""COMPUTED_VALUE"""),"Vivian Rumrill")</f>
        <v>Vivian Rumrill</v>
      </c>
      <c r="R935" s="123"/>
      <c r="S935" s="123" t="str">
        <f ca="1">IFERROR(__xludf.DUMMYFUNCTION("""COMPUTED_VALUE"""),"Miah Henderson")</f>
        <v>Miah Henderson</v>
      </c>
      <c r="T935" s="123" t="str">
        <f ca="1">IFERROR(__xludf.DUMMYFUNCTION("""COMPUTED_VALUE"""),"Zane Pickenheim")</f>
        <v>Zane Pickenheim</v>
      </c>
    </row>
    <row r="936" spans="1:20" ht="13.8">
      <c r="A936" s="118" t="str">
        <f ca="1">IFERROR(__xludf.DUMMYFUNCTION("""COMPUTED_VALUE"""),"HV")</f>
        <v>HV</v>
      </c>
      <c r="B936" s="119" t="str">
        <f ca="1">IFERROR(__xludf.DUMMYFUNCTION("""COMPUTED_VALUE"""),"Alexander Ogrodny")</f>
        <v>Alexander Ogrodny</v>
      </c>
      <c r="C936" s="118">
        <f ca="1">IFERROR(__xludf.DUMMYFUNCTION("""COMPUTED_VALUE"""),9)</f>
        <v>9</v>
      </c>
      <c r="D936" s="118" t="str">
        <f ca="1">IFERROR(__xludf.DUMMYFUNCTION("""COMPUTED_VALUE"""),"B")</f>
        <v>B</v>
      </c>
      <c r="E936" s="118" t="str">
        <f ca="1">IFERROR(__xludf.DUMMYFUNCTION("""COMPUTED_VALUE"""),"F")</f>
        <v>F</v>
      </c>
      <c r="F936" s="118" t="str">
        <f ca="1">IFERROR(__xludf.DUMMYFUNCTION("""COMPUTED_VALUE"""),"J")</f>
        <v>J</v>
      </c>
      <c r="G936" s="118">
        <f ca="1">IFERROR(__xludf.DUMMYFUNCTION("""COMPUTED_VALUE"""),2)</f>
        <v>2</v>
      </c>
      <c r="H936" s="118" t="str">
        <f ca="1">IFERROR(__xludf.DUMMYFUNCTION("""COMPUTED_VALUE"""),"HV")</f>
        <v>HV</v>
      </c>
      <c r="I936" s="118">
        <f ca="1">IFERROR(__xludf.DUMMYFUNCTION("""COMPUTED_VALUE"""),5)</f>
        <v>5</v>
      </c>
      <c r="J936" s="118">
        <f ca="1">IFERROR(__xludf.DUMMYFUNCTION("""COMPUTED_VALUE"""),4)</f>
        <v>4</v>
      </c>
      <c r="K936" s="120">
        <f ca="1">IFERROR(__xludf.DUMMYFUNCTION("""COMPUTED_VALUE"""),52.7)</f>
        <v>52.7</v>
      </c>
      <c r="L936" s="121"/>
      <c r="M936" s="120">
        <f ca="1">IFERROR(__xludf.DUMMYFUNCTION("""COMPUTED_VALUE"""),38.25)</f>
        <v>38.25</v>
      </c>
      <c r="N936" s="121"/>
      <c r="O936" s="120"/>
      <c r="P936" s="122"/>
      <c r="Q936" s="123" t="str">
        <f ca="1">IFERROR(__xludf.DUMMYFUNCTION("""COMPUTED_VALUE"""),"Vivian Warren")</f>
        <v>Vivian Warren</v>
      </c>
      <c r="R936" s="123"/>
      <c r="S936" s="123" t="str">
        <f ca="1">IFERROR(__xludf.DUMMYFUNCTION("""COMPUTED_VALUE"""),"Michaela Swartz")</f>
        <v>Michaela Swartz</v>
      </c>
      <c r="T936" s="123" t="str">
        <f ca="1">IFERROR(__xludf.DUMMYFUNCTION("""COMPUTED_VALUE"""),"Zavier Green")</f>
        <v>Zavier Green</v>
      </c>
    </row>
    <row r="937" spans="1:20" ht="13.8">
      <c r="A937" s="118" t="str">
        <f ca="1">IFERROR(__xludf.DUMMYFUNCTION("""COMPUTED_VALUE"""),"HV")</f>
        <v>HV</v>
      </c>
      <c r="B937" s="119" t="str">
        <f ca="1">IFERROR(__xludf.DUMMYFUNCTION("""COMPUTED_VALUE"""),"Andrew Haldeman")</f>
        <v>Andrew Haldeman</v>
      </c>
      <c r="C937" s="118">
        <f ca="1">IFERROR(__xludf.DUMMYFUNCTION("""COMPUTED_VALUE"""),9)</f>
        <v>9</v>
      </c>
      <c r="D937" s="118" t="str">
        <f ca="1">IFERROR(__xludf.DUMMYFUNCTION("""COMPUTED_VALUE"""),"B")</f>
        <v>B</v>
      </c>
      <c r="E937" s="118" t="str">
        <f ca="1">IFERROR(__xludf.DUMMYFUNCTION("""COMPUTED_VALUE"""),"F")</f>
        <v>F</v>
      </c>
      <c r="F937" s="118" t="str">
        <f ca="1">IFERROR(__xludf.DUMMYFUNCTION("""COMPUTED_VALUE"""),"J")</f>
        <v>J</v>
      </c>
      <c r="G937" s="118">
        <f ca="1">IFERROR(__xludf.DUMMYFUNCTION("""COMPUTED_VALUE"""),2)</f>
        <v>2</v>
      </c>
      <c r="H937" s="118" t="str">
        <f ca="1">IFERROR(__xludf.DUMMYFUNCTION("""COMPUTED_VALUE"""),"HV")</f>
        <v>HV</v>
      </c>
      <c r="I937" s="118">
        <f ca="1">IFERROR(__xludf.DUMMYFUNCTION("""COMPUTED_VALUE"""),5)</f>
        <v>5</v>
      </c>
      <c r="J937" s="118">
        <f ca="1">IFERROR(__xludf.DUMMYFUNCTION("""COMPUTED_VALUE"""),4)</f>
        <v>4</v>
      </c>
      <c r="K937" s="120">
        <f ca="1">IFERROR(__xludf.DUMMYFUNCTION("""COMPUTED_VALUE"""),32.5)</f>
        <v>32.5</v>
      </c>
      <c r="L937" s="121"/>
      <c r="M937" s="120">
        <f ca="1">IFERROR(__xludf.DUMMYFUNCTION("""COMPUTED_VALUE"""),32)</f>
        <v>32</v>
      </c>
      <c r="N937" s="121"/>
      <c r="O937" s="120"/>
      <c r="P937" s="122"/>
      <c r="Q937" s="123" t="str">
        <f ca="1">IFERROR(__xludf.DUMMYFUNCTION("""COMPUTED_VALUE"""),"Vivie Bucher")</f>
        <v>Vivie Bucher</v>
      </c>
      <c r="R937" s="123"/>
      <c r="S937" s="123" t="str">
        <f ca="1">IFERROR(__xludf.DUMMYFUNCTION("""COMPUTED_VALUE"""),"Michayla Eisenberg")</f>
        <v>Michayla Eisenberg</v>
      </c>
      <c r="T937" s="123" t="str">
        <f ca="1">IFERROR(__xludf.DUMMYFUNCTION("""COMPUTED_VALUE"""),"Zavier Roberts")</f>
        <v>Zavier Roberts</v>
      </c>
    </row>
    <row r="938" spans="1:20" ht="13.8">
      <c r="A938" s="118" t="str">
        <f ca="1">IFERROR(__xludf.DUMMYFUNCTION("""COMPUTED_VALUE"""),"HV")</f>
        <v>HV</v>
      </c>
      <c r="B938" s="119" t="str">
        <f ca="1">IFERROR(__xludf.DUMMYFUNCTION("""COMPUTED_VALUE"""),"Arlo Creen")</f>
        <v>Arlo Creen</v>
      </c>
      <c r="C938" s="118">
        <f ca="1">IFERROR(__xludf.DUMMYFUNCTION("""COMPUTED_VALUE"""),9)</f>
        <v>9</v>
      </c>
      <c r="D938" s="118" t="str">
        <f ca="1">IFERROR(__xludf.DUMMYFUNCTION("""COMPUTED_VALUE"""),"B")</f>
        <v>B</v>
      </c>
      <c r="E938" s="118" t="str">
        <f ca="1">IFERROR(__xludf.DUMMYFUNCTION("""COMPUTED_VALUE"""),"F")</f>
        <v>F</v>
      </c>
      <c r="F938" s="118" t="str">
        <f ca="1">IFERROR(__xludf.DUMMYFUNCTION("""COMPUTED_VALUE"""),"J")</f>
        <v>J</v>
      </c>
      <c r="G938" s="118">
        <f ca="1">IFERROR(__xludf.DUMMYFUNCTION("""COMPUTED_VALUE"""),2)</f>
        <v>2</v>
      </c>
      <c r="H938" s="118" t="str">
        <f ca="1">IFERROR(__xludf.DUMMYFUNCTION("""COMPUTED_VALUE"""),"HV")</f>
        <v>HV</v>
      </c>
      <c r="I938" s="118">
        <f ca="1">IFERROR(__xludf.DUMMYFUNCTION("""COMPUTED_VALUE"""),5)</f>
        <v>5</v>
      </c>
      <c r="J938" s="118">
        <f ca="1">IFERROR(__xludf.DUMMYFUNCTION("""COMPUTED_VALUE"""),1)</f>
        <v>1</v>
      </c>
      <c r="K938" s="120">
        <f ca="1">IFERROR(__xludf.DUMMYFUNCTION("""COMPUTED_VALUE"""),20.35)</f>
        <v>20.350000000000001</v>
      </c>
      <c r="L938" s="121"/>
      <c r="M938" s="120">
        <f ca="1">IFERROR(__xludf.DUMMYFUNCTION("""COMPUTED_VALUE"""),20.35)</f>
        <v>20.350000000000001</v>
      </c>
      <c r="N938" s="121"/>
      <c r="O938" s="120"/>
      <c r="P938" s="122"/>
      <c r="Q938" s="123" t="str">
        <f ca="1">IFERROR(__xludf.DUMMYFUNCTION("""COMPUTED_VALUE"""),"Vivie Lee")</f>
        <v>Vivie Lee</v>
      </c>
      <c r="R938" s="123"/>
      <c r="S938" s="123" t="str">
        <f ca="1">IFERROR(__xludf.DUMMYFUNCTION("""COMPUTED_VALUE"""),"Michelle Pietras")</f>
        <v>Michelle Pietras</v>
      </c>
      <c r="T938" s="123" t="str">
        <f ca="1">IFERROR(__xludf.DUMMYFUNCTION("""COMPUTED_VALUE"""),"Zouli Alexandratos")</f>
        <v>Zouli Alexandratos</v>
      </c>
    </row>
    <row r="939" spans="1:20" ht="13.8">
      <c r="A939" s="118" t="str">
        <f ca="1">IFERROR(__xludf.DUMMYFUNCTION("""COMPUTED_VALUE"""),"HV")</f>
        <v>HV</v>
      </c>
      <c r="B939" s="119" t="str">
        <f ca="1">IFERROR(__xludf.DUMMYFUNCTION("""COMPUTED_VALUE"""),"Devin Davenport")</f>
        <v>Devin Davenport</v>
      </c>
      <c r="C939" s="118">
        <f ca="1">IFERROR(__xludf.DUMMYFUNCTION("""COMPUTED_VALUE"""),9)</f>
        <v>9</v>
      </c>
      <c r="D939" s="118" t="str">
        <f ca="1">IFERROR(__xludf.DUMMYFUNCTION("""COMPUTED_VALUE"""),"B")</f>
        <v>B</v>
      </c>
      <c r="E939" s="118" t="str">
        <f ca="1">IFERROR(__xludf.DUMMYFUNCTION("""COMPUTED_VALUE"""),"F")</f>
        <v>F</v>
      </c>
      <c r="F939" s="118" t="str">
        <f ca="1">IFERROR(__xludf.DUMMYFUNCTION("""COMPUTED_VALUE"""),"J")</f>
        <v>J</v>
      </c>
      <c r="G939" s="118">
        <f ca="1">IFERROR(__xludf.DUMMYFUNCTION("""COMPUTED_VALUE"""),2)</f>
        <v>2</v>
      </c>
      <c r="H939" s="118" t="str">
        <f ca="1">IFERROR(__xludf.DUMMYFUNCTION("""COMPUTED_VALUE"""),"HV")</f>
        <v>HV</v>
      </c>
      <c r="I939" s="118">
        <f ca="1">IFERROR(__xludf.DUMMYFUNCTION("""COMPUTED_VALUE"""),5)</f>
        <v>5</v>
      </c>
      <c r="J939" s="118">
        <f ca="1">IFERROR(__xludf.DUMMYFUNCTION("""COMPUTED_VALUE"""),3)</f>
        <v>3</v>
      </c>
      <c r="K939" s="120">
        <f ca="1">IFERROR(__xludf.DUMMYFUNCTION("""COMPUTED_VALUE"""),43.3)</f>
        <v>43.3</v>
      </c>
      <c r="L939" s="121"/>
      <c r="M939" s="120">
        <f ca="1">IFERROR(__xludf.DUMMYFUNCTION("""COMPUTED_VALUE"""),23.1)</f>
        <v>23.1</v>
      </c>
      <c r="N939" s="121"/>
      <c r="O939" s="120">
        <f ca="1">IFERROR(__xludf.DUMMYFUNCTION("""COMPUTED_VALUE"""),29.65)</f>
        <v>29.65</v>
      </c>
      <c r="P939" s="122"/>
      <c r="Q939" s="123" t="str">
        <f ca="1">IFERROR(__xludf.DUMMYFUNCTION("""COMPUTED_VALUE"""),"Vivienne Bergeron")</f>
        <v>Vivienne Bergeron</v>
      </c>
      <c r="R939" s="123"/>
      <c r="S939" s="123" t="str">
        <f ca="1">IFERROR(__xludf.DUMMYFUNCTION("""COMPUTED_VALUE"""),"Mikayla Dykes")</f>
        <v>Mikayla Dykes</v>
      </c>
      <c r="T939" s="123"/>
    </row>
    <row r="940" spans="1:20" ht="13.8">
      <c r="A940" s="118" t="str">
        <f ca="1">IFERROR(__xludf.DUMMYFUNCTION("""COMPUTED_VALUE"""),"HV")</f>
        <v>HV</v>
      </c>
      <c r="B940" s="119" t="str">
        <f ca="1">IFERROR(__xludf.DUMMYFUNCTION("""COMPUTED_VALUE"""),"Lincoln Kemp")</f>
        <v>Lincoln Kemp</v>
      </c>
      <c r="C940" s="118">
        <f ca="1">IFERROR(__xludf.DUMMYFUNCTION("""COMPUTED_VALUE"""),8)</f>
        <v>8</v>
      </c>
      <c r="D940" s="118" t="str">
        <f ca="1">IFERROR(__xludf.DUMMYFUNCTION("""COMPUTED_VALUE"""),"B")</f>
        <v>B</v>
      </c>
      <c r="E940" s="118" t="str">
        <f ca="1">IFERROR(__xludf.DUMMYFUNCTION("""COMPUTED_VALUE"""),"F")</f>
        <v>F</v>
      </c>
      <c r="F940" s="118" t="str">
        <f ca="1">IFERROR(__xludf.DUMMYFUNCTION("""COMPUTED_VALUE"""),"J")</f>
        <v>J</v>
      </c>
      <c r="G940" s="118">
        <f ca="1">IFERROR(__xludf.DUMMYFUNCTION("""COMPUTED_VALUE"""),2)</f>
        <v>2</v>
      </c>
      <c r="H940" s="118" t="str">
        <f ca="1">IFERROR(__xludf.DUMMYFUNCTION("""COMPUTED_VALUE"""),"HV")</f>
        <v>HV</v>
      </c>
      <c r="I940" s="118">
        <f ca="1">IFERROR(__xludf.DUMMYFUNCTION("""COMPUTED_VALUE"""),5)</f>
        <v>5</v>
      </c>
      <c r="J940" s="118">
        <f ca="1">IFERROR(__xludf.DUMMYFUNCTION("""COMPUTED_VALUE"""),5)</f>
        <v>5</v>
      </c>
      <c r="K940" s="120">
        <f ca="1">IFERROR(__xludf.DUMMYFUNCTION("""COMPUTED_VALUE"""),60.45)</f>
        <v>60.45</v>
      </c>
      <c r="L940" s="121"/>
      <c r="M940" s="120">
        <f ca="1">IFERROR(__xludf.DUMMYFUNCTION("""COMPUTED_VALUE"""),48.2)</f>
        <v>48.2</v>
      </c>
      <c r="N940" s="121"/>
      <c r="O940" s="120">
        <f ca="1">IFERROR(__xludf.DUMMYFUNCTION("""COMPUTED_VALUE"""),52.95)</f>
        <v>52.95</v>
      </c>
      <c r="P940" s="122"/>
      <c r="Q940" s="123" t="str">
        <f ca="1">IFERROR(__xludf.DUMMYFUNCTION("""COMPUTED_VALUE"""),"Vivienne Zven")</f>
        <v>Vivienne Zven</v>
      </c>
      <c r="R940" s="123"/>
      <c r="S940" s="123" t="str">
        <f ca="1">IFERROR(__xludf.DUMMYFUNCTION("""COMPUTED_VALUE"""),"Mila Farahi")</f>
        <v>Mila Farahi</v>
      </c>
      <c r="T940" s="123"/>
    </row>
    <row r="941" spans="1:20" ht="13.8">
      <c r="A941" s="118" t="str">
        <f ca="1">IFERROR(__xludf.DUMMYFUNCTION("""COMPUTED_VALUE"""),"HV")</f>
        <v>HV</v>
      </c>
      <c r="B941" s="119" t="str">
        <f ca="1">IFERROR(__xludf.DUMMYFUNCTION("""COMPUTED_VALUE"""),"Eloise Smith")</f>
        <v>Eloise Smith</v>
      </c>
      <c r="C941" s="118">
        <f ca="1">IFERROR(__xludf.DUMMYFUNCTION("""COMPUTED_VALUE"""),12)</f>
        <v>12</v>
      </c>
      <c r="D941" s="118" t="str">
        <f ca="1">IFERROR(__xludf.DUMMYFUNCTION("""COMPUTED_VALUE"""),"G")</f>
        <v>G</v>
      </c>
      <c r="E941" s="118" t="str">
        <f ca="1">IFERROR(__xludf.DUMMYFUNCTION("""COMPUTED_VALUE"""),"J")</f>
        <v>J</v>
      </c>
      <c r="F941" s="118" t="str">
        <f ca="1">IFERROR(__xludf.DUMMYFUNCTION("""COMPUTED_VALUE"""),"I")</f>
        <v>I</v>
      </c>
      <c r="G941" s="118">
        <f ca="1">IFERROR(__xludf.DUMMYFUNCTION("""COMPUTED_VALUE"""),2)</f>
        <v>2</v>
      </c>
      <c r="H941" s="118" t="str">
        <f ca="1">IFERROR(__xludf.DUMMYFUNCTION("""COMPUTED_VALUE"""),"HV")</f>
        <v>HV</v>
      </c>
      <c r="I941" s="118">
        <f ca="1">IFERROR(__xludf.DUMMYFUNCTION("""COMPUTED_VALUE"""),6)</f>
        <v>6</v>
      </c>
      <c r="J941" s="118">
        <f ca="1">IFERROR(__xludf.DUMMYFUNCTION("""COMPUTED_VALUE"""),2)</f>
        <v>2</v>
      </c>
      <c r="K941" s="120">
        <f ca="1">IFERROR(__xludf.DUMMYFUNCTION("""COMPUTED_VALUE"""),39.1)</f>
        <v>39.1</v>
      </c>
      <c r="L941" s="121"/>
      <c r="M941" s="120"/>
      <c r="N941" s="121"/>
      <c r="O941" s="120">
        <f ca="1">IFERROR(__xludf.DUMMYFUNCTION("""COMPUTED_VALUE"""),39.1)</f>
        <v>39.1</v>
      </c>
      <c r="P941" s="122"/>
      <c r="Q941" s="123" t="str">
        <f ca="1">IFERROR(__xludf.DUMMYFUNCTION("""COMPUTED_VALUE"""),"Warren Paterno")</f>
        <v>Warren Paterno</v>
      </c>
      <c r="R941" s="123"/>
      <c r="S941" s="123" t="str">
        <f ca="1">IFERROR(__xludf.DUMMYFUNCTION("""COMPUTED_VALUE"""),"Mila Garcia")</f>
        <v>Mila Garcia</v>
      </c>
      <c r="T941" s="123"/>
    </row>
    <row r="942" spans="1:20" ht="13.8">
      <c r="A942" s="118" t="str">
        <f ca="1">IFERROR(__xludf.DUMMYFUNCTION("""COMPUTED_VALUE"""),"HV")</f>
        <v>HV</v>
      </c>
      <c r="B942" s="119" t="str">
        <f ca="1">IFERROR(__xludf.DUMMYFUNCTION("""COMPUTED_VALUE"""),"Lucy Leland")</f>
        <v>Lucy Leland</v>
      </c>
      <c r="C942" s="118">
        <f ca="1">IFERROR(__xludf.DUMMYFUNCTION("""COMPUTED_VALUE"""),12)</f>
        <v>12</v>
      </c>
      <c r="D942" s="118" t="str">
        <f ca="1">IFERROR(__xludf.DUMMYFUNCTION("""COMPUTED_VALUE"""),"G")</f>
        <v>G</v>
      </c>
      <c r="E942" s="118" t="str">
        <f ca="1">IFERROR(__xludf.DUMMYFUNCTION("""COMPUTED_VALUE"""),"J")</f>
        <v>J</v>
      </c>
      <c r="F942" s="118" t="str">
        <f ca="1">IFERROR(__xludf.DUMMYFUNCTION("""COMPUTED_VALUE"""),"I")</f>
        <v>I</v>
      </c>
      <c r="G942" s="118">
        <f ca="1">IFERROR(__xludf.DUMMYFUNCTION("""COMPUTED_VALUE"""),2)</f>
        <v>2</v>
      </c>
      <c r="H942" s="118" t="str">
        <f ca="1">IFERROR(__xludf.DUMMYFUNCTION("""COMPUTED_VALUE"""),"HV")</f>
        <v>HV</v>
      </c>
      <c r="I942" s="118">
        <f ca="1">IFERROR(__xludf.DUMMYFUNCTION("""COMPUTED_VALUE"""),6)</f>
        <v>6</v>
      </c>
      <c r="J942" s="118">
        <f ca="1">IFERROR(__xludf.DUMMYFUNCTION("""COMPUTED_VALUE"""),4)</f>
        <v>4</v>
      </c>
      <c r="K942" s="120">
        <f ca="1">IFERROR(__xludf.DUMMYFUNCTION("""COMPUTED_VALUE"""),91.2)</f>
        <v>91.2</v>
      </c>
      <c r="L942" s="121"/>
      <c r="M942" s="120"/>
      <c r="N942" s="121"/>
      <c r="O942" s="120">
        <f ca="1">IFERROR(__xludf.DUMMYFUNCTION("""COMPUTED_VALUE"""),70.9)</f>
        <v>70.900000000000006</v>
      </c>
      <c r="P942" s="122"/>
      <c r="Q942" s="123" t="str">
        <f ca="1">IFERROR(__xludf.DUMMYFUNCTION("""COMPUTED_VALUE"""),"Whitney Grantz")</f>
        <v>Whitney Grantz</v>
      </c>
      <c r="R942" s="123"/>
      <c r="S942" s="123" t="str">
        <f ca="1">IFERROR(__xludf.DUMMYFUNCTION("""COMPUTED_VALUE"""),"Mila Gonzales")</f>
        <v>Mila Gonzales</v>
      </c>
      <c r="T942" s="123"/>
    </row>
    <row r="943" spans="1:20" ht="13.8">
      <c r="A943" s="118" t="str">
        <f ca="1">IFERROR(__xludf.DUMMYFUNCTION("""COMPUTED_VALUE"""),"HV")</f>
        <v>HV</v>
      </c>
      <c r="B943" s="119" t="str">
        <f ca="1">IFERROR(__xludf.DUMMYFUNCTION("""COMPUTED_VALUE"""),"Lydia Ko")</f>
        <v>Lydia Ko</v>
      </c>
      <c r="C943" s="118">
        <f ca="1">IFERROR(__xludf.DUMMYFUNCTION("""COMPUTED_VALUE"""),12)</f>
        <v>12</v>
      </c>
      <c r="D943" s="118" t="str">
        <f ca="1">IFERROR(__xludf.DUMMYFUNCTION("""COMPUTED_VALUE"""),"G")</f>
        <v>G</v>
      </c>
      <c r="E943" s="118" t="str">
        <f ca="1">IFERROR(__xludf.DUMMYFUNCTION("""COMPUTED_VALUE"""),"J")</f>
        <v>J</v>
      </c>
      <c r="F943" s="118" t="str">
        <f ca="1">IFERROR(__xludf.DUMMYFUNCTION("""COMPUTED_VALUE"""),"I")</f>
        <v>I</v>
      </c>
      <c r="G943" s="118">
        <f ca="1">IFERROR(__xludf.DUMMYFUNCTION("""COMPUTED_VALUE"""),2)</f>
        <v>2</v>
      </c>
      <c r="H943" s="118" t="str">
        <f ca="1">IFERROR(__xludf.DUMMYFUNCTION("""COMPUTED_VALUE"""),"HV")</f>
        <v>HV</v>
      </c>
      <c r="I943" s="118">
        <f ca="1">IFERROR(__xludf.DUMMYFUNCTION("""COMPUTED_VALUE"""),6)</f>
        <v>6</v>
      </c>
      <c r="J943" s="118">
        <f ca="1">IFERROR(__xludf.DUMMYFUNCTION("""COMPUTED_VALUE"""),0)</f>
        <v>0</v>
      </c>
      <c r="K943" s="120"/>
      <c r="L943" s="121"/>
      <c r="M943" s="120"/>
      <c r="N943" s="121"/>
      <c r="O943" s="120"/>
      <c r="P943" s="122"/>
      <c r="Q943" s="123" t="str">
        <f ca="1">IFERROR(__xludf.DUMMYFUNCTION("""COMPUTED_VALUE"""),"Winnie Dugan")</f>
        <v>Winnie Dugan</v>
      </c>
      <c r="R943" s="123"/>
      <c r="S943" s="123" t="str">
        <f ca="1">IFERROR(__xludf.DUMMYFUNCTION("""COMPUTED_VALUE"""),"Mila Gonzalez")</f>
        <v>Mila Gonzalez</v>
      </c>
      <c r="T943" s="123"/>
    </row>
    <row r="944" spans="1:20" ht="13.8">
      <c r="A944" s="118" t="str">
        <f ca="1">IFERROR(__xludf.DUMMYFUNCTION("""COMPUTED_VALUE"""),"HV")</f>
        <v>HV</v>
      </c>
      <c r="B944" s="119" t="str">
        <f ca="1">IFERROR(__xludf.DUMMYFUNCTION("""COMPUTED_VALUE"""),"Nola Mammo")</f>
        <v>Nola Mammo</v>
      </c>
      <c r="C944" s="118">
        <f ca="1">IFERROR(__xludf.DUMMYFUNCTION("""COMPUTED_VALUE"""),11)</f>
        <v>11</v>
      </c>
      <c r="D944" s="118" t="str">
        <f ca="1">IFERROR(__xludf.DUMMYFUNCTION("""COMPUTED_VALUE"""),"G")</f>
        <v>G</v>
      </c>
      <c r="E944" s="118" t="str">
        <f ca="1">IFERROR(__xludf.DUMMYFUNCTION("""COMPUTED_VALUE"""),"J")</f>
        <v>J</v>
      </c>
      <c r="F944" s="118" t="str">
        <f ca="1">IFERROR(__xludf.DUMMYFUNCTION("""COMPUTED_VALUE"""),"I")</f>
        <v>I</v>
      </c>
      <c r="G944" s="118">
        <f ca="1">IFERROR(__xludf.DUMMYFUNCTION("""COMPUTED_VALUE"""),2)</f>
        <v>2</v>
      </c>
      <c r="H944" s="118" t="str">
        <f ca="1">IFERROR(__xludf.DUMMYFUNCTION("""COMPUTED_VALUE"""),"HV")</f>
        <v>HV</v>
      </c>
      <c r="I944" s="118">
        <f ca="1">IFERROR(__xludf.DUMMYFUNCTION("""COMPUTED_VALUE"""),6)</f>
        <v>6</v>
      </c>
      <c r="J944" s="118">
        <f ca="1">IFERROR(__xludf.DUMMYFUNCTION("""COMPUTED_VALUE"""),0)</f>
        <v>0</v>
      </c>
      <c r="K944" s="120"/>
      <c r="L944" s="121"/>
      <c r="M944" s="120"/>
      <c r="N944" s="121"/>
      <c r="O944" s="120"/>
      <c r="P944" s="122"/>
      <c r="Q944" s="123" t="str">
        <f ca="1">IFERROR(__xludf.DUMMYFUNCTION("""COMPUTED_VALUE"""),"Wren McCann")</f>
        <v>Wren McCann</v>
      </c>
      <c r="R944" s="123"/>
      <c r="S944" s="123" t="str">
        <f ca="1">IFERROR(__xludf.DUMMYFUNCTION("""COMPUTED_VALUE"""),"Mila Mazahery")</f>
        <v>Mila Mazahery</v>
      </c>
      <c r="T944" s="123"/>
    </row>
    <row r="945" spans="1:20" ht="13.8">
      <c r="A945" s="118" t="str">
        <f ca="1">IFERROR(__xludf.DUMMYFUNCTION("""COMPUTED_VALUE"""),"HV")</f>
        <v>HV</v>
      </c>
      <c r="B945" s="119" t="str">
        <f ca="1">IFERROR(__xludf.DUMMYFUNCTION("""COMPUTED_VALUE"""),"Adam Ogrodny")</f>
        <v>Adam Ogrodny</v>
      </c>
      <c r="C945" s="118">
        <f ca="1">IFERROR(__xludf.DUMMYFUNCTION("""COMPUTED_VALUE"""),11)</f>
        <v>11</v>
      </c>
      <c r="D945" s="118" t="str">
        <f ca="1">IFERROR(__xludf.DUMMYFUNCTION("""COMPUTED_VALUE"""),"B")</f>
        <v>B</v>
      </c>
      <c r="E945" s="118" t="str">
        <f ca="1">IFERROR(__xludf.DUMMYFUNCTION("""COMPUTED_VALUE"""),"J")</f>
        <v>J</v>
      </c>
      <c r="F945" s="118" t="str">
        <f ca="1">IFERROR(__xludf.DUMMYFUNCTION("""COMPUTED_VALUE"""),"I")</f>
        <v>I</v>
      </c>
      <c r="G945" s="118">
        <f ca="1">IFERROR(__xludf.DUMMYFUNCTION("""COMPUTED_VALUE"""),2)</f>
        <v>2</v>
      </c>
      <c r="H945" s="118" t="str">
        <f ca="1">IFERROR(__xludf.DUMMYFUNCTION("""COMPUTED_VALUE"""),"HV")</f>
        <v>HV</v>
      </c>
      <c r="I945" s="118">
        <f ca="1">IFERROR(__xludf.DUMMYFUNCTION("""COMPUTED_VALUE"""),7)</f>
        <v>7</v>
      </c>
      <c r="J945" s="118">
        <f ca="1">IFERROR(__xludf.DUMMYFUNCTION("""COMPUTED_VALUE"""),4)</f>
        <v>4</v>
      </c>
      <c r="K945" s="120">
        <f ca="1">IFERROR(__xludf.DUMMYFUNCTION("""COMPUTED_VALUE"""),83)</f>
        <v>83</v>
      </c>
      <c r="L945" s="121"/>
      <c r="M945" s="120">
        <f ca="1">IFERROR(__xludf.DUMMYFUNCTION("""COMPUTED_VALUE"""),53.15)</f>
        <v>53.15</v>
      </c>
      <c r="N945" s="121"/>
      <c r="O945" s="120"/>
      <c r="P945" s="122"/>
      <c r="Q945" s="123" t="str">
        <f ca="1">IFERROR(__xludf.DUMMYFUNCTION("""COMPUTED_VALUE"""),"Wrenna Humphries-Do")</f>
        <v>Wrenna Humphries-Do</v>
      </c>
      <c r="R945" s="123"/>
      <c r="S945" s="123" t="str">
        <f ca="1">IFERROR(__xludf.DUMMYFUNCTION("""COMPUTED_VALUE"""),"Milla Schymanski")</f>
        <v>Milla Schymanski</v>
      </c>
      <c r="T945" s="123"/>
    </row>
    <row r="946" spans="1:20" ht="13.8">
      <c r="A946" s="118" t="str">
        <f ca="1">IFERROR(__xludf.DUMMYFUNCTION("""COMPUTED_VALUE"""),"HV")</f>
        <v>HV</v>
      </c>
      <c r="B946" s="119" t="str">
        <f ca="1">IFERROR(__xludf.DUMMYFUNCTION("""COMPUTED_VALUE"""),"Amir Owens")</f>
        <v>Amir Owens</v>
      </c>
      <c r="C946" s="118">
        <f ca="1">IFERROR(__xludf.DUMMYFUNCTION("""COMPUTED_VALUE"""),11)</f>
        <v>11</v>
      </c>
      <c r="D946" s="118" t="str">
        <f ca="1">IFERROR(__xludf.DUMMYFUNCTION("""COMPUTED_VALUE"""),"B")</f>
        <v>B</v>
      </c>
      <c r="E946" s="118" t="str">
        <f ca="1">IFERROR(__xludf.DUMMYFUNCTION("""COMPUTED_VALUE"""),"J")</f>
        <v>J</v>
      </c>
      <c r="F946" s="118" t="str">
        <f ca="1">IFERROR(__xludf.DUMMYFUNCTION("""COMPUTED_VALUE"""),"I")</f>
        <v>I</v>
      </c>
      <c r="G946" s="118">
        <f ca="1">IFERROR(__xludf.DUMMYFUNCTION("""COMPUTED_VALUE"""),2)</f>
        <v>2</v>
      </c>
      <c r="H946" s="118" t="str">
        <f ca="1">IFERROR(__xludf.DUMMYFUNCTION("""COMPUTED_VALUE"""),"HV")</f>
        <v>HV</v>
      </c>
      <c r="I946" s="118">
        <f ca="1">IFERROR(__xludf.DUMMYFUNCTION("""COMPUTED_VALUE"""),7)</f>
        <v>7</v>
      </c>
      <c r="J946" s="118">
        <f ca="1">IFERROR(__xludf.DUMMYFUNCTION("""COMPUTED_VALUE"""),4)</f>
        <v>4</v>
      </c>
      <c r="K946" s="120">
        <f ca="1">IFERROR(__xludf.DUMMYFUNCTION("""COMPUTED_VALUE"""),167.8)</f>
        <v>167.8</v>
      </c>
      <c r="L946" s="121"/>
      <c r="M946" s="120">
        <f ca="1">IFERROR(__xludf.DUMMYFUNCTION("""COMPUTED_VALUE"""),167.8)</f>
        <v>167.8</v>
      </c>
      <c r="N946" s="121"/>
      <c r="O946" s="120">
        <f ca="1">IFERROR(__xludf.DUMMYFUNCTION("""COMPUTED_VALUE"""),128.7)</f>
        <v>128.69999999999999</v>
      </c>
      <c r="P946" s="122"/>
      <c r="Q946" s="123" t="str">
        <f ca="1">IFERROR(__xludf.DUMMYFUNCTION("""COMPUTED_VALUE"""),"Xanthy Kuehne")</f>
        <v>Xanthy Kuehne</v>
      </c>
      <c r="R946" s="123"/>
      <c r="S946" s="123" t="str">
        <f ca="1">IFERROR(__xludf.DUMMYFUNCTION("""COMPUTED_VALUE"""),"Millie Bardolf")</f>
        <v>Millie Bardolf</v>
      </c>
      <c r="T946" s="123"/>
    </row>
    <row r="947" spans="1:20" ht="13.8">
      <c r="A947" s="118" t="str">
        <f ca="1">IFERROR(__xludf.DUMMYFUNCTION("""COMPUTED_VALUE"""),"HV")</f>
        <v>HV</v>
      </c>
      <c r="B947" s="119" t="str">
        <f ca="1">IFERROR(__xludf.DUMMYFUNCTION("""COMPUTED_VALUE"""),"Dylan Davenport")</f>
        <v>Dylan Davenport</v>
      </c>
      <c r="C947" s="118">
        <f ca="1">IFERROR(__xludf.DUMMYFUNCTION("""COMPUTED_VALUE"""),11)</f>
        <v>11</v>
      </c>
      <c r="D947" s="118" t="str">
        <f ca="1">IFERROR(__xludf.DUMMYFUNCTION("""COMPUTED_VALUE"""),"B")</f>
        <v>B</v>
      </c>
      <c r="E947" s="118" t="str">
        <f ca="1">IFERROR(__xludf.DUMMYFUNCTION("""COMPUTED_VALUE"""),"J")</f>
        <v>J</v>
      </c>
      <c r="F947" s="118" t="str">
        <f ca="1">IFERROR(__xludf.DUMMYFUNCTION("""COMPUTED_VALUE"""),"I")</f>
        <v>I</v>
      </c>
      <c r="G947" s="118">
        <f ca="1">IFERROR(__xludf.DUMMYFUNCTION("""COMPUTED_VALUE"""),2)</f>
        <v>2</v>
      </c>
      <c r="H947" s="118" t="str">
        <f ca="1">IFERROR(__xludf.DUMMYFUNCTION("""COMPUTED_VALUE"""),"HV")</f>
        <v>HV</v>
      </c>
      <c r="I947" s="118">
        <f ca="1">IFERROR(__xludf.DUMMYFUNCTION("""COMPUTED_VALUE"""),7)</f>
        <v>7</v>
      </c>
      <c r="J947" s="118">
        <f ca="1">IFERROR(__xludf.DUMMYFUNCTION("""COMPUTED_VALUE"""),0)</f>
        <v>0</v>
      </c>
      <c r="K947" s="120"/>
      <c r="L947" s="121"/>
      <c r="M947" s="120"/>
      <c r="N947" s="121"/>
      <c r="O947" s="120"/>
      <c r="P947" s="122"/>
      <c r="Q947" s="123" t="str">
        <f ca="1">IFERROR(__xludf.DUMMYFUNCTION("""COMPUTED_VALUE"""),"Yohanna Stone")</f>
        <v>Yohanna Stone</v>
      </c>
      <c r="R947" s="123"/>
      <c r="S947" s="123" t="str">
        <f ca="1">IFERROR(__xludf.DUMMYFUNCTION("""COMPUTED_VALUE"""),"Mimei Minato")</f>
        <v>Mimei Minato</v>
      </c>
      <c r="T947" s="123"/>
    </row>
    <row r="948" spans="1:20" ht="13.8">
      <c r="A948" s="118" t="str">
        <f ca="1">IFERROR(__xludf.DUMMYFUNCTION("""COMPUTED_VALUE"""),"HV")</f>
        <v>HV</v>
      </c>
      <c r="B948" s="119" t="str">
        <f ca="1">IFERROR(__xludf.DUMMYFUNCTION("""COMPUTED_VALUE"""),"Landen Smith")</f>
        <v>Landen Smith</v>
      </c>
      <c r="C948" s="118">
        <f ca="1">IFERROR(__xludf.DUMMYFUNCTION("""COMPUTED_VALUE"""),12)</f>
        <v>12</v>
      </c>
      <c r="D948" s="118" t="str">
        <f ca="1">IFERROR(__xludf.DUMMYFUNCTION("""COMPUTED_VALUE"""),"B")</f>
        <v>B</v>
      </c>
      <c r="E948" s="118" t="str">
        <f ca="1">IFERROR(__xludf.DUMMYFUNCTION("""COMPUTED_VALUE"""),"J")</f>
        <v>J</v>
      </c>
      <c r="F948" s="118" t="str">
        <f ca="1">IFERROR(__xludf.DUMMYFUNCTION("""COMPUTED_VALUE"""),"I")</f>
        <v>I</v>
      </c>
      <c r="G948" s="118">
        <f ca="1">IFERROR(__xludf.DUMMYFUNCTION("""COMPUTED_VALUE"""),2)</f>
        <v>2</v>
      </c>
      <c r="H948" s="118" t="str">
        <f ca="1">IFERROR(__xludf.DUMMYFUNCTION("""COMPUTED_VALUE"""),"HV")</f>
        <v>HV</v>
      </c>
      <c r="I948" s="118">
        <f ca="1">IFERROR(__xludf.DUMMYFUNCTION("""COMPUTED_VALUE"""),7)</f>
        <v>7</v>
      </c>
      <c r="J948" s="118">
        <f ca="1">IFERROR(__xludf.DUMMYFUNCTION("""COMPUTED_VALUE"""),1)</f>
        <v>1</v>
      </c>
      <c r="K948" s="120">
        <f ca="1">IFERROR(__xludf.DUMMYFUNCTION("""COMPUTED_VALUE"""),39.7)</f>
        <v>39.700000000000003</v>
      </c>
      <c r="L948" s="121"/>
      <c r="M948" s="120"/>
      <c r="N948" s="121"/>
      <c r="O948" s="120">
        <f ca="1">IFERROR(__xludf.DUMMYFUNCTION("""COMPUTED_VALUE"""),39.7)</f>
        <v>39.700000000000003</v>
      </c>
      <c r="P948" s="122"/>
      <c r="Q948" s="123" t="str">
        <f ca="1">IFERROR(__xludf.DUMMYFUNCTION("""COMPUTED_VALUE"""),"Zahra Benmbarek")</f>
        <v>Zahra Benmbarek</v>
      </c>
      <c r="R948" s="123"/>
      <c r="S948" s="123" t="str">
        <f ca="1">IFERROR(__xludf.DUMMYFUNCTION("""COMPUTED_VALUE"""),"Mina Ali-Minayar")</f>
        <v>Mina Ali-Minayar</v>
      </c>
      <c r="T948" s="123"/>
    </row>
    <row r="949" spans="1:20" ht="13.8">
      <c r="A949" s="118" t="str">
        <f ca="1">IFERROR(__xludf.DUMMYFUNCTION("""COMPUTED_VALUE"""),"HV")</f>
        <v>HV</v>
      </c>
      <c r="B949" s="119" t="str">
        <f ca="1">IFERROR(__xludf.DUMMYFUNCTION("""COMPUTED_VALUE"""),"Liam Varma")</f>
        <v>Liam Varma</v>
      </c>
      <c r="C949" s="118">
        <f ca="1">IFERROR(__xludf.DUMMYFUNCTION("""COMPUTED_VALUE"""),12)</f>
        <v>12</v>
      </c>
      <c r="D949" s="118" t="str">
        <f ca="1">IFERROR(__xludf.DUMMYFUNCTION("""COMPUTED_VALUE"""),"B")</f>
        <v>B</v>
      </c>
      <c r="E949" s="118" t="str">
        <f ca="1">IFERROR(__xludf.DUMMYFUNCTION("""COMPUTED_VALUE"""),"J")</f>
        <v>J</v>
      </c>
      <c r="F949" s="118" t="str">
        <f ca="1">IFERROR(__xludf.DUMMYFUNCTION("""COMPUTED_VALUE"""),"I")</f>
        <v>I</v>
      </c>
      <c r="G949" s="118">
        <f ca="1">IFERROR(__xludf.DUMMYFUNCTION("""COMPUTED_VALUE"""),2)</f>
        <v>2</v>
      </c>
      <c r="H949" s="118" t="str">
        <f ca="1">IFERROR(__xludf.DUMMYFUNCTION("""COMPUTED_VALUE"""),"HV")</f>
        <v>HV</v>
      </c>
      <c r="I949" s="118">
        <f ca="1">IFERROR(__xludf.DUMMYFUNCTION("""COMPUTED_VALUE"""),7)</f>
        <v>7</v>
      </c>
      <c r="J949" s="118">
        <f ca="1">IFERROR(__xludf.DUMMYFUNCTION("""COMPUTED_VALUE"""),0)</f>
        <v>0</v>
      </c>
      <c r="K949" s="120"/>
      <c r="L949" s="121"/>
      <c r="M949" s="120"/>
      <c r="N949" s="121"/>
      <c r="O949" s="120"/>
      <c r="P949" s="122"/>
      <c r="Q949" s="123" t="str">
        <f ca="1">IFERROR(__xludf.DUMMYFUNCTION("""COMPUTED_VALUE"""),"Zeina Salameh")</f>
        <v>Zeina Salameh</v>
      </c>
      <c r="R949" s="123"/>
      <c r="S949" s="123" t="str">
        <f ca="1">IFERROR(__xludf.DUMMYFUNCTION("""COMPUTED_VALUE"""),"Mira Parikh")</f>
        <v>Mira Parikh</v>
      </c>
      <c r="T949" s="123"/>
    </row>
    <row r="950" spans="1:20" ht="13.8">
      <c r="A950" s="118" t="str">
        <f ca="1">IFERROR(__xludf.DUMMYFUNCTION("""COMPUTED_VALUE"""),"HV")</f>
        <v>HV</v>
      </c>
      <c r="B950" s="119" t="str">
        <f ca="1">IFERROR(__xludf.DUMMYFUNCTION("""COMPUTED_VALUE"""),"Rowen Haldeman")</f>
        <v>Rowen Haldeman</v>
      </c>
      <c r="C950" s="118">
        <f ca="1">IFERROR(__xludf.DUMMYFUNCTION("""COMPUTED_VALUE"""),11)</f>
        <v>11</v>
      </c>
      <c r="D950" s="118" t="str">
        <f ca="1">IFERROR(__xludf.DUMMYFUNCTION("""COMPUTED_VALUE"""),"B")</f>
        <v>B</v>
      </c>
      <c r="E950" s="118" t="str">
        <f ca="1">IFERROR(__xludf.DUMMYFUNCTION("""COMPUTED_VALUE"""),"J")</f>
        <v>J</v>
      </c>
      <c r="F950" s="118" t="str">
        <f ca="1">IFERROR(__xludf.DUMMYFUNCTION("""COMPUTED_VALUE"""),"I")</f>
        <v>I</v>
      </c>
      <c r="G950" s="118">
        <f ca="1">IFERROR(__xludf.DUMMYFUNCTION("""COMPUTED_VALUE"""),2)</f>
        <v>2</v>
      </c>
      <c r="H950" s="118" t="str">
        <f ca="1">IFERROR(__xludf.DUMMYFUNCTION("""COMPUTED_VALUE"""),"HV")</f>
        <v>HV</v>
      </c>
      <c r="I950" s="118">
        <f ca="1">IFERROR(__xludf.DUMMYFUNCTION("""COMPUTED_VALUE"""),7)</f>
        <v>7</v>
      </c>
      <c r="J950" s="118">
        <f ca="1">IFERROR(__xludf.DUMMYFUNCTION("""COMPUTED_VALUE"""),2)</f>
        <v>2</v>
      </c>
      <c r="K950" s="120">
        <f ca="1">IFERROR(__xludf.DUMMYFUNCTION("""COMPUTED_VALUE"""),38.45)</f>
        <v>38.450000000000003</v>
      </c>
      <c r="L950" s="121"/>
      <c r="M950" s="120"/>
      <c r="N950" s="121"/>
      <c r="O950" s="120"/>
      <c r="P950" s="122"/>
      <c r="Q950" s="123" t="str">
        <f ca="1">IFERROR(__xludf.DUMMYFUNCTION("""COMPUTED_VALUE"""),"Zhanna Doak")</f>
        <v>Zhanna Doak</v>
      </c>
      <c r="R950" s="123"/>
      <c r="S950" s="123" t="str">
        <f ca="1">IFERROR(__xludf.DUMMYFUNCTION("""COMPUTED_VALUE"""),"Mirabella Lanthier")</f>
        <v>Mirabella Lanthier</v>
      </c>
      <c r="T950" s="123"/>
    </row>
    <row r="951" spans="1:20" ht="13.8">
      <c r="A951" s="118" t="str">
        <f ca="1">IFERROR(__xludf.DUMMYFUNCTION("""COMPUTED_VALUE"""),"HV")</f>
        <v>HV</v>
      </c>
      <c r="B951" s="119" t="str">
        <f ca="1">IFERROR(__xludf.DUMMYFUNCTION("""COMPUTED_VALUE"""),"Tanner Bennett")</f>
        <v>Tanner Bennett</v>
      </c>
      <c r="C951" s="118">
        <f ca="1">IFERROR(__xludf.DUMMYFUNCTION("""COMPUTED_VALUE"""),11)</f>
        <v>11</v>
      </c>
      <c r="D951" s="118" t="str">
        <f ca="1">IFERROR(__xludf.DUMMYFUNCTION("""COMPUTED_VALUE"""),"B")</f>
        <v>B</v>
      </c>
      <c r="E951" s="118" t="str">
        <f ca="1">IFERROR(__xludf.DUMMYFUNCTION("""COMPUTED_VALUE"""),"J")</f>
        <v>J</v>
      </c>
      <c r="F951" s="118" t="str">
        <f ca="1">IFERROR(__xludf.DUMMYFUNCTION("""COMPUTED_VALUE"""),"I")</f>
        <v>I</v>
      </c>
      <c r="G951" s="118">
        <f ca="1">IFERROR(__xludf.DUMMYFUNCTION("""COMPUTED_VALUE"""),2)</f>
        <v>2</v>
      </c>
      <c r="H951" s="118" t="str">
        <f ca="1">IFERROR(__xludf.DUMMYFUNCTION("""COMPUTED_VALUE"""),"HV")</f>
        <v>HV</v>
      </c>
      <c r="I951" s="118">
        <f ca="1">IFERROR(__xludf.DUMMYFUNCTION("""COMPUTED_VALUE"""),7)</f>
        <v>7</v>
      </c>
      <c r="J951" s="118">
        <f ca="1">IFERROR(__xludf.DUMMYFUNCTION("""COMPUTED_VALUE"""),3)</f>
        <v>3</v>
      </c>
      <c r="K951" s="120">
        <f ca="1">IFERROR(__xludf.DUMMYFUNCTION("""COMPUTED_VALUE"""),86.5)</f>
        <v>86.5</v>
      </c>
      <c r="L951" s="121"/>
      <c r="M951" s="120"/>
      <c r="N951" s="121"/>
      <c r="O951" s="120"/>
      <c r="P951" s="122"/>
      <c r="Q951" s="123" t="str">
        <f ca="1">IFERROR(__xludf.DUMMYFUNCTION("""COMPUTED_VALUE"""),"Zoe Misitzis")</f>
        <v>Zoe Misitzis</v>
      </c>
      <c r="R951" s="123"/>
      <c r="S951" s="123" t="str">
        <f ca="1">IFERROR(__xludf.DUMMYFUNCTION("""COMPUTED_VALUE"""),"Miriam Mikias")</f>
        <v>Miriam Mikias</v>
      </c>
      <c r="T951" s="123"/>
    </row>
    <row r="952" spans="1:20" ht="13.8">
      <c r="A952" s="118" t="str">
        <f ca="1">IFERROR(__xludf.DUMMYFUNCTION("""COMPUTED_VALUE"""),"HV")</f>
        <v>HV</v>
      </c>
      <c r="B952" s="119" t="str">
        <f ca="1">IFERROR(__xludf.DUMMYFUNCTION("""COMPUTED_VALUE"""),"Addy Bennett")</f>
        <v>Addy Bennett</v>
      </c>
      <c r="C952" s="118">
        <f ca="1">IFERROR(__xludf.DUMMYFUNCTION("""COMPUTED_VALUE"""),13)</f>
        <v>13</v>
      </c>
      <c r="D952" s="118" t="str">
        <f ca="1">IFERROR(__xludf.DUMMYFUNCTION("""COMPUTED_VALUE"""),"G")</f>
        <v>G</v>
      </c>
      <c r="E952" s="118" t="str">
        <f ca="1">IFERROR(__xludf.DUMMYFUNCTION("""COMPUTED_VALUE"""),"I")</f>
        <v>I</v>
      </c>
      <c r="F952" s="118" t="str">
        <f ca="1">IFERROR(__xludf.DUMMYFUNCTION("""COMPUTED_VALUE"""),"S")</f>
        <v>S</v>
      </c>
      <c r="G952" s="118">
        <f ca="1">IFERROR(__xludf.DUMMYFUNCTION("""COMPUTED_VALUE"""),2)</f>
        <v>2</v>
      </c>
      <c r="H952" s="118" t="str">
        <f ca="1">IFERROR(__xludf.DUMMYFUNCTION("""COMPUTED_VALUE"""),"HV")</f>
        <v>HV</v>
      </c>
      <c r="I952" s="118">
        <f ca="1">IFERROR(__xludf.DUMMYFUNCTION("""COMPUTED_VALUE"""),8)</f>
        <v>8</v>
      </c>
      <c r="J952" s="118">
        <f ca="1">IFERROR(__xludf.DUMMYFUNCTION("""COMPUTED_VALUE"""),0)</f>
        <v>0</v>
      </c>
      <c r="K952" s="120"/>
      <c r="L952" s="121"/>
      <c r="M952" s="120"/>
      <c r="N952" s="121"/>
      <c r="O952" s="120"/>
      <c r="P952" s="122"/>
      <c r="Q952" s="123" t="str">
        <f ca="1">IFERROR(__xludf.DUMMYFUNCTION("""COMPUTED_VALUE"""),"Zoe Mroz")</f>
        <v>Zoe Mroz</v>
      </c>
      <c r="R952" s="123"/>
      <c r="S952" s="123" t="str">
        <f ca="1">IFERROR(__xludf.DUMMYFUNCTION("""COMPUTED_VALUE"""),"Miriam Stavlund")</f>
        <v>Miriam Stavlund</v>
      </c>
      <c r="T952" s="123"/>
    </row>
    <row r="953" spans="1:20" ht="13.8">
      <c r="A953" s="118" t="str">
        <f ca="1">IFERROR(__xludf.DUMMYFUNCTION("""COMPUTED_VALUE"""),"HV")</f>
        <v>HV</v>
      </c>
      <c r="B953" s="119" t="str">
        <f ca="1">IFERROR(__xludf.DUMMYFUNCTION("""COMPUTED_VALUE"""),"Chloe Niphadkabin")</f>
        <v>Chloe Niphadkabin</v>
      </c>
      <c r="C953" s="118">
        <f ca="1">IFERROR(__xludf.DUMMYFUNCTION("""COMPUTED_VALUE"""),13)</f>
        <v>13</v>
      </c>
      <c r="D953" s="118" t="str">
        <f ca="1">IFERROR(__xludf.DUMMYFUNCTION("""COMPUTED_VALUE"""),"G")</f>
        <v>G</v>
      </c>
      <c r="E953" s="118" t="str">
        <f ca="1">IFERROR(__xludf.DUMMYFUNCTION("""COMPUTED_VALUE"""),"I")</f>
        <v>I</v>
      </c>
      <c r="F953" s="118" t="str">
        <f ca="1">IFERROR(__xludf.DUMMYFUNCTION("""COMPUTED_VALUE"""),"S")</f>
        <v>S</v>
      </c>
      <c r="G953" s="118">
        <f ca="1">IFERROR(__xludf.DUMMYFUNCTION("""COMPUTED_VALUE"""),2)</f>
        <v>2</v>
      </c>
      <c r="H953" s="118" t="str">
        <f ca="1">IFERROR(__xludf.DUMMYFUNCTION("""COMPUTED_VALUE"""),"HV")</f>
        <v>HV</v>
      </c>
      <c r="I953" s="118">
        <f ca="1">IFERROR(__xludf.DUMMYFUNCTION("""COMPUTED_VALUE"""),8)</f>
        <v>8</v>
      </c>
      <c r="J953" s="118">
        <f ca="1">IFERROR(__xludf.DUMMYFUNCTION("""COMPUTED_VALUE"""),4)</f>
        <v>4</v>
      </c>
      <c r="K953" s="120">
        <f ca="1">IFERROR(__xludf.DUMMYFUNCTION("""COMPUTED_VALUE"""),147.3)</f>
        <v>147.30000000000001</v>
      </c>
      <c r="L953" s="121"/>
      <c r="M953" s="120">
        <f ca="1">IFERROR(__xludf.DUMMYFUNCTION("""COMPUTED_VALUE"""),137.8)</f>
        <v>137.80000000000001</v>
      </c>
      <c r="N953" s="121"/>
      <c r="O953" s="120">
        <f ca="1">IFERROR(__xludf.DUMMYFUNCTION("""COMPUTED_VALUE"""),127.8)</f>
        <v>127.8</v>
      </c>
      <c r="P953" s="122"/>
      <c r="Q953" s="123" t="str">
        <f ca="1">IFERROR(__xludf.DUMMYFUNCTION("""COMPUTED_VALUE"""),"Zoya Ridgway")</f>
        <v>Zoya Ridgway</v>
      </c>
      <c r="R953" s="123"/>
      <c r="S953" s="123" t="str">
        <f ca="1">IFERROR(__xludf.DUMMYFUNCTION("""COMPUTED_VALUE"""),"Misha Mullen")</f>
        <v>Misha Mullen</v>
      </c>
      <c r="T953" s="123"/>
    </row>
    <row r="954" spans="1:20" ht="13.8">
      <c r="A954" s="118" t="str">
        <f ca="1">IFERROR(__xludf.DUMMYFUNCTION("""COMPUTED_VALUE"""),"HV")</f>
        <v>HV</v>
      </c>
      <c r="B954" s="119" t="str">
        <f ca="1">IFERROR(__xludf.DUMMYFUNCTION("""COMPUTED_VALUE"""),"Sophie Leland")</f>
        <v>Sophie Leland</v>
      </c>
      <c r="C954" s="118">
        <f ca="1">IFERROR(__xludf.DUMMYFUNCTION("""COMPUTED_VALUE"""),13)</f>
        <v>13</v>
      </c>
      <c r="D954" s="118" t="str">
        <f ca="1">IFERROR(__xludf.DUMMYFUNCTION("""COMPUTED_VALUE"""),"G")</f>
        <v>G</v>
      </c>
      <c r="E954" s="118" t="str">
        <f ca="1">IFERROR(__xludf.DUMMYFUNCTION("""COMPUTED_VALUE"""),"I")</f>
        <v>I</v>
      </c>
      <c r="F954" s="118" t="str">
        <f ca="1">IFERROR(__xludf.DUMMYFUNCTION("""COMPUTED_VALUE"""),"S")</f>
        <v>S</v>
      </c>
      <c r="G954" s="118">
        <f ca="1">IFERROR(__xludf.DUMMYFUNCTION("""COMPUTED_VALUE"""),2)</f>
        <v>2</v>
      </c>
      <c r="H954" s="118" t="str">
        <f ca="1">IFERROR(__xludf.DUMMYFUNCTION("""COMPUTED_VALUE"""),"HV")</f>
        <v>HV</v>
      </c>
      <c r="I954" s="118">
        <f ca="1">IFERROR(__xludf.DUMMYFUNCTION("""COMPUTED_VALUE"""),8)</f>
        <v>8</v>
      </c>
      <c r="J954" s="118">
        <f ca="1">IFERROR(__xludf.DUMMYFUNCTION("""COMPUTED_VALUE"""),4)</f>
        <v>4</v>
      </c>
      <c r="K954" s="120">
        <f ca="1">IFERROR(__xludf.DUMMYFUNCTION("""COMPUTED_VALUE"""),-164.25)</f>
        <v>-164.25</v>
      </c>
      <c r="L954" s="121"/>
      <c r="M954" s="120"/>
      <c r="N954" s="121"/>
      <c r="O954" s="120">
        <f ca="1">IFERROR(__xludf.DUMMYFUNCTION("""COMPUTED_VALUE"""),-164.25)</f>
        <v>-164.25</v>
      </c>
      <c r="P954" s="122"/>
      <c r="Q954" s="123"/>
      <c r="R954" s="123"/>
      <c r="S954" s="123" t="str">
        <f ca="1">IFERROR(__xludf.DUMMYFUNCTION("""COMPUTED_VALUE"""),"Mishi Roper")</f>
        <v>Mishi Roper</v>
      </c>
      <c r="T954" s="123"/>
    </row>
    <row r="955" spans="1:20" ht="13.8">
      <c r="A955" s="118" t="str">
        <f ca="1">IFERROR(__xludf.DUMMYFUNCTION("""COMPUTED_VALUE"""),"HV")</f>
        <v>HV</v>
      </c>
      <c r="B955" s="119" t="str">
        <f ca="1">IFERROR(__xludf.DUMMYFUNCTION("""COMPUTED_VALUE"""),"Colson Gardiner")</f>
        <v>Colson Gardiner</v>
      </c>
      <c r="C955" s="118">
        <f ca="1">IFERROR(__xludf.DUMMYFUNCTION("""COMPUTED_VALUE"""),13)</f>
        <v>13</v>
      </c>
      <c r="D955" s="118" t="str">
        <f ca="1">IFERROR(__xludf.DUMMYFUNCTION("""COMPUTED_VALUE"""),"B")</f>
        <v>B</v>
      </c>
      <c r="E955" s="118" t="str">
        <f ca="1">IFERROR(__xludf.DUMMYFUNCTION("""COMPUTED_VALUE"""),"I")</f>
        <v>I</v>
      </c>
      <c r="F955" s="118" t="str">
        <f ca="1">IFERROR(__xludf.DUMMYFUNCTION("""COMPUTED_VALUE"""),"S")</f>
        <v>S</v>
      </c>
      <c r="G955" s="118">
        <f ca="1">IFERROR(__xludf.DUMMYFUNCTION("""COMPUTED_VALUE"""),2)</f>
        <v>2</v>
      </c>
      <c r="H955" s="118" t="str">
        <f ca="1">IFERROR(__xludf.DUMMYFUNCTION("""COMPUTED_VALUE"""),"HV")</f>
        <v>HV</v>
      </c>
      <c r="I955" s="118">
        <f ca="1">IFERROR(__xludf.DUMMYFUNCTION("""COMPUTED_VALUE"""),9)</f>
        <v>9</v>
      </c>
      <c r="J955" s="118">
        <f ca="1">IFERROR(__xludf.DUMMYFUNCTION("""COMPUTED_VALUE"""),3)</f>
        <v>3</v>
      </c>
      <c r="K955" s="120">
        <f ca="1">IFERROR(__xludf.DUMMYFUNCTION("""COMPUTED_VALUE"""),107.65)</f>
        <v>107.65</v>
      </c>
      <c r="L955" s="121"/>
      <c r="M955" s="120">
        <f ca="1">IFERROR(__xludf.DUMMYFUNCTION("""COMPUTED_VALUE"""),104.3)</f>
        <v>104.3</v>
      </c>
      <c r="N955" s="121"/>
      <c r="O955" s="120">
        <f ca="1">IFERROR(__xludf.DUMMYFUNCTION("""COMPUTED_VALUE"""),107.65)</f>
        <v>107.65</v>
      </c>
      <c r="P955" s="122"/>
      <c r="Q955" s="123"/>
      <c r="R955" s="123"/>
      <c r="S955" s="123" t="str">
        <f ca="1">IFERROR(__xludf.DUMMYFUNCTION("""COMPUTED_VALUE"""),"Mo Murphy")</f>
        <v>Mo Murphy</v>
      </c>
      <c r="T955" s="123"/>
    </row>
    <row r="956" spans="1:20" ht="13.8">
      <c r="A956" s="118" t="str">
        <f ca="1">IFERROR(__xludf.DUMMYFUNCTION("""COMPUTED_VALUE"""),"HV")</f>
        <v>HV</v>
      </c>
      <c r="B956" s="119" t="str">
        <f ca="1">IFERROR(__xludf.DUMMYFUNCTION("""COMPUTED_VALUE"""),"Derek Baltas")</f>
        <v>Derek Baltas</v>
      </c>
      <c r="C956" s="118">
        <f ca="1">IFERROR(__xludf.DUMMYFUNCTION("""COMPUTED_VALUE"""),13)</f>
        <v>13</v>
      </c>
      <c r="D956" s="118" t="str">
        <f ca="1">IFERROR(__xludf.DUMMYFUNCTION("""COMPUTED_VALUE"""),"B")</f>
        <v>B</v>
      </c>
      <c r="E956" s="118" t="str">
        <f ca="1">IFERROR(__xludf.DUMMYFUNCTION("""COMPUTED_VALUE"""),"I")</f>
        <v>I</v>
      </c>
      <c r="F956" s="118" t="str">
        <f ca="1">IFERROR(__xludf.DUMMYFUNCTION("""COMPUTED_VALUE"""),"S")</f>
        <v>S</v>
      </c>
      <c r="G956" s="118">
        <f ca="1">IFERROR(__xludf.DUMMYFUNCTION("""COMPUTED_VALUE"""),2)</f>
        <v>2</v>
      </c>
      <c r="H956" s="118" t="str">
        <f ca="1">IFERROR(__xludf.DUMMYFUNCTION("""COMPUTED_VALUE"""),"HV")</f>
        <v>HV</v>
      </c>
      <c r="I956" s="118">
        <f ca="1">IFERROR(__xludf.DUMMYFUNCTION("""COMPUTED_VALUE"""),9)</f>
        <v>9</v>
      </c>
      <c r="J956" s="118">
        <f ca="1">IFERROR(__xludf.DUMMYFUNCTION("""COMPUTED_VALUE"""),4)</f>
        <v>4</v>
      </c>
      <c r="K956" s="120">
        <f ca="1">IFERROR(__xludf.DUMMYFUNCTION("""COMPUTED_VALUE"""),108.65)</f>
        <v>108.65</v>
      </c>
      <c r="L956" s="121"/>
      <c r="M956" s="120">
        <f ca="1">IFERROR(__xludf.DUMMYFUNCTION("""COMPUTED_VALUE"""),61.55)</f>
        <v>61.55</v>
      </c>
      <c r="N956" s="121"/>
      <c r="O956" s="120">
        <f ca="1">IFERROR(__xludf.DUMMYFUNCTION("""COMPUTED_VALUE"""),-109.45)</f>
        <v>-109.45</v>
      </c>
      <c r="P956" s="122"/>
      <c r="Q956" s="123"/>
      <c r="R956" s="123"/>
      <c r="S956" s="123" t="str">
        <f ca="1">IFERROR(__xludf.DUMMYFUNCTION("""COMPUTED_VALUE"""),"Molka Hammouda")</f>
        <v>Molka Hammouda</v>
      </c>
      <c r="T956" s="123"/>
    </row>
    <row r="957" spans="1:20" ht="13.8">
      <c r="A957" s="118" t="str">
        <f ca="1">IFERROR(__xludf.DUMMYFUNCTION("""COMPUTED_VALUE"""),"HV")</f>
        <v>HV</v>
      </c>
      <c r="B957" s="119" t="str">
        <f ca="1">IFERROR(__xludf.DUMMYFUNCTION("""COMPUTED_VALUE"""),"Joey Ogrodny")</f>
        <v>Joey Ogrodny</v>
      </c>
      <c r="C957" s="118">
        <f ca="1">IFERROR(__xludf.DUMMYFUNCTION("""COMPUTED_VALUE"""),14)</f>
        <v>14</v>
      </c>
      <c r="D957" s="118" t="str">
        <f ca="1">IFERROR(__xludf.DUMMYFUNCTION("""COMPUTED_VALUE"""),"B")</f>
        <v>B</v>
      </c>
      <c r="E957" s="118" t="str">
        <f ca="1">IFERROR(__xludf.DUMMYFUNCTION("""COMPUTED_VALUE"""),"I")</f>
        <v>I</v>
      </c>
      <c r="F957" s="118" t="str">
        <f ca="1">IFERROR(__xludf.DUMMYFUNCTION("""COMPUTED_VALUE"""),"S")</f>
        <v>S</v>
      </c>
      <c r="G957" s="118">
        <f ca="1">IFERROR(__xludf.DUMMYFUNCTION("""COMPUTED_VALUE"""),2)</f>
        <v>2</v>
      </c>
      <c r="H957" s="118" t="str">
        <f ca="1">IFERROR(__xludf.DUMMYFUNCTION("""COMPUTED_VALUE"""),"HV")</f>
        <v>HV</v>
      </c>
      <c r="I957" s="118">
        <f ca="1">IFERROR(__xludf.DUMMYFUNCTION("""COMPUTED_VALUE"""),9)</f>
        <v>9</v>
      </c>
      <c r="J957" s="118">
        <f ca="1">IFERROR(__xludf.DUMMYFUNCTION("""COMPUTED_VALUE"""),4)</f>
        <v>4</v>
      </c>
      <c r="K957" s="120">
        <f ca="1">IFERROR(__xludf.DUMMYFUNCTION("""COMPUTED_VALUE"""),124.05)</f>
        <v>124.05</v>
      </c>
      <c r="L957" s="121"/>
      <c r="M957" s="120">
        <f ca="1">IFERROR(__xludf.DUMMYFUNCTION("""COMPUTED_VALUE"""),109)</f>
        <v>109</v>
      </c>
      <c r="N957" s="121"/>
      <c r="O957" s="120"/>
      <c r="P957" s="122"/>
      <c r="Q957" s="123"/>
      <c r="R957" s="123"/>
      <c r="S957" s="123" t="str">
        <f ca="1">IFERROR(__xludf.DUMMYFUNCTION("""COMPUTED_VALUE"""),"Molly Hamill")</f>
        <v>Molly Hamill</v>
      </c>
      <c r="T957" s="123"/>
    </row>
    <row r="958" spans="1:20" ht="13.8">
      <c r="A958" s="118" t="str">
        <f ca="1">IFERROR(__xludf.DUMMYFUNCTION("""COMPUTED_VALUE"""),"HV")</f>
        <v>HV</v>
      </c>
      <c r="B958" s="119" t="str">
        <f ca="1">IFERROR(__xludf.DUMMYFUNCTION("""COMPUTED_VALUE"""),"Kaleb Wisner")</f>
        <v>Kaleb Wisner</v>
      </c>
      <c r="C958" s="118">
        <f ca="1">IFERROR(__xludf.DUMMYFUNCTION("""COMPUTED_VALUE"""),14)</f>
        <v>14</v>
      </c>
      <c r="D958" s="118" t="str">
        <f ca="1">IFERROR(__xludf.DUMMYFUNCTION("""COMPUTED_VALUE"""),"B")</f>
        <v>B</v>
      </c>
      <c r="E958" s="118" t="str">
        <f ca="1">IFERROR(__xludf.DUMMYFUNCTION("""COMPUTED_VALUE"""),"I")</f>
        <v>I</v>
      </c>
      <c r="F958" s="118" t="str">
        <f ca="1">IFERROR(__xludf.DUMMYFUNCTION("""COMPUTED_VALUE"""),"S")</f>
        <v>S</v>
      </c>
      <c r="G958" s="118">
        <f ca="1">IFERROR(__xludf.DUMMYFUNCTION("""COMPUTED_VALUE"""),2)</f>
        <v>2</v>
      </c>
      <c r="H958" s="118" t="str">
        <f ca="1">IFERROR(__xludf.DUMMYFUNCTION("""COMPUTED_VALUE"""),"HV")</f>
        <v>HV</v>
      </c>
      <c r="I958" s="118">
        <f ca="1">IFERROR(__xludf.DUMMYFUNCTION("""COMPUTED_VALUE"""),9)</f>
        <v>9</v>
      </c>
      <c r="J958" s="118">
        <f ca="1">IFERROR(__xludf.DUMMYFUNCTION("""COMPUTED_VALUE"""),5)</f>
        <v>5</v>
      </c>
      <c r="K958" s="120">
        <f ca="1">IFERROR(__xludf.DUMMYFUNCTION("""COMPUTED_VALUE"""),114.7)</f>
        <v>114.7</v>
      </c>
      <c r="L958" s="121"/>
      <c r="M958" s="120">
        <f ca="1">IFERROR(__xludf.DUMMYFUNCTION("""COMPUTED_VALUE"""),114.7)</f>
        <v>114.7</v>
      </c>
      <c r="N958" s="121"/>
      <c r="O958" s="120">
        <f ca="1">IFERROR(__xludf.DUMMYFUNCTION("""COMPUTED_VALUE"""),86.85)</f>
        <v>86.85</v>
      </c>
      <c r="P958" s="122"/>
      <c r="Q958" s="123"/>
      <c r="R958" s="123"/>
      <c r="S958" s="123" t="str">
        <f ca="1">IFERROR(__xludf.DUMMYFUNCTION("""COMPUTED_VALUE"""),"Morgan Autry")</f>
        <v>Morgan Autry</v>
      </c>
      <c r="T958" s="123"/>
    </row>
    <row r="959" spans="1:20" ht="13.8">
      <c r="A959" s="118" t="str">
        <f ca="1">IFERROR(__xludf.DUMMYFUNCTION("""COMPUTED_VALUE"""),"HV")</f>
        <v>HV</v>
      </c>
      <c r="B959" s="119" t="str">
        <f ca="1">IFERROR(__xludf.DUMMYFUNCTION("""COMPUTED_VALUE"""),"Mina Ali-Minayar")</f>
        <v>Mina Ali-Minayar</v>
      </c>
      <c r="C959" s="118">
        <f ca="1">IFERROR(__xludf.DUMMYFUNCTION("""COMPUTED_VALUE"""),15)</f>
        <v>15</v>
      </c>
      <c r="D959" s="118" t="str">
        <f ca="1">IFERROR(__xludf.DUMMYFUNCTION("""COMPUTED_VALUE"""),"G")</f>
        <v>G</v>
      </c>
      <c r="E959" s="118" t="str">
        <f ca="1">IFERROR(__xludf.DUMMYFUNCTION("""COMPUTED_VALUE"""),"S")</f>
        <v>S</v>
      </c>
      <c r="F959" s="118" t="str">
        <f ca="1">IFERROR(__xludf.DUMMYFUNCTION("""COMPUTED_VALUE"""),"S")</f>
        <v>S</v>
      </c>
      <c r="G959" s="118">
        <f ca="1">IFERROR(__xludf.DUMMYFUNCTION("""COMPUTED_VALUE"""),2)</f>
        <v>2</v>
      </c>
      <c r="H959" s="118" t="str">
        <f ca="1">IFERROR(__xludf.DUMMYFUNCTION("""COMPUTED_VALUE"""),"HV")</f>
        <v>HV</v>
      </c>
      <c r="I959" s="118">
        <f ca="1">IFERROR(__xludf.DUMMYFUNCTION("""COMPUTED_VALUE"""),10)</f>
        <v>10</v>
      </c>
      <c r="J959" s="118">
        <f ca="1">IFERROR(__xludf.DUMMYFUNCTION("""COMPUTED_VALUE"""),0)</f>
        <v>0</v>
      </c>
      <c r="K959" s="120"/>
      <c r="L959" s="121"/>
      <c r="M959" s="120"/>
      <c r="N959" s="121"/>
      <c r="O959" s="120"/>
      <c r="P959" s="122"/>
      <c r="Q959" s="123"/>
      <c r="R959" s="123"/>
      <c r="S959" s="123" t="str">
        <f ca="1">IFERROR(__xludf.DUMMYFUNCTION("""COMPUTED_VALUE"""),"Morgan Kass")</f>
        <v>Morgan Kass</v>
      </c>
      <c r="T959" s="123"/>
    </row>
    <row r="960" spans="1:20" ht="13.8">
      <c r="A960" s="118" t="str">
        <f ca="1">IFERROR(__xludf.DUMMYFUNCTION("""COMPUTED_VALUE"""),"HV")</f>
        <v>HV</v>
      </c>
      <c r="B960" s="119" t="str">
        <f ca="1">IFERROR(__xludf.DUMMYFUNCTION("""COMPUTED_VALUE"""),"Sheen Lee")</f>
        <v>Sheen Lee</v>
      </c>
      <c r="C960" s="118">
        <f ca="1">IFERROR(__xludf.DUMMYFUNCTION("""COMPUTED_VALUE"""),15)</f>
        <v>15</v>
      </c>
      <c r="D960" s="118" t="str">
        <f ca="1">IFERROR(__xludf.DUMMYFUNCTION("""COMPUTED_VALUE"""),"B")</f>
        <v>B</v>
      </c>
      <c r="E960" s="118" t="str">
        <f ca="1">IFERROR(__xludf.DUMMYFUNCTION("""COMPUTED_VALUE"""),"S")</f>
        <v>S</v>
      </c>
      <c r="F960" s="118" t="str">
        <f ca="1">IFERROR(__xludf.DUMMYFUNCTION("""COMPUTED_VALUE"""),"S")</f>
        <v>S</v>
      </c>
      <c r="G960" s="118">
        <f ca="1">IFERROR(__xludf.DUMMYFUNCTION("""COMPUTED_VALUE"""),2)</f>
        <v>2</v>
      </c>
      <c r="H960" s="118" t="str">
        <f ca="1">IFERROR(__xludf.DUMMYFUNCTION("""COMPUTED_VALUE"""),"HV")</f>
        <v>HV</v>
      </c>
      <c r="I960" s="118">
        <f ca="1">IFERROR(__xludf.DUMMYFUNCTION("""COMPUTED_VALUE"""),11)</f>
        <v>11</v>
      </c>
      <c r="J960" s="118">
        <f ca="1">IFERROR(__xludf.DUMMYFUNCTION("""COMPUTED_VALUE"""),4)</f>
        <v>4</v>
      </c>
      <c r="K960" s="120">
        <f ca="1">IFERROR(__xludf.DUMMYFUNCTION("""COMPUTED_VALUE"""),137.05)</f>
        <v>137.05000000000001</v>
      </c>
      <c r="L960" s="121"/>
      <c r="M960" s="120">
        <f ca="1">IFERROR(__xludf.DUMMYFUNCTION("""COMPUTED_VALUE"""),122.7)</f>
        <v>122.7</v>
      </c>
      <c r="N960" s="121"/>
      <c r="O960" s="120"/>
      <c r="P960" s="122"/>
      <c r="Q960" s="123"/>
      <c r="R960" s="123"/>
      <c r="S960" s="123" t="str">
        <f ca="1">IFERROR(__xludf.DUMMYFUNCTION("""COMPUTED_VALUE"""),"Morgan Milman")</f>
        <v>Morgan Milman</v>
      </c>
      <c r="T960" s="123"/>
    </row>
    <row r="961" spans="1:20" ht="13.8">
      <c r="A961" s="118" t="str">
        <f ca="1">IFERROR(__xludf.DUMMYFUNCTION("""COMPUTED_VALUE"""),"HV")</f>
        <v>HV</v>
      </c>
      <c r="B961" s="119" t="str">
        <f ca="1">IFERROR(__xludf.DUMMYFUNCTION("""COMPUTED_VALUE"""),"Ward Gardiner")</f>
        <v>Ward Gardiner</v>
      </c>
      <c r="C961" s="118">
        <f ca="1">IFERROR(__xludf.DUMMYFUNCTION("""COMPUTED_VALUE"""),16)</f>
        <v>16</v>
      </c>
      <c r="D961" s="118" t="str">
        <f ca="1">IFERROR(__xludf.DUMMYFUNCTION("""COMPUTED_VALUE"""),"B")</f>
        <v>B</v>
      </c>
      <c r="E961" s="118" t="str">
        <f ca="1">IFERROR(__xludf.DUMMYFUNCTION("""COMPUTED_VALUE"""),"S")</f>
        <v>S</v>
      </c>
      <c r="F961" s="118" t="str">
        <f ca="1">IFERROR(__xludf.DUMMYFUNCTION("""COMPUTED_VALUE"""),"S")</f>
        <v>S</v>
      </c>
      <c r="G961" s="118">
        <f ca="1">IFERROR(__xludf.DUMMYFUNCTION("""COMPUTED_VALUE"""),2)</f>
        <v>2</v>
      </c>
      <c r="H961" s="118" t="str">
        <f ca="1">IFERROR(__xludf.DUMMYFUNCTION("""COMPUTED_VALUE"""),"HV")</f>
        <v>HV</v>
      </c>
      <c r="I961" s="118">
        <f ca="1">IFERROR(__xludf.DUMMYFUNCTION("""COMPUTED_VALUE"""),11)</f>
        <v>11</v>
      </c>
      <c r="J961" s="118">
        <f ca="1">IFERROR(__xludf.DUMMYFUNCTION("""COMPUTED_VALUE"""),5)</f>
        <v>5</v>
      </c>
      <c r="K961" s="120">
        <f ca="1">IFERROR(__xludf.DUMMYFUNCTION("""COMPUTED_VALUE"""),180.2)</f>
        <v>180.2</v>
      </c>
      <c r="L961" s="121"/>
      <c r="M961" s="120">
        <f ca="1">IFERROR(__xludf.DUMMYFUNCTION("""COMPUTED_VALUE"""),149.8)</f>
        <v>149.80000000000001</v>
      </c>
      <c r="N961" s="121"/>
      <c r="O961" s="120">
        <f ca="1">IFERROR(__xludf.DUMMYFUNCTION("""COMPUTED_VALUE"""),153.35)</f>
        <v>153.35</v>
      </c>
      <c r="P961" s="122"/>
      <c r="Q961" s="123"/>
      <c r="R961" s="123"/>
      <c r="S961" s="123" t="str">
        <f ca="1">IFERROR(__xludf.DUMMYFUNCTION("""COMPUTED_VALUE"""),"Morgan Shelton")</f>
        <v>Morgan Shelton</v>
      </c>
      <c r="T961" s="123"/>
    </row>
    <row r="962" spans="1:20" ht="13.8">
      <c r="A962" s="118" t="str">
        <f ca="1">IFERROR(__xludf.DUMMYFUNCTION("""COMPUTED_VALUE"""),"IC")</f>
        <v>IC</v>
      </c>
      <c r="B962" s="119" t="str">
        <f ca="1">IFERROR(__xludf.DUMMYFUNCTION("""COMPUTED_VALUE"""),"Eliana Betteley")</f>
        <v>Eliana Betteley</v>
      </c>
      <c r="C962" s="118">
        <f ca="1">IFERROR(__xludf.DUMMYFUNCTION("""COMPUTED_VALUE"""),5)</f>
        <v>5</v>
      </c>
      <c r="D962" s="118" t="str">
        <f ca="1">IFERROR(__xludf.DUMMYFUNCTION("""COMPUTED_VALUE"""),"G")</f>
        <v>G</v>
      </c>
      <c r="E962" s="118" t="str">
        <f ca="1">IFERROR(__xludf.DUMMYFUNCTION("""COMPUTED_VALUE"""),"F")</f>
        <v>F</v>
      </c>
      <c r="F962" s="118" t="str">
        <f ca="1">IFERROR(__xludf.DUMMYFUNCTION("""COMPUTED_VALUE"""),"J")</f>
        <v>J</v>
      </c>
      <c r="G962" s="118">
        <f ca="1">IFERROR(__xludf.DUMMYFUNCTION("""COMPUTED_VALUE"""),8)</f>
        <v>8</v>
      </c>
      <c r="H962" s="118" t="str">
        <f ca="1">IFERROR(__xludf.DUMMYFUNCTION("""COMPUTED_VALUE"""),"IC")</f>
        <v>IC</v>
      </c>
      <c r="I962" s="118">
        <f ca="1">IFERROR(__xludf.DUMMYFUNCTION("""COMPUTED_VALUE"""),4)</f>
        <v>4</v>
      </c>
      <c r="J962" s="118">
        <f ca="1">IFERROR(__xludf.DUMMYFUNCTION("""COMPUTED_VALUE"""),1)</f>
        <v>1</v>
      </c>
      <c r="K962" s="120"/>
      <c r="L962" s="121"/>
      <c r="M962" s="120"/>
      <c r="N962" s="121"/>
      <c r="O962" s="120"/>
      <c r="P962" s="122"/>
      <c r="Q962" s="123"/>
      <c r="R962" s="123"/>
      <c r="S962" s="123" t="str">
        <f ca="1">IFERROR(__xludf.DUMMYFUNCTION("""COMPUTED_VALUE"""),"Mouse Guy")</f>
        <v>Mouse Guy</v>
      </c>
      <c r="T962" s="123"/>
    </row>
    <row r="963" spans="1:20" ht="13.8">
      <c r="A963" s="118" t="str">
        <f ca="1">IFERROR(__xludf.DUMMYFUNCTION("""COMPUTED_VALUE"""),"IC")</f>
        <v>IC</v>
      </c>
      <c r="B963" s="119" t="str">
        <f ca="1">IFERROR(__xludf.DUMMYFUNCTION("""COMPUTED_VALUE"""),"Miriam Mikias")</f>
        <v>Miriam Mikias</v>
      </c>
      <c r="C963" s="118">
        <f ca="1">IFERROR(__xludf.DUMMYFUNCTION("""COMPUTED_VALUE"""),10)</f>
        <v>10</v>
      </c>
      <c r="D963" s="118" t="str">
        <f ca="1">IFERROR(__xludf.DUMMYFUNCTION("""COMPUTED_VALUE"""),"G")</f>
        <v>G</v>
      </c>
      <c r="E963" s="118" t="str">
        <f ca="1">IFERROR(__xludf.DUMMYFUNCTION("""COMPUTED_VALUE"""),"F")</f>
        <v>F</v>
      </c>
      <c r="F963" s="118" t="str">
        <f ca="1">IFERROR(__xludf.DUMMYFUNCTION("""COMPUTED_VALUE"""),"J")</f>
        <v>J</v>
      </c>
      <c r="G963" s="118">
        <f ca="1">IFERROR(__xludf.DUMMYFUNCTION("""COMPUTED_VALUE"""),8)</f>
        <v>8</v>
      </c>
      <c r="H963" s="118" t="str">
        <f ca="1">IFERROR(__xludf.DUMMYFUNCTION("""COMPUTED_VALUE"""),"IC")</f>
        <v>IC</v>
      </c>
      <c r="I963" s="118">
        <f ca="1">IFERROR(__xludf.DUMMYFUNCTION("""COMPUTED_VALUE"""),4)</f>
        <v>4</v>
      </c>
      <c r="J963" s="118">
        <f ca="1">IFERROR(__xludf.DUMMYFUNCTION("""COMPUTED_VALUE"""),3)</f>
        <v>3</v>
      </c>
      <c r="K963" s="120">
        <f ca="1">IFERROR(__xludf.DUMMYFUNCTION("""COMPUTED_VALUE"""),16.5)</f>
        <v>16.5</v>
      </c>
      <c r="L963" s="121"/>
      <c r="M963" s="120"/>
      <c r="N963" s="121"/>
      <c r="O963" s="120"/>
      <c r="P963" s="122"/>
      <c r="Q963" s="123"/>
      <c r="R963" s="123"/>
      <c r="S963" s="123" t="str">
        <f ca="1">IFERROR(__xludf.DUMMYFUNCTION("""COMPUTED_VALUE"""),"Mya Merkel")</f>
        <v>Mya Merkel</v>
      </c>
      <c r="T963" s="123"/>
    </row>
    <row r="964" spans="1:20" ht="13.8">
      <c r="A964" s="118" t="str">
        <f ca="1">IFERROR(__xludf.DUMMYFUNCTION("""COMPUTED_VALUE"""),"IC")</f>
        <v>IC</v>
      </c>
      <c r="B964" s="119" t="str">
        <f ca="1">IFERROR(__xludf.DUMMYFUNCTION("""COMPUTED_VALUE"""),"Baiden Vu")</f>
        <v>Baiden Vu</v>
      </c>
      <c r="C964" s="118">
        <f ca="1">IFERROR(__xludf.DUMMYFUNCTION("""COMPUTED_VALUE"""),9)</f>
        <v>9</v>
      </c>
      <c r="D964" s="118" t="str">
        <f ca="1">IFERROR(__xludf.DUMMYFUNCTION("""COMPUTED_VALUE"""),"B")</f>
        <v>B</v>
      </c>
      <c r="E964" s="118" t="str">
        <f ca="1">IFERROR(__xludf.DUMMYFUNCTION("""COMPUTED_VALUE"""),"F")</f>
        <v>F</v>
      </c>
      <c r="F964" s="118" t="str">
        <f ca="1">IFERROR(__xludf.DUMMYFUNCTION("""COMPUTED_VALUE"""),"J")</f>
        <v>J</v>
      </c>
      <c r="G964" s="118">
        <f ca="1">IFERROR(__xludf.DUMMYFUNCTION("""COMPUTED_VALUE"""),8)</f>
        <v>8</v>
      </c>
      <c r="H964" s="118" t="str">
        <f ca="1">IFERROR(__xludf.DUMMYFUNCTION("""COMPUTED_VALUE"""),"IC")</f>
        <v>IC</v>
      </c>
      <c r="I964" s="118">
        <f ca="1">IFERROR(__xludf.DUMMYFUNCTION("""COMPUTED_VALUE"""),5)</f>
        <v>5</v>
      </c>
      <c r="J964" s="118">
        <f ca="1">IFERROR(__xludf.DUMMYFUNCTION("""COMPUTED_VALUE"""),0)</f>
        <v>0</v>
      </c>
      <c r="K964" s="120"/>
      <c r="L964" s="121"/>
      <c r="M964" s="120"/>
      <c r="N964" s="121"/>
      <c r="O964" s="120"/>
      <c r="P964" s="122"/>
      <c r="Q964" s="123"/>
      <c r="R964" s="123"/>
      <c r="S964" s="123" t="str">
        <f ca="1">IFERROR(__xludf.DUMMYFUNCTION("""COMPUTED_VALUE"""),"Myla Metzger")</f>
        <v>Myla Metzger</v>
      </c>
      <c r="T964" s="123"/>
    </row>
    <row r="965" spans="1:20" ht="13.8">
      <c r="A965" s="118" t="str">
        <f ca="1">IFERROR(__xludf.DUMMYFUNCTION("""COMPUTED_VALUE"""),"IC")</f>
        <v>IC</v>
      </c>
      <c r="B965" s="119" t="str">
        <f ca="1">IFERROR(__xludf.DUMMYFUNCTION("""COMPUTED_VALUE"""),"Bryce Doorley")</f>
        <v>Bryce Doorley</v>
      </c>
      <c r="C965" s="118">
        <f ca="1">IFERROR(__xludf.DUMMYFUNCTION("""COMPUTED_VALUE"""),5)</f>
        <v>5</v>
      </c>
      <c r="D965" s="118" t="str">
        <f ca="1">IFERROR(__xludf.DUMMYFUNCTION("""COMPUTED_VALUE"""),"B")</f>
        <v>B</v>
      </c>
      <c r="E965" s="118" t="str">
        <f ca="1">IFERROR(__xludf.DUMMYFUNCTION("""COMPUTED_VALUE"""),"F")</f>
        <v>F</v>
      </c>
      <c r="F965" s="118" t="str">
        <f ca="1">IFERROR(__xludf.DUMMYFUNCTION("""COMPUTED_VALUE"""),"J")</f>
        <v>J</v>
      </c>
      <c r="G965" s="118">
        <f ca="1">IFERROR(__xludf.DUMMYFUNCTION("""COMPUTED_VALUE"""),8)</f>
        <v>8</v>
      </c>
      <c r="H965" s="118" t="str">
        <f ca="1">IFERROR(__xludf.DUMMYFUNCTION("""COMPUTED_VALUE"""),"IC")</f>
        <v>IC</v>
      </c>
      <c r="I965" s="118">
        <f ca="1">IFERROR(__xludf.DUMMYFUNCTION("""COMPUTED_VALUE"""),5)</f>
        <v>5</v>
      </c>
      <c r="J965" s="118">
        <f ca="1">IFERROR(__xludf.DUMMYFUNCTION("""COMPUTED_VALUE"""),1)</f>
        <v>1</v>
      </c>
      <c r="K965" s="120"/>
      <c r="L965" s="121"/>
      <c r="M965" s="120"/>
      <c r="N965" s="121"/>
      <c r="O965" s="120"/>
      <c r="P965" s="122"/>
      <c r="Q965" s="123"/>
      <c r="R965" s="123"/>
      <c r="S965" s="123" t="str">
        <f ca="1">IFERROR(__xludf.DUMMYFUNCTION("""COMPUTED_VALUE"""),"Naomi McShane")</f>
        <v>Naomi McShane</v>
      </c>
      <c r="T965" s="123"/>
    </row>
    <row r="966" spans="1:20" ht="13.8">
      <c r="A966" s="118" t="str">
        <f ca="1">IFERROR(__xludf.DUMMYFUNCTION("""COMPUTED_VALUE"""),"IC")</f>
        <v>IC</v>
      </c>
      <c r="B966" s="119" t="str">
        <f ca="1">IFERROR(__xludf.DUMMYFUNCTION("""COMPUTED_VALUE"""),"Emeric Alvarez")</f>
        <v>Emeric Alvarez</v>
      </c>
      <c r="C966" s="118">
        <f ca="1">IFERROR(__xludf.DUMMYFUNCTION("""COMPUTED_VALUE"""),9)</f>
        <v>9</v>
      </c>
      <c r="D966" s="118" t="str">
        <f ca="1">IFERROR(__xludf.DUMMYFUNCTION("""COMPUTED_VALUE"""),"B")</f>
        <v>B</v>
      </c>
      <c r="E966" s="118" t="str">
        <f ca="1">IFERROR(__xludf.DUMMYFUNCTION("""COMPUTED_VALUE"""),"F")</f>
        <v>F</v>
      </c>
      <c r="F966" s="118" t="str">
        <f ca="1">IFERROR(__xludf.DUMMYFUNCTION("""COMPUTED_VALUE"""),"J")</f>
        <v>J</v>
      </c>
      <c r="G966" s="118">
        <f ca="1">IFERROR(__xludf.DUMMYFUNCTION("""COMPUTED_VALUE"""),8)</f>
        <v>8</v>
      </c>
      <c r="H966" s="118" t="str">
        <f ca="1">IFERROR(__xludf.DUMMYFUNCTION("""COMPUTED_VALUE"""),"IC")</f>
        <v>IC</v>
      </c>
      <c r="I966" s="118">
        <f ca="1">IFERROR(__xludf.DUMMYFUNCTION("""COMPUTED_VALUE"""),5)</f>
        <v>5</v>
      </c>
      <c r="J966" s="118">
        <f ca="1">IFERROR(__xludf.DUMMYFUNCTION("""COMPUTED_VALUE"""),2)</f>
        <v>2</v>
      </c>
      <c r="K966" s="120">
        <f ca="1">IFERROR(__xludf.DUMMYFUNCTION("""COMPUTED_VALUE"""),10.2)</f>
        <v>10.199999999999999</v>
      </c>
      <c r="L966" s="121"/>
      <c r="M966" s="120"/>
      <c r="N966" s="121"/>
      <c r="O966" s="120"/>
      <c r="P966" s="122"/>
      <c r="Q966" s="123"/>
      <c r="R966" s="123"/>
      <c r="S966" s="123" t="str">
        <f ca="1">IFERROR(__xludf.DUMMYFUNCTION("""COMPUTED_VALUE"""),"Naomi Rios")</f>
        <v>Naomi Rios</v>
      </c>
      <c r="T966" s="123"/>
    </row>
    <row r="967" spans="1:20" ht="13.8">
      <c r="A967" s="118" t="str">
        <f ca="1">IFERROR(__xludf.DUMMYFUNCTION("""COMPUTED_VALUE"""),"IC")</f>
        <v>IC</v>
      </c>
      <c r="B967" s="119" t="str">
        <f ca="1">IFERROR(__xludf.DUMMYFUNCTION("""COMPUTED_VALUE"""),"Kepler Vu")</f>
        <v>Kepler Vu</v>
      </c>
      <c r="C967" s="118">
        <f ca="1">IFERROR(__xludf.DUMMYFUNCTION("""COMPUTED_VALUE"""),6)</f>
        <v>6</v>
      </c>
      <c r="D967" s="118" t="str">
        <f ca="1">IFERROR(__xludf.DUMMYFUNCTION("""COMPUTED_VALUE"""),"B")</f>
        <v>B</v>
      </c>
      <c r="E967" s="118" t="str">
        <f ca="1">IFERROR(__xludf.DUMMYFUNCTION("""COMPUTED_VALUE"""),"F")</f>
        <v>F</v>
      </c>
      <c r="F967" s="118" t="str">
        <f ca="1">IFERROR(__xludf.DUMMYFUNCTION("""COMPUTED_VALUE"""),"J")</f>
        <v>J</v>
      </c>
      <c r="G967" s="118">
        <f ca="1">IFERROR(__xludf.DUMMYFUNCTION("""COMPUTED_VALUE"""),8)</f>
        <v>8</v>
      </c>
      <c r="H967" s="118" t="str">
        <f ca="1">IFERROR(__xludf.DUMMYFUNCTION("""COMPUTED_VALUE"""),"IC")</f>
        <v>IC</v>
      </c>
      <c r="I967" s="118">
        <f ca="1">IFERROR(__xludf.DUMMYFUNCTION("""COMPUTED_VALUE"""),5)</f>
        <v>5</v>
      </c>
      <c r="J967" s="118">
        <f ca="1">IFERROR(__xludf.DUMMYFUNCTION("""COMPUTED_VALUE"""),0)</f>
        <v>0</v>
      </c>
      <c r="K967" s="120"/>
      <c r="L967" s="121"/>
      <c r="M967" s="120"/>
      <c r="N967" s="121"/>
      <c r="O967" s="120"/>
      <c r="P967" s="122"/>
      <c r="Q967" s="123"/>
      <c r="R967" s="123"/>
      <c r="S967" s="123" t="str">
        <f ca="1">IFERROR(__xludf.DUMMYFUNCTION("""COMPUTED_VALUE"""),"Naomi Sherer")</f>
        <v>Naomi Sherer</v>
      </c>
      <c r="T967" s="123"/>
    </row>
    <row r="968" spans="1:20" ht="13.8">
      <c r="A968" s="118" t="str">
        <f ca="1">IFERROR(__xludf.DUMMYFUNCTION("""COMPUTED_VALUE"""),"IC")</f>
        <v>IC</v>
      </c>
      <c r="B968" s="119" t="str">
        <f ca="1">IFERROR(__xludf.DUMMYFUNCTION("""COMPUTED_VALUE"""),"Leo Nadasi")</f>
        <v>Leo Nadasi</v>
      </c>
      <c r="C968" s="118">
        <f ca="1">IFERROR(__xludf.DUMMYFUNCTION("""COMPUTED_VALUE"""),7)</f>
        <v>7</v>
      </c>
      <c r="D968" s="118" t="str">
        <f ca="1">IFERROR(__xludf.DUMMYFUNCTION("""COMPUTED_VALUE"""),"B")</f>
        <v>B</v>
      </c>
      <c r="E968" s="118" t="str">
        <f ca="1">IFERROR(__xludf.DUMMYFUNCTION("""COMPUTED_VALUE"""),"F")</f>
        <v>F</v>
      </c>
      <c r="F968" s="118" t="str">
        <f ca="1">IFERROR(__xludf.DUMMYFUNCTION("""COMPUTED_VALUE"""),"J")</f>
        <v>J</v>
      </c>
      <c r="G968" s="118">
        <f ca="1">IFERROR(__xludf.DUMMYFUNCTION("""COMPUTED_VALUE"""),8)</f>
        <v>8</v>
      </c>
      <c r="H968" s="118" t="str">
        <f ca="1">IFERROR(__xludf.DUMMYFUNCTION("""COMPUTED_VALUE"""),"IC")</f>
        <v>IC</v>
      </c>
      <c r="I968" s="118">
        <f ca="1">IFERROR(__xludf.DUMMYFUNCTION("""COMPUTED_VALUE"""),5)</f>
        <v>5</v>
      </c>
      <c r="J968" s="118">
        <f ca="1">IFERROR(__xludf.DUMMYFUNCTION("""COMPUTED_VALUE"""),0)</f>
        <v>0</v>
      </c>
      <c r="K968" s="120"/>
      <c r="L968" s="121"/>
      <c r="M968" s="120"/>
      <c r="N968" s="121"/>
      <c r="O968" s="120"/>
      <c r="P968" s="122"/>
      <c r="Q968" s="123"/>
      <c r="R968" s="123"/>
      <c r="S968" s="123" t="str">
        <f ca="1">IFERROR(__xludf.DUMMYFUNCTION("""COMPUTED_VALUE"""),"Natalia Haley")</f>
        <v>Natalia Haley</v>
      </c>
      <c r="T968" s="123"/>
    </row>
    <row r="969" spans="1:20" ht="13.8">
      <c r="A969" s="118" t="str">
        <f ca="1">IFERROR(__xludf.DUMMYFUNCTION("""COMPUTED_VALUE"""),"IC")</f>
        <v>IC</v>
      </c>
      <c r="B969" s="119" t="str">
        <f ca="1">IFERROR(__xludf.DUMMYFUNCTION("""COMPUTED_VALUE"""),"Clara Meyers")</f>
        <v>Clara Meyers</v>
      </c>
      <c r="C969" s="118">
        <f ca="1">IFERROR(__xludf.DUMMYFUNCTION("""COMPUTED_VALUE"""),11)</f>
        <v>11</v>
      </c>
      <c r="D969" s="118" t="str">
        <f ca="1">IFERROR(__xludf.DUMMYFUNCTION("""COMPUTED_VALUE"""),"G")</f>
        <v>G</v>
      </c>
      <c r="E969" s="118" t="str">
        <f ca="1">IFERROR(__xludf.DUMMYFUNCTION("""COMPUTED_VALUE"""),"J")</f>
        <v>J</v>
      </c>
      <c r="F969" s="118" t="str">
        <f ca="1">IFERROR(__xludf.DUMMYFUNCTION("""COMPUTED_VALUE"""),"I")</f>
        <v>I</v>
      </c>
      <c r="G969" s="118">
        <f ca="1">IFERROR(__xludf.DUMMYFUNCTION("""COMPUTED_VALUE"""),8)</f>
        <v>8</v>
      </c>
      <c r="H969" s="118" t="str">
        <f ca="1">IFERROR(__xludf.DUMMYFUNCTION("""COMPUTED_VALUE"""),"IC")</f>
        <v>IC</v>
      </c>
      <c r="I969" s="118">
        <f ca="1">IFERROR(__xludf.DUMMYFUNCTION("""COMPUTED_VALUE"""),6)</f>
        <v>6</v>
      </c>
      <c r="J969" s="118">
        <f ca="1">IFERROR(__xludf.DUMMYFUNCTION("""COMPUTED_VALUE"""),5)</f>
        <v>5</v>
      </c>
      <c r="K969" s="120">
        <f ca="1">IFERROR(__xludf.DUMMYFUNCTION("""COMPUTED_VALUE"""),96.95)</f>
        <v>96.95</v>
      </c>
      <c r="L969" s="121"/>
      <c r="M969" s="120">
        <f ca="1">IFERROR(__xludf.DUMMYFUNCTION("""COMPUTED_VALUE"""),-120.3)</f>
        <v>-120.3</v>
      </c>
      <c r="N969" s="121"/>
      <c r="O969" s="120">
        <f ca="1">IFERROR(__xludf.DUMMYFUNCTION("""COMPUTED_VALUE"""),-103.5)</f>
        <v>-103.5</v>
      </c>
      <c r="P969" s="122"/>
      <c r="Q969" s="123"/>
      <c r="R969" s="123"/>
      <c r="S969" s="123" t="str">
        <f ca="1">IFERROR(__xludf.DUMMYFUNCTION("""COMPUTED_VALUE"""),"Natalia Patrick")</f>
        <v>Natalia Patrick</v>
      </c>
      <c r="T969" s="123"/>
    </row>
    <row r="970" spans="1:20" ht="13.8">
      <c r="A970" s="118" t="str">
        <f ca="1">IFERROR(__xludf.DUMMYFUNCTION("""COMPUTED_VALUE"""),"IC")</f>
        <v>IC</v>
      </c>
      <c r="B970" s="119" t="str">
        <f ca="1">IFERROR(__xludf.DUMMYFUNCTION("""COMPUTED_VALUE"""),"Rosalie Thornton")</f>
        <v>Rosalie Thornton</v>
      </c>
      <c r="C970" s="118">
        <f ca="1">IFERROR(__xludf.DUMMYFUNCTION("""COMPUTED_VALUE"""),11)</f>
        <v>11</v>
      </c>
      <c r="D970" s="118" t="str">
        <f ca="1">IFERROR(__xludf.DUMMYFUNCTION("""COMPUTED_VALUE"""),"G")</f>
        <v>G</v>
      </c>
      <c r="E970" s="118" t="str">
        <f ca="1">IFERROR(__xludf.DUMMYFUNCTION("""COMPUTED_VALUE"""),"J")</f>
        <v>J</v>
      </c>
      <c r="F970" s="118" t="str">
        <f ca="1">IFERROR(__xludf.DUMMYFUNCTION("""COMPUTED_VALUE"""),"I")</f>
        <v>I</v>
      </c>
      <c r="G970" s="118">
        <f ca="1">IFERROR(__xludf.DUMMYFUNCTION("""COMPUTED_VALUE"""),8)</f>
        <v>8</v>
      </c>
      <c r="H970" s="118" t="str">
        <f ca="1">IFERROR(__xludf.DUMMYFUNCTION("""COMPUTED_VALUE"""),"IC")</f>
        <v>IC</v>
      </c>
      <c r="I970" s="118">
        <f ca="1">IFERROR(__xludf.DUMMYFUNCTION("""COMPUTED_VALUE"""),6)</f>
        <v>6</v>
      </c>
      <c r="J970" s="118">
        <f ca="1">IFERROR(__xludf.DUMMYFUNCTION("""COMPUTED_VALUE"""),4)</f>
        <v>4</v>
      </c>
      <c r="K970" s="120">
        <f ca="1">IFERROR(__xludf.DUMMYFUNCTION("""COMPUTED_VALUE"""),67.95)</f>
        <v>67.95</v>
      </c>
      <c r="L970" s="121"/>
      <c r="M970" s="120">
        <f ca="1">IFERROR(__xludf.DUMMYFUNCTION("""COMPUTED_VALUE"""),67.95)</f>
        <v>67.95</v>
      </c>
      <c r="N970" s="121"/>
      <c r="O970" s="120">
        <f ca="1">IFERROR(__xludf.DUMMYFUNCTION("""COMPUTED_VALUE"""),45.9)</f>
        <v>45.9</v>
      </c>
      <c r="P970" s="122"/>
      <c r="Q970" s="123"/>
      <c r="R970" s="123"/>
      <c r="S970" s="123" t="str">
        <f ca="1">IFERROR(__xludf.DUMMYFUNCTION("""COMPUTED_VALUE"""),"Natalia Sayasithsena")</f>
        <v>Natalia Sayasithsena</v>
      </c>
      <c r="T970" s="123"/>
    </row>
    <row r="971" spans="1:20" ht="13.8">
      <c r="A971" s="118" t="str">
        <f ca="1">IFERROR(__xludf.DUMMYFUNCTION("""COMPUTED_VALUE"""),"IC")</f>
        <v>IC</v>
      </c>
      <c r="B971" s="119" t="str">
        <f ca="1">IFERROR(__xludf.DUMMYFUNCTION("""COMPUTED_VALUE"""),"Emmett Kropf")</f>
        <v>Emmett Kropf</v>
      </c>
      <c r="C971" s="118">
        <f ca="1">IFERROR(__xludf.DUMMYFUNCTION("""COMPUTED_VALUE"""),12)</f>
        <v>12</v>
      </c>
      <c r="D971" s="118" t="str">
        <f ca="1">IFERROR(__xludf.DUMMYFUNCTION("""COMPUTED_VALUE"""),"B")</f>
        <v>B</v>
      </c>
      <c r="E971" s="118" t="str">
        <f ca="1">IFERROR(__xludf.DUMMYFUNCTION("""COMPUTED_VALUE"""),"J")</f>
        <v>J</v>
      </c>
      <c r="F971" s="118" t="str">
        <f ca="1">IFERROR(__xludf.DUMMYFUNCTION("""COMPUTED_VALUE"""),"I")</f>
        <v>I</v>
      </c>
      <c r="G971" s="118">
        <f ca="1">IFERROR(__xludf.DUMMYFUNCTION("""COMPUTED_VALUE"""),8)</f>
        <v>8</v>
      </c>
      <c r="H971" s="118" t="str">
        <f ca="1">IFERROR(__xludf.DUMMYFUNCTION("""COMPUTED_VALUE"""),"IC")</f>
        <v>IC</v>
      </c>
      <c r="I971" s="118">
        <f ca="1">IFERROR(__xludf.DUMMYFUNCTION("""COMPUTED_VALUE"""),7)</f>
        <v>7</v>
      </c>
      <c r="J971" s="118">
        <f ca="1">IFERROR(__xludf.DUMMYFUNCTION("""COMPUTED_VALUE"""),0)</f>
        <v>0</v>
      </c>
      <c r="K971" s="120"/>
      <c r="L971" s="121"/>
      <c r="M971" s="120"/>
      <c r="N971" s="121"/>
      <c r="O971" s="120"/>
      <c r="P971" s="122"/>
      <c r="Q971" s="123"/>
      <c r="R971" s="123"/>
      <c r="S971" s="123" t="str">
        <f ca="1">IFERROR(__xludf.DUMMYFUNCTION("""COMPUTED_VALUE"""),"Natalie Aurilio")</f>
        <v>Natalie Aurilio</v>
      </c>
      <c r="T971" s="123"/>
    </row>
    <row r="972" spans="1:20" ht="13.8">
      <c r="A972" s="118" t="str">
        <f ca="1">IFERROR(__xludf.DUMMYFUNCTION("""COMPUTED_VALUE"""),"IC")</f>
        <v>IC</v>
      </c>
      <c r="B972" s="119" t="str">
        <f ca="1">IFERROR(__xludf.DUMMYFUNCTION("""COMPUTED_VALUE"""),"Luke Havasy")</f>
        <v>Luke Havasy</v>
      </c>
      <c r="C972" s="118">
        <f ca="1">IFERROR(__xludf.DUMMYFUNCTION("""COMPUTED_VALUE"""),13)</f>
        <v>13</v>
      </c>
      <c r="D972" s="118" t="str">
        <f ca="1">IFERROR(__xludf.DUMMYFUNCTION("""COMPUTED_VALUE"""),"B")</f>
        <v>B</v>
      </c>
      <c r="E972" s="118" t="str">
        <f ca="1">IFERROR(__xludf.DUMMYFUNCTION("""COMPUTED_VALUE"""),"I")</f>
        <v>I</v>
      </c>
      <c r="F972" s="118" t="str">
        <f ca="1">IFERROR(__xludf.DUMMYFUNCTION("""COMPUTED_VALUE"""),"S")</f>
        <v>S</v>
      </c>
      <c r="G972" s="118">
        <f ca="1">IFERROR(__xludf.DUMMYFUNCTION("""COMPUTED_VALUE"""),8)</f>
        <v>8</v>
      </c>
      <c r="H972" s="118" t="str">
        <f ca="1">IFERROR(__xludf.DUMMYFUNCTION("""COMPUTED_VALUE"""),"IC")</f>
        <v>IC</v>
      </c>
      <c r="I972" s="118">
        <f ca="1">IFERROR(__xludf.DUMMYFUNCTION("""COMPUTED_VALUE"""),9)</f>
        <v>9</v>
      </c>
      <c r="J972" s="118">
        <f ca="1">IFERROR(__xludf.DUMMYFUNCTION("""COMPUTED_VALUE"""),4)</f>
        <v>4</v>
      </c>
      <c r="K972" s="120">
        <f ca="1">IFERROR(__xludf.DUMMYFUNCTION("""COMPUTED_VALUE"""),131.3)</f>
        <v>131.30000000000001</v>
      </c>
      <c r="L972" s="121"/>
      <c r="M972" s="120">
        <f ca="1">IFERROR(__xludf.DUMMYFUNCTION("""COMPUTED_VALUE"""),131.3)</f>
        <v>131.30000000000001</v>
      </c>
      <c r="N972" s="121"/>
      <c r="O972" s="120"/>
      <c r="P972" s="122"/>
      <c r="Q972" s="123"/>
      <c r="R972" s="123"/>
      <c r="S972" s="123" t="str">
        <f ca="1">IFERROR(__xludf.DUMMYFUNCTION("""COMPUTED_VALUE"""),"Natalie Esquivel")</f>
        <v>Natalie Esquivel</v>
      </c>
      <c r="T972" s="123"/>
    </row>
    <row r="973" spans="1:20" ht="13.8">
      <c r="A973" s="118" t="str">
        <f ca="1">IFERROR(__xludf.DUMMYFUNCTION("""COMPUTED_VALUE"""),"IC")</f>
        <v>IC</v>
      </c>
      <c r="B973" s="119" t="str">
        <f ca="1">IFERROR(__xludf.DUMMYFUNCTION("""COMPUTED_VALUE"""),"Sean Borders")</f>
        <v>Sean Borders</v>
      </c>
      <c r="C973" s="118">
        <f ca="1">IFERROR(__xludf.DUMMYFUNCTION("""COMPUTED_VALUE"""),13)</f>
        <v>13</v>
      </c>
      <c r="D973" s="118" t="str">
        <f ca="1">IFERROR(__xludf.DUMMYFUNCTION("""COMPUTED_VALUE"""),"B")</f>
        <v>B</v>
      </c>
      <c r="E973" s="118" t="str">
        <f ca="1">IFERROR(__xludf.DUMMYFUNCTION("""COMPUTED_VALUE"""),"I")</f>
        <v>I</v>
      </c>
      <c r="F973" s="118" t="str">
        <f ca="1">IFERROR(__xludf.DUMMYFUNCTION("""COMPUTED_VALUE"""),"S")</f>
        <v>S</v>
      </c>
      <c r="G973" s="118">
        <f ca="1">IFERROR(__xludf.DUMMYFUNCTION("""COMPUTED_VALUE"""),8)</f>
        <v>8</v>
      </c>
      <c r="H973" s="118" t="str">
        <f ca="1">IFERROR(__xludf.DUMMYFUNCTION("""COMPUTED_VALUE"""),"IC")</f>
        <v>IC</v>
      </c>
      <c r="I973" s="118">
        <f ca="1">IFERROR(__xludf.DUMMYFUNCTION("""COMPUTED_VALUE"""),9)</f>
        <v>9</v>
      </c>
      <c r="J973" s="118">
        <f ca="1">IFERROR(__xludf.DUMMYFUNCTION("""COMPUTED_VALUE"""),4)</f>
        <v>4</v>
      </c>
      <c r="K973" s="120">
        <f ca="1">IFERROR(__xludf.DUMMYFUNCTION("""COMPUTED_VALUE"""),64.75)</f>
        <v>64.75</v>
      </c>
      <c r="L973" s="121"/>
      <c r="M973" s="120"/>
      <c r="N973" s="121"/>
      <c r="O973" s="120">
        <f ca="1">IFERROR(__xludf.DUMMYFUNCTION("""COMPUTED_VALUE"""),62)</f>
        <v>62</v>
      </c>
      <c r="P973" s="122"/>
      <c r="Q973" s="123"/>
      <c r="R973" s="123"/>
      <c r="S973" s="123" t="str">
        <f ca="1">IFERROR(__xludf.DUMMYFUNCTION("""COMPUTED_VALUE"""),"Natalie Frasure")</f>
        <v>Natalie Frasure</v>
      </c>
      <c r="T973" s="123"/>
    </row>
    <row r="974" spans="1:20" ht="13.8">
      <c r="A974" s="118" t="str">
        <f ca="1">IFERROR(__xludf.DUMMYFUNCTION("""COMPUTED_VALUE"""),"IC")</f>
        <v>IC</v>
      </c>
      <c r="B974" s="119" t="str">
        <f ca="1">IFERROR(__xludf.DUMMYFUNCTION("""COMPUTED_VALUE"""),"Emily Bush")</f>
        <v>Emily Bush</v>
      </c>
      <c r="C974" s="118">
        <f ca="1">IFERROR(__xludf.DUMMYFUNCTION("""COMPUTED_VALUE"""),17)</f>
        <v>17</v>
      </c>
      <c r="D974" s="118" t="str">
        <f ca="1">IFERROR(__xludf.DUMMYFUNCTION("""COMPUTED_VALUE"""),"G")</f>
        <v>G</v>
      </c>
      <c r="E974" s="118" t="str">
        <f ca="1">IFERROR(__xludf.DUMMYFUNCTION("""COMPUTED_VALUE"""),"S")</f>
        <v>S</v>
      </c>
      <c r="F974" s="118" t="str">
        <f ca="1">IFERROR(__xludf.DUMMYFUNCTION("""COMPUTED_VALUE"""),"S")</f>
        <v>S</v>
      </c>
      <c r="G974" s="118">
        <f ca="1">IFERROR(__xludf.DUMMYFUNCTION("""COMPUTED_VALUE"""),8)</f>
        <v>8</v>
      </c>
      <c r="H974" s="118" t="str">
        <f ca="1">IFERROR(__xludf.DUMMYFUNCTION("""COMPUTED_VALUE"""),"IC")</f>
        <v>IC</v>
      </c>
      <c r="I974" s="118">
        <f ca="1">IFERROR(__xludf.DUMMYFUNCTION("""COMPUTED_VALUE"""),10)</f>
        <v>10</v>
      </c>
      <c r="J974" s="118">
        <f ca="1">IFERROR(__xludf.DUMMYFUNCTION("""COMPUTED_VALUE"""),3)</f>
        <v>3</v>
      </c>
      <c r="K974" s="120">
        <f ca="1">IFERROR(__xludf.DUMMYFUNCTION("""COMPUTED_VALUE"""),156.2)</f>
        <v>156.19999999999999</v>
      </c>
      <c r="L974" s="121"/>
      <c r="M974" s="120">
        <f ca="1">IFERROR(__xludf.DUMMYFUNCTION("""COMPUTED_VALUE"""),156.2)</f>
        <v>156.19999999999999</v>
      </c>
      <c r="N974" s="121"/>
      <c r="O974" s="120"/>
      <c r="P974" s="122"/>
      <c r="Q974" s="123"/>
      <c r="R974" s="123"/>
      <c r="S974" s="123" t="str">
        <f ca="1">IFERROR(__xludf.DUMMYFUNCTION("""COMPUTED_VALUE"""),"Natasha Sauchuk")</f>
        <v>Natasha Sauchuk</v>
      </c>
      <c r="T974" s="123"/>
    </row>
    <row r="975" spans="1:20" ht="13.8">
      <c r="A975" s="118" t="str">
        <f ca="1">IFERROR(__xludf.DUMMYFUNCTION("""COMPUTED_VALUE"""),"IC")</f>
        <v>IC</v>
      </c>
      <c r="B975" s="119" t="str">
        <f ca="1">IFERROR(__xludf.DUMMYFUNCTION("""COMPUTED_VALUE"""),"Everett Thornton")</f>
        <v>Everett Thornton</v>
      </c>
      <c r="C975" s="118">
        <f ca="1">IFERROR(__xludf.DUMMYFUNCTION("""COMPUTED_VALUE"""),15)</f>
        <v>15</v>
      </c>
      <c r="D975" s="118" t="str">
        <f ca="1">IFERROR(__xludf.DUMMYFUNCTION("""COMPUTED_VALUE"""),"B")</f>
        <v>B</v>
      </c>
      <c r="E975" s="118" t="str">
        <f ca="1">IFERROR(__xludf.DUMMYFUNCTION("""COMPUTED_VALUE"""),"S")</f>
        <v>S</v>
      </c>
      <c r="F975" s="118" t="str">
        <f ca="1">IFERROR(__xludf.DUMMYFUNCTION("""COMPUTED_VALUE"""),"S")</f>
        <v>S</v>
      </c>
      <c r="G975" s="118">
        <f ca="1">IFERROR(__xludf.DUMMYFUNCTION("""COMPUTED_VALUE"""),8)</f>
        <v>8</v>
      </c>
      <c r="H975" s="118" t="str">
        <f ca="1">IFERROR(__xludf.DUMMYFUNCTION("""COMPUTED_VALUE"""),"IC")</f>
        <v>IC</v>
      </c>
      <c r="I975" s="118">
        <f ca="1">IFERROR(__xludf.DUMMYFUNCTION("""COMPUTED_VALUE"""),11)</f>
        <v>11</v>
      </c>
      <c r="J975" s="118">
        <f ca="1">IFERROR(__xludf.DUMMYFUNCTION("""COMPUTED_VALUE"""),0)</f>
        <v>0</v>
      </c>
      <c r="K975" s="120"/>
      <c r="L975" s="121"/>
      <c r="M975" s="120"/>
      <c r="N975" s="121"/>
      <c r="O975" s="120"/>
      <c r="P975" s="122"/>
      <c r="Q975" s="123"/>
      <c r="R975" s="123"/>
      <c r="S975" s="123" t="str">
        <f ca="1">IFERROR(__xludf.DUMMYFUNCTION("""COMPUTED_VALUE"""),"Nathalie Lord")</f>
        <v>Nathalie Lord</v>
      </c>
      <c r="T975" s="123"/>
    </row>
    <row r="976" spans="1:20" ht="13.8">
      <c r="A976" s="118" t="str">
        <f ca="1">IFERROR(__xludf.DUMMYFUNCTION("""COMPUTED_VALUE"""),"IC")</f>
        <v>IC</v>
      </c>
      <c r="B976" s="119" t="str">
        <f ca="1">IFERROR(__xludf.DUMMYFUNCTION("""COMPUTED_VALUE"""),"Grant Thornton")</f>
        <v>Grant Thornton</v>
      </c>
      <c r="C976" s="118">
        <f ca="1">IFERROR(__xludf.DUMMYFUNCTION("""COMPUTED_VALUE"""),17)</f>
        <v>17</v>
      </c>
      <c r="D976" s="118" t="str">
        <f ca="1">IFERROR(__xludf.DUMMYFUNCTION("""COMPUTED_VALUE"""),"B")</f>
        <v>B</v>
      </c>
      <c r="E976" s="118" t="str">
        <f ca="1">IFERROR(__xludf.DUMMYFUNCTION("""COMPUTED_VALUE"""),"S")</f>
        <v>S</v>
      </c>
      <c r="F976" s="118" t="str">
        <f ca="1">IFERROR(__xludf.DUMMYFUNCTION("""COMPUTED_VALUE"""),"S")</f>
        <v>S</v>
      </c>
      <c r="G976" s="118">
        <f ca="1">IFERROR(__xludf.DUMMYFUNCTION("""COMPUTED_VALUE"""),8)</f>
        <v>8</v>
      </c>
      <c r="H976" s="118" t="str">
        <f ca="1">IFERROR(__xludf.DUMMYFUNCTION("""COMPUTED_VALUE"""),"IC")</f>
        <v>IC</v>
      </c>
      <c r="I976" s="118">
        <f ca="1">IFERROR(__xludf.DUMMYFUNCTION("""COMPUTED_VALUE"""),11)</f>
        <v>11</v>
      </c>
      <c r="J976" s="118">
        <f ca="1">IFERROR(__xludf.DUMMYFUNCTION("""COMPUTED_VALUE"""),3)</f>
        <v>3</v>
      </c>
      <c r="K976" s="120">
        <f ca="1">IFERROR(__xludf.DUMMYFUNCTION("""COMPUTED_VALUE"""),101.75)</f>
        <v>101.75</v>
      </c>
      <c r="L976" s="121"/>
      <c r="M976" s="120">
        <f ca="1">IFERROR(__xludf.DUMMYFUNCTION("""COMPUTED_VALUE"""),96.55)</f>
        <v>96.55</v>
      </c>
      <c r="N976" s="121"/>
      <c r="O976" s="120">
        <f ca="1">IFERROR(__xludf.DUMMYFUNCTION("""COMPUTED_VALUE"""),91.2)</f>
        <v>91.2</v>
      </c>
      <c r="P976" s="122"/>
      <c r="Q976" s="123"/>
      <c r="R976" s="123"/>
      <c r="S976" s="123" t="str">
        <f ca="1">IFERROR(__xludf.DUMMYFUNCTION("""COMPUTED_VALUE"""),"Nati Dick")</f>
        <v>Nati Dick</v>
      </c>
      <c r="T976" s="123"/>
    </row>
    <row r="977" spans="1:20" ht="13.8">
      <c r="A977" s="118" t="str">
        <f ca="1">IFERROR(__xludf.DUMMYFUNCTION("""COMPUTED_VALUE"""),"KG")</f>
        <v>KG</v>
      </c>
      <c r="B977" s="119" t="str">
        <f ca="1">IFERROR(__xludf.DUMMYFUNCTION("""COMPUTED_VALUE"""),"Abby Donnelly")</f>
        <v>Abby Donnelly</v>
      </c>
      <c r="C977" s="118">
        <f ca="1">IFERROR(__xludf.DUMMYFUNCTION("""COMPUTED_VALUE"""),10)</f>
        <v>10</v>
      </c>
      <c r="D977" s="118" t="str">
        <f ca="1">IFERROR(__xludf.DUMMYFUNCTION("""COMPUTED_VALUE"""),"G")</f>
        <v>G</v>
      </c>
      <c r="E977" s="118" t="str">
        <f ca="1">IFERROR(__xludf.DUMMYFUNCTION("""COMPUTED_VALUE"""),"F")</f>
        <v>F</v>
      </c>
      <c r="F977" s="118" t="str">
        <f ca="1">IFERROR(__xludf.DUMMYFUNCTION("""COMPUTED_VALUE"""),"J")</f>
        <v>J</v>
      </c>
      <c r="G977" s="118">
        <f ca="1">IFERROR(__xludf.DUMMYFUNCTION("""COMPUTED_VALUE"""),2)</f>
        <v>2</v>
      </c>
      <c r="H977" s="118" t="str">
        <f ca="1">IFERROR(__xludf.DUMMYFUNCTION("""COMPUTED_VALUE"""),"KG")</f>
        <v>KG</v>
      </c>
      <c r="I977" s="118">
        <f ca="1">IFERROR(__xludf.DUMMYFUNCTION("""COMPUTED_VALUE"""),4)</f>
        <v>4</v>
      </c>
      <c r="J977" s="118">
        <f ca="1">IFERROR(__xludf.DUMMYFUNCTION("""COMPUTED_VALUE"""),2)</f>
        <v>2</v>
      </c>
      <c r="K977" s="120">
        <f ca="1">IFERROR(__xludf.DUMMYFUNCTION("""COMPUTED_VALUE"""),34.3)</f>
        <v>34.299999999999997</v>
      </c>
      <c r="L977" s="121"/>
      <c r="M977" s="120">
        <f ca="1">IFERROR(__xludf.DUMMYFUNCTION("""COMPUTED_VALUE"""),34.3)</f>
        <v>34.299999999999997</v>
      </c>
      <c r="N977" s="121"/>
      <c r="O977" s="120">
        <f ca="1">IFERROR(__xludf.DUMMYFUNCTION("""COMPUTED_VALUE"""),28.8)</f>
        <v>28.8</v>
      </c>
      <c r="P977" s="122"/>
      <c r="Q977" s="123"/>
      <c r="R977" s="123"/>
      <c r="S977" s="123" t="str">
        <f ca="1">IFERROR(__xludf.DUMMYFUNCTION("""COMPUTED_VALUE"""),"Navya Williams")</f>
        <v>Navya Williams</v>
      </c>
      <c r="T977" s="123"/>
    </row>
    <row r="978" spans="1:20" ht="13.8">
      <c r="A978" s="118" t="str">
        <f ca="1">IFERROR(__xludf.DUMMYFUNCTION("""COMPUTED_VALUE"""),"KG")</f>
        <v>KG</v>
      </c>
      <c r="B978" s="119" t="str">
        <f ca="1">IFERROR(__xludf.DUMMYFUNCTION("""COMPUTED_VALUE"""),"Eva Buonforte")</f>
        <v>Eva Buonforte</v>
      </c>
      <c r="C978" s="118">
        <f ca="1">IFERROR(__xludf.DUMMYFUNCTION("""COMPUTED_VALUE"""),6)</f>
        <v>6</v>
      </c>
      <c r="D978" s="118" t="str">
        <f ca="1">IFERROR(__xludf.DUMMYFUNCTION("""COMPUTED_VALUE"""),"G")</f>
        <v>G</v>
      </c>
      <c r="E978" s="118" t="str">
        <f ca="1">IFERROR(__xludf.DUMMYFUNCTION("""COMPUTED_VALUE"""),"F")</f>
        <v>F</v>
      </c>
      <c r="F978" s="118" t="str">
        <f ca="1">IFERROR(__xludf.DUMMYFUNCTION("""COMPUTED_VALUE"""),"J")</f>
        <v>J</v>
      </c>
      <c r="G978" s="118">
        <f ca="1">IFERROR(__xludf.DUMMYFUNCTION("""COMPUTED_VALUE"""),2)</f>
        <v>2</v>
      </c>
      <c r="H978" s="118" t="str">
        <f ca="1">IFERROR(__xludf.DUMMYFUNCTION("""COMPUTED_VALUE"""),"KG")</f>
        <v>KG</v>
      </c>
      <c r="I978" s="118">
        <f ca="1">IFERROR(__xludf.DUMMYFUNCTION("""COMPUTED_VALUE"""),4)</f>
        <v>4</v>
      </c>
      <c r="J978" s="118">
        <f ca="1">IFERROR(__xludf.DUMMYFUNCTION("""COMPUTED_VALUE"""),0)</f>
        <v>0</v>
      </c>
      <c r="K978" s="120"/>
      <c r="L978" s="121"/>
      <c r="M978" s="120"/>
      <c r="N978" s="121"/>
      <c r="O978" s="120"/>
      <c r="P978" s="122"/>
      <c r="Q978" s="123"/>
      <c r="R978" s="123"/>
      <c r="S978" s="123" t="str">
        <f ca="1">IFERROR(__xludf.DUMMYFUNCTION("""COMPUTED_VALUE"""),"Nela Mullen")</f>
        <v>Nela Mullen</v>
      </c>
      <c r="T978" s="123"/>
    </row>
    <row r="979" spans="1:20" ht="13.8">
      <c r="A979" s="118" t="str">
        <f ca="1">IFERROR(__xludf.DUMMYFUNCTION("""COMPUTED_VALUE"""),"KG")</f>
        <v>KG</v>
      </c>
      <c r="B979" s="119" t="str">
        <f ca="1">IFERROR(__xludf.DUMMYFUNCTION("""COMPUTED_VALUE"""),"Evie Jeschke")</f>
        <v>Evie Jeschke</v>
      </c>
      <c r="C979" s="118">
        <f ca="1">IFERROR(__xludf.DUMMYFUNCTION("""COMPUTED_VALUE"""),10)</f>
        <v>10</v>
      </c>
      <c r="D979" s="118" t="str">
        <f ca="1">IFERROR(__xludf.DUMMYFUNCTION("""COMPUTED_VALUE"""),"G")</f>
        <v>G</v>
      </c>
      <c r="E979" s="118" t="str">
        <f ca="1">IFERROR(__xludf.DUMMYFUNCTION("""COMPUTED_VALUE"""),"F")</f>
        <v>F</v>
      </c>
      <c r="F979" s="118" t="str">
        <f ca="1">IFERROR(__xludf.DUMMYFUNCTION("""COMPUTED_VALUE"""),"J")</f>
        <v>J</v>
      </c>
      <c r="G979" s="118">
        <f ca="1">IFERROR(__xludf.DUMMYFUNCTION("""COMPUTED_VALUE"""),2)</f>
        <v>2</v>
      </c>
      <c r="H979" s="118" t="str">
        <f ca="1">IFERROR(__xludf.DUMMYFUNCTION("""COMPUTED_VALUE"""),"KG")</f>
        <v>KG</v>
      </c>
      <c r="I979" s="118">
        <f ca="1">IFERROR(__xludf.DUMMYFUNCTION("""COMPUTED_VALUE"""),4)</f>
        <v>4</v>
      </c>
      <c r="J979" s="118">
        <f ca="1">IFERROR(__xludf.DUMMYFUNCTION("""COMPUTED_VALUE"""),3)</f>
        <v>3</v>
      </c>
      <c r="K979" s="120">
        <f ca="1">IFERROR(__xludf.DUMMYFUNCTION("""COMPUTED_VALUE"""),50.35)</f>
        <v>50.35</v>
      </c>
      <c r="L979" s="121"/>
      <c r="M979" s="120">
        <f ca="1">IFERROR(__xludf.DUMMYFUNCTION("""COMPUTED_VALUE"""),48.3)</f>
        <v>48.3</v>
      </c>
      <c r="N979" s="121"/>
      <c r="O979" s="120">
        <f ca="1">IFERROR(__xludf.DUMMYFUNCTION("""COMPUTED_VALUE"""),48.45)</f>
        <v>48.45</v>
      </c>
      <c r="P979" s="122"/>
      <c r="Q979" s="123"/>
      <c r="R979" s="123"/>
      <c r="S979" s="123" t="str">
        <f ca="1">IFERROR(__xludf.DUMMYFUNCTION("""COMPUTED_VALUE"""),"Nelly Vainsencher")</f>
        <v>Nelly Vainsencher</v>
      </c>
      <c r="T979" s="123"/>
    </row>
    <row r="980" spans="1:20" ht="13.8">
      <c r="A980" s="118" t="str">
        <f ca="1">IFERROR(__xludf.DUMMYFUNCTION("""COMPUTED_VALUE"""),"KG")</f>
        <v>KG</v>
      </c>
      <c r="B980" s="119" t="str">
        <f ca="1">IFERROR(__xludf.DUMMYFUNCTION("""COMPUTED_VALUE"""),"Holly Denniston")</f>
        <v>Holly Denniston</v>
      </c>
      <c r="C980" s="118">
        <f ca="1">IFERROR(__xludf.DUMMYFUNCTION("""COMPUTED_VALUE"""),9)</f>
        <v>9</v>
      </c>
      <c r="D980" s="118" t="str">
        <f ca="1">IFERROR(__xludf.DUMMYFUNCTION("""COMPUTED_VALUE"""),"G")</f>
        <v>G</v>
      </c>
      <c r="E980" s="118" t="str">
        <f ca="1">IFERROR(__xludf.DUMMYFUNCTION("""COMPUTED_VALUE"""),"F")</f>
        <v>F</v>
      </c>
      <c r="F980" s="118" t="str">
        <f ca="1">IFERROR(__xludf.DUMMYFUNCTION("""COMPUTED_VALUE"""),"J")</f>
        <v>J</v>
      </c>
      <c r="G980" s="118">
        <f ca="1">IFERROR(__xludf.DUMMYFUNCTION("""COMPUTED_VALUE"""),2)</f>
        <v>2</v>
      </c>
      <c r="H980" s="118" t="str">
        <f ca="1">IFERROR(__xludf.DUMMYFUNCTION("""COMPUTED_VALUE"""),"KG")</f>
        <v>KG</v>
      </c>
      <c r="I980" s="118">
        <f ca="1">IFERROR(__xludf.DUMMYFUNCTION("""COMPUTED_VALUE"""),4)</f>
        <v>4</v>
      </c>
      <c r="J980" s="118">
        <f ca="1">IFERROR(__xludf.DUMMYFUNCTION("""COMPUTED_VALUE"""),5)</f>
        <v>5</v>
      </c>
      <c r="K980" s="120">
        <f ca="1">IFERROR(__xludf.DUMMYFUNCTION("""COMPUTED_VALUE"""),79.1)</f>
        <v>79.099999999999994</v>
      </c>
      <c r="L980" s="121"/>
      <c r="M980" s="120">
        <f ca="1">IFERROR(__xludf.DUMMYFUNCTION("""COMPUTED_VALUE"""),79.1)</f>
        <v>79.099999999999994</v>
      </c>
      <c r="N980" s="121"/>
      <c r="O980" s="120">
        <f ca="1">IFERROR(__xludf.DUMMYFUNCTION("""COMPUTED_VALUE"""),68.5)</f>
        <v>68.5</v>
      </c>
      <c r="P980" s="122"/>
      <c r="Q980" s="123"/>
      <c r="R980" s="123"/>
      <c r="S980" s="123" t="str">
        <f ca="1">IFERROR(__xludf.DUMMYFUNCTION("""COMPUTED_VALUE"""),"Nhi Nguyen")</f>
        <v>Nhi Nguyen</v>
      </c>
      <c r="T980" s="123"/>
    </row>
    <row r="981" spans="1:20" ht="13.8">
      <c r="A981" s="118" t="str">
        <f ca="1">IFERROR(__xludf.DUMMYFUNCTION("""COMPUTED_VALUE"""),"KG")</f>
        <v>KG</v>
      </c>
      <c r="B981" s="119" t="str">
        <f ca="1">IFERROR(__xludf.DUMMYFUNCTION("""COMPUTED_VALUE"""),"Josephine Daher")</f>
        <v>Josephine Daher</v>
      </c>
      <c r="C981" s="118">
        <f ca="1">IFERROR(__xludf.DUMMYFUNCTION("""COMPUTED_VALUE"""),8)</f>
        <v>8</v>
      </c>
      <c r="D981" s="118" t="str">
        <f ca="1">IFERROR(__xludf.DUMMYFUNCTION("""COMPUTED_VALUE"""),"G")</f>
        <v>G</v>
      </c>
      <c r="E981" s="118" t="str">
        <f ca="1">IFERROR(__xludf.DUMMYFUNCTION("""COMPUTED_VALUE"""),"F")</f>
        <v>F</v>
      </c>
      <c r="F981" s="118" t="str">
        <f ca="1">IFERROR(__xludf.DUMMYFUNCTION("""COMPUTED_VALUE"""),"J")</f>
        <v>J</v>
      </c>
      <c r="G981" s="118">
        <f ca="1">IFERROR(__xludf.DUMMYFUNCTION("""COMPUTED_VALUE"""),2)</f>
        <v>2</v>
      </c>
      <c r="H981" s="118" t="str">
        <f ca="1">IFERROR(__xludf.DUMMYFUNCTION("""COMPUTED_VALUE"""),"KG")</f>
        <v>KG</v>
      </c>
      <c r="I981" s="118">
        <f ca="1">IFERROR(__xludf.DUMMYFUNCTION("""COMPUTED_VALUE"""),4)</f>
        <v>4</v>
      </c>
      <c r="J981" s="118">
        <f ca="1">IFERROR(__xludf.DUMMYFUNCTION("""COMPUTED_VALUE"""),2)</f>
        <v>2</v>
      </c>
      <c r="K981" s="120">
        <f ca="1">IFERROR(__xludf.DUMMYFUNCTION("""COMPUTED_VALUE"""),32.25)</f>
        <v>32.25</v>
      </c>
      <c r="L981" s="121"/>
      <c r="M981" s="120">
        <f ca="1">IFERROR(__xludf.DUMMYFUNCTION("""COMPUTED_VALUE"""),32.25)</f>
        <v>32.25</v>
      </c>
      <c r="N981" s="121"/>
      <c r="O981" s="120"/>
      <c r="P981" s="122"/>
      <c r="Q981" s="123"/>
      <c r="R981" s="123"/>
      <c r="S981" s="123" t="str">
        <f ca="1">IFERROR(__xludf.DUMMYFUNCTION("""COMPUTED_VALUE"""),"Nico Rios")</f>
        <v>Nico Rios</v>
      </c>
      <c r="T981" s="123"/>
    </row>
    <row r="982" spans="1:20" ht="13.8">
      <c r="A982" s="118" t="str">
        <f ca="1">IFERROR(__xludf.DUMMYFUNCTION("""COMPUTED_VALUE"""),"KG")</f>
        <v>KG</v>
      </c>
      <c r="B982" s="119" t="str">
        <f ca="1">IFERROR(__xludf.DUMMYFUNCTION("""COMPUTED_VALUE"""),"Kollins Badlam")</f>
        <v>Kollins Badlam</v>
      </c>
      <c r="C982" s="118">
        <f ca="1">IFERROR(__xludf.DUMMYFUNCTION("""COMPUTED_VALUE"""),7)</f>
        <v>7</v>
      </c>
      <c r="D982" s="118" t="str">
        <f ca="1">IFERROR(__xludf.DUMMYFUNCTION("""COMPUTED_VALUE"""),"G")</f>
        <v>G</v>
      </c>
      <c r="E982" s="118" t="str">
        <f ca="1">IFERROR(__xludf.DUMMYFUNCTION("""COMPUTED_VALUE"""),"F")</f>
        <v>F</v>
      </c>
      <c r="F982" s="118" t="str">
        <f ca="1">IFERROR(__xludf.DUMMYFUNCTION("""COMPUTED_VALUE"""),"J")</f>
        <v>J</v>
      </c>
      <c r="G982" s="118">
        <f ca="1">IFERROR(__xludf.DUMMYFUNCTION("""COMPUTED_VALUE"""),2)</f>
        <v>2</v>
      </c>
      <c r="H982" s="118" t="str">
        <f ca="1">IFERROR(__xludf.DUMMYFUNCTION("""COMPUTED_VALUE"""),"KG")</f>
        <v>KG</v>
      </c>
      <c r="I982" s="118">
        <f ca="1">IFERROR(__xludf.DUMMYFUNCTION("""COMPUTED_VALUE"""),4)</f>
        <v>4</v>
      </c>
      <c r="J982" s="118">
        <f ca="1">IFERROR(__xludf.DUMMYFUNCTION("""COMPUTED_VALUE"""),0)</f>
        <v>0</v>
      </c>
      <c r="K982" s="120"/>
      <c r="L982" s="121"/>
      <c r="M982" s="120"/>
      <c r="N982" s="121"/>
      <c r="O982" s="120"/>
      <c r="P982" s="122"/>
      <c r="Q982" s="123"/>
      <c r="R982" s="123"/>
      <c r="S982" s="123" t="str">
        <f ca="1">IFERROR(__xludf.DUMMYFUNCTION("""COMPUTED_VALUE"""),"Nikitha Rajesh")</f>
        <v>Nikitha Rajesh</v>
      </c>
      <c r="T982" s="123"/>
    </row>
    <row r="983" spans="1:20" ht="13.8">
      <c r="A983" s="118" t="str">
        <f ca="1">IFERROR(__xludf.DUMMYFUNCTION("""COMPUTED_VALUE"""),"KG")</f>
        <v>KG</v>
      </c>
      <c r="B983" s="119" t="str">
        <f ca="1">IFERROR(__xludf.DUMMYFUNCTION("""COMPUTED_VALUE"""),"Lilia Buonforte")</f>
        <v>Lilia Buonforte</v>
      </c>
      <c r="C983" s="118">
        <f ca="1">IFERROR(__xludf.DUMMYFUNCTION("""COMPUTED_VALUE"""),8)</f>
        <v>8</v>
      </c>
      <c r="D983" s="118" t="str">
        <f ca="1">IFERROR(__xludf.DUMMYFUNCTION("""COMPUTED_VALUE"""),"G")</f>
        <v>G</v>
      </c>
      <c r="E983" s="118" t="str">
        <f ca="1">IFERROR(__xludf.DUMMYFUNCTION("""COMPUTED_VALUE"""),"F")</f>
        <v>F</v>
      </c>
      <c r="F983" s="118" t="str">
        <f ca="1">IFERROR(__xludf.DUMMYFUNCTION("""COMPUTED_VALUE"""),"J")</f>
        <v>J</v>
      </c>
      <c r="G983" s="118">
        <f ca="1">IFERROR(__xludf.DUMMYFUNCTION("""COMPUTED_VALUE"""),2)</f>
        <v>2</v>
      </c>
      <c r="H983" s="118" t="str">
        <f ca="1">IFERROR(__xludf.DUMMYFUNCTION("""COMPUTED_VALUE"""),"KG")</f>
        <v>KG</v>
      </c>
      <c r="I983" s="118">
        <f ca="1">IFERROR(__xludf.DUMMYFUNCTION("""COMPUTED_VALUE"""),4)</f>
        <v>4</v>
      </c>
      <c r="J983" s="118">
        <f ca="1">IFERROR(__xludf.DUMMYFUNCTION("""COMPUTED_VALUE"""),4)</f>
        <v>4</v>
      </c>
      <c r="K983" s="120">
        <f ca="1">IFERROR(__xludf.DUMMYFUNCTION("""COMPUTED_VALUE"""),50.9)</f>
        <v>50.9</v>
      </c>
      <c r="L983" s="121"/>
      <c r="M983" s="120">
        <f ca="1">IFERROR(__xludf.DUMMYFUNCTION("""COMPUTED_VALUE"""),48.95)</f>
        <v>48.95</v>
      </c>
      <c r="N983" s="121"/>
      <c r="O983" s="120"/>
      <c r="P983" s="122"/>
      <c r="Q983" s="123"/>
      <c r="R983" s="123"/>
      <c r="S983" s="123" t="str">
        <f ca="1">IFERROR(__xludf.DUMMYFUNCTION("""COMPUTED_VALUE"""),"Nilah Rotteveel")</f>
        <v>Nilah Rotteveel</v>
      </c>
      <c r="T983" s="123"/>
    </row>
    <row r="984" spans="1:20" ht="13.8">
      <c r="A984" s="118" t="str">
        <f ca="1">IFERROR(__xludf.DUMMYFUNCTION("""COMPUTED_VALUE"""),"KG")</f>
        <v>KG</v>
      </c>
      <c r="B984" s="119" t="str">
        <f ca="1">IFERROR(__xludf.DUMMYFUNCTION("""COMPUTED_VALUE"""),"Lina Kamenov")</f>
        <v>Lina Kamenov</v>
      </c>
      <c r="C984" s="118">
        <f ca="1">IFERROR(__xludf.DUMMYFUNCTION("""COMPUTED_VALUE"""),8)</f>
        <v>8</v>
      </c>
      <c r="D984" s="118" t="str">
        <f ca="1">IFERROR(__xludf.DUMMYFUNCTION("""COMPUTED_VALUE"""),"G")</f>
        <v>G</v>
      </c>
      <c r="E984" s="118" t="str">
        <f ca="1">IFERROR(__xludf.DUMMYFUNCTION("""COMPUTED_VALUE"""),"F")</f>
        <v>F</v>
      </c>
      <c r="F984" s="118" t="str">
        <f ca="1">IFERROR(__xludf.DUMMYFUNCTION("""COMPUTED_VALUE"""),"J")</f>
        <v>J</v>
      </c>
      <c r="G984" s="118">
        <f ca="1">IFERROR(__xludf.DUMMYFUNCTION("""COMPUTED_VALUE"""),2)</f>
        <v>2</v>
      </c>
      <c r="H984" s="118" t="str">
        <f ca="1">IFERROR(__xludf.DUMMYFUNCTION("""COMPUTED_VALUE"""),"KG")</f>
        <v>KG</v>
      </c>
      <c r="I984" s="118">
        <f ca="1">IFERROR(__xludf.DUMMYFUNCTION("""COMPUTED_VALUE"""),4)</f>
        <v>4</v>
      </c>
      <c r="J984" s="118">
        <f ca="1">IFERROR(__xludf.DUMMYFUNCTION("""COMPUTED_VALUE"""),1)</f>
        <v>1</v>
      </c>
      <c r="K984" s="120">
        <f ca="1">IFERROR(__xludf.DUMMYFUNCTION("""COMPUTED_VALUE"""),38.8)</f>
        <v>38.799999999999997</v>
      </c>
      <c r="L984" s="121"/>
      <c r="M984" s="120">
        <f ca="1">IFERROR(__xludf.DUMMYFUNCTION("""COMPUTED_VALUE"""),38.8)</f>
        <v>38.799999999999997</v>
      </c>
      <c r="N984" s="121"/>
      <c r="O984" s="120"/>
      <c r="P984" s="122"/>
      <c r="Q984" s="123"/>
      <c r="R984" s="123"/>
      <c r="S984" s="123" t="str">
        <f ca="1">IFERROR(__xludf.DUMMYFUNCTION("""COMPUTED_VALUE"""),"Nina Jaeckel")</f>
        <v>Nina Jaeckel</v>
      </c>
      <c r="T984" s="123"/>
    </row>
    <row r="985" spans="1:20" ht="13.8">
      <c r="A985" s="118" t="str">
        <f ca="1">IFERROR(__xludf.DUMMYFUNCTION("""COMPUTED_VALUE"""),"KG")</f>
        <v>KG</v>
      </c>
      <c r="B985" s="119" t="str">
        <f ca="1">IFERROR(__xludf.DUMMYFUNCTION("""COMPUTED_VALUE"""),"Maggie Gulotta")</f>
        <v>Maggie Gulotta</v>
      </c>
      <c r="C985" s="118">
        <f ca="1">IFERROR(__xludf.DUMMYFUNCTION("""COMPUTED_VALUE"""),8)</f>
        <v>8</v>
      </c>
      <c r="D985" s="118" t="str">
        <f ca="1">IFERROR(__xludf.DUMMYFUNCTION("""COMPUTED_VALUE"""),"G")</f>
        <v>G</v>
      </c>
      <c r="E985" s="118" t="str">
        <f ca="1">IFERROR(__xludf.DUMMYFUNCTION("""COMPUTED_VALUE"""),"F")</f>
        <v>F</v>
      </c>
      <c r="F985" s="118" t="str">
        <f ca="1">IFERROR(__xludf.DUMMYFUNCTION("""COMPUTED_VALUE"""),"J")</f>
        <v>J</v>
      </c>
      <c r="G985" s="118">
        <f ca="1">IFERROR(__xludf.DUMMYFUNCTION("""COMPUTED_VALUE"""),2)</f>
        <v>2</v>
      </c>
      <c r="H985" s="118" t="str">
        <f ca="1">IFERROR(__xludf.DUMMYFUNCTION("""COMPUTED_VALUE"""),"KG")</f>
        <v>KG</v>
      </c>
      <c r="I985" s="118">
        <f ca="1">IFERROR(__xludf.DUMMYFUNCTION("""COMPUTED_VALUE"""),4)</f>
        <v>4</v>
      </c>
      <c r="J985" s="118">
        <f ca="1">IFERROR(__xludf.DUMMYFUNCTION("""COMPUTED_VALUE"""),1)</f>
        <v>1</v>
      </c>
      <c r="K985" s="120"/>
      <c r="L985" s="121"/>
      <c r="M985" s="120"/>
      <c r="N985" s="121"/>
      <c r="O985" s="120"/>
      <c r="P985" s="122"/>
      <c r="Q985" s="123"/>
      <c r="R985" s="123"/>
      <c r="S985" s="123" t="str">
        <f ca="1">IFERROR(__xludf.DUMMYFUNCTION("""COMPUTED_VALUE"""),"Nithy Pelekasis")</f>
        <v>Nithy Pelekasis</v>
      </c>
      <c r="T985" s="123"/>
    </row>
    <row r="986" spans="1:20" ht="13.8">
      <c r="A986" s="118" t="str">
        <f ca="1">IFERROR(__xludf.DUMMYFUNCTION("""COMPUTED_VALUE"""),"KG")</f>
        <v>KG</v>
      </c>
      <c r="B986" s="119" t="str">
        <f ca="1">IFERROR(__xludf.DUMMYFUNCTION("""COMPUTED_VALUE"""),"Martha Bryan")</f>
        <v>Martha Bryan</v>
      </c>
      <c r="C986" s="118">
        <f ca="1">IFERROR(__xludf.DUMMYFUNCTION("""COMPUTED_VALUE"""),10)</f>
        <v>10</v>
      </c>
      <c r="D986" s="118" t="str">
        <f ca="1">IFERROR(__xludf.DUMMYFUNCTION("""COMPUTED_VALUE"""),"G")</f>
        <v>G</v>
      </c>
      <c r="E986" s="118" t="str">
        <f ca="1">IFERROR(__xludf.DUMMYFUNCTION("""COMPUTED_VALUE"""),"F")</f>
        <v>F</v>
      </c>
      <c r="F986" s="118" t="str">
        <f ca="1">IFERROR(__xludf.DUMMYFUNCTION("""COMPUTED_VALUE"""),"J")</f>
        <v>J</v>
      </c>
      <c r="G986" s="118">
        <f ca="1">IFERROR(__xludf.DUMMYFUNCTION("""COMPUTED_VALUE"""),2)</f>
        <v>2</v>
      </c>
      <c r="H986" s="118" t="str">
        <f ca="1">IFERROR(__xludf.DUMMYFUNCTION("""COMPUTED_VALUE"""),"KG")</f>
        <v>KG</v>
      </c>
      <c r="I986" s="118">
        <f ca="1">IFERROR(__xludf.DUMMYFUNCTION("""COMPUTED_VALUE"""),4)</f>
        <v>4</v>
      </c>
      <c r="J986" s="118">
        <f ca="1">IFERROR(__xludf.DUMMYFUNCTION("""COMPUTED_VALUE"""),3)</f>
        <v>3</v>
      </c>
      <c r="K986" s="120">
        <f ca="1">IFERROR(__xludf.DUMMYFUNCTION("""COMPUTED_VALUE"""),52.15)</f>
        <v>52.15</v>
      </c>
      <c r="L986" s="121"/>
      <c r="M986" s="120"/>
      <c r="N986" s="121"/>
      <c r="O986" s="120"/>
      <c r="P986" s="122"/>
      <c r="Q986" s="123"/>
      <c r="R986" s="123"/>
      <c r="S986" s="123" t="str">
        <f ca="1">IFERROR(__xludf.DUMMYFUNCTION("""COMPUTED_VALUE"""),"Noelle Telleen")</f>
        <v>Noelle Telleen</v>
      </c>
      <c r="T986" s="123"/>
    </row>
    <row r="987" spans="1:20" ht="13.8">
      <c r="A987" s="118" t="str">
        <f ca="1">IFERROR(__xludf.DUMMYFUNCTION("""COMPUTED_VALUE"""),"KG")</f>
        <v>KG</v>
      </c>
      <c r="B987" s="119" t="str">
        <f ca="1">IFERROR(__xludf.DUMMYFUNCTION("""COMPUTED_VALUE"""),"Mei Leung")</f>
        <v>Mei Leung</v>
      </c>
      <c r="C987" s="118">
        <f ca="1">IFERROR(__xludf.DUMMYFUNCTION("""COMPUTED_VALUE"""),8)</f>
        <v>8</v>
      </c>
      <c r="D987" s="118" t="str">
        <f ca="1">IFERROR(__xludf.DUMMYFUNCTION("""COMPUTED_VALUE"""),"G")</f>
        <v>G</v>
      </c>
      <c r="E987" s="118" t="str">
        <f ca="1">IFERROR(__xludf.DUMMYFUNCTION("""COMPUTED_VALUE"""),"F")</f>
        <v>F</v>
      </c>
      <c r="F987" s="118" t="str">
        <f ca="1">IFERROR(__xludf.DUMMYFUNCTION("""COMPUTED_VALUE"""),"J")</f>
        <v>J</v>
      </c>
      <c r="G987" s="118">
        <f ca="1">IFERROR(__xludf.DUMMYFUNCTION("""COMPUTED_VALUE"""),2)</f>
        <v>2</v>
      </c>
      <c r="H987" s="118" t="str">
        <f ca="1">IFERROR(__xludf.DUMMYFUNCTION("""COMPUTED_VALUE"""),"KG")</f>
        <v>KG</v>
      </c>
      <c r="I987" s="118">
        <f ca="1">IFERROR(__xludf.DUMMYFUNCTION("""COMPUTED_VALUE"""),4)</f>
        <v>4</v>
      </c>
      <c r="J987" s="118">
        <f ca="1">IFERROR(__xludf.DUMMYFUNCTION("""COMPUTED_VALUE"""),0)</f>
        <v>0</v>
      </c>
      <c r="K987" s="120"/>
      <c r="L987" s="121"/>
      <c r="M987" s="120"/>
      <c r="N987" s="121"/>
      <c r="O987" s="120"/>
      <c r="P987" s="122"/>
      <c r="Q987" s="123"/>
      <c r="R987" s="123"/>
      <c r="S987" s="123" t="str">
        <f ca="1">IFERROR(__xludf.DUMMYFUNCTION("""COMPUTED_VALUE"""),"Nola Mammo")</f>
        <v>Nola Mammo</v>
      </c>
      <c r="T987" s="123"/>
    </row>
    <row r="988" spans="1:20" ht="13.8">
      <c r="A988" s="118" t="str">
        <f ca="1">IFERROR(__xludf.DUMMYFUNCTION("""COMPUTED_VALUE"""),"KG")</f>
        <v>KG</v>
      </c>
      <c r="B988" s="119" t="str">
        <f ca="1">IFERROR(__xludf.DUMMYFUNCTION("""COMPUTED_VALUE"""),"Norah Wittman")</f>
        <v>Norah Wittman</v>
      </c>
      <c r="C988" s="118">
        <f ca="1">IFERROR(__xludf.DUMMYFUNCTION("""COMPUTED_VALUE"""),10)</f>
        <v>10</v>
      </c>
      <c r="D988" s="118" t="str">
        <f ca="1">IFERROR(__xludf.DUMMYFUNCTION("""COMPUTED_VALUE"""),"G")</f>
        <v>G</v>
      </c>
      <c r="E988" s="118" t="str">
        <f ca="1">IFERROR(__xludf.DUMMYFUNCTION("""COMPUTED_VALUE"""),"F")</f>
        <v>F</v>
      </c>
      <c r="F988" s="118" t="str">
        <f ca="1">IFERROR(__xludf.DUMMYFUNCTION("""COMPUTED_VALUE"""),"J")</f>
        <v>J</v>
      </c>
      <c r="G988" s="118">
        <f ca="1">IFERROR(__xludf.DUMMYFUNCTION("""COMPUTED_VALUE"""),2)</f>
        <v>2</v>
      </c>
      <c r="H988" s="118" t="str">
        <f ca="1">IFERROR(__xludf.DUMMYFUNCTION("""COMPUTED_VALUE"""),"KG")</f>
        <v>KG</v>
      </c>
      <c r="I988" s="118">
        <f ca="1">IFERROR(__xludf.DUMMYFUNCTION("""COMPUTED_VALUE"""),4)</f>
        <v>4</v>
      </c>
      <c r="J988" s="118">
        <f ca="1">IFERROR(__xludf.DUMMYFUNCTION("""COMPUTED_VALUE"""),5)</f>
        <v>5</v>
      </c>
      <c r="K988" s="120">
        <f ca="1">IFERROR(__xludf.DUMMYFUNCTION("""COMPUTED_VALUE"""),69.6)</f>
        <v>69.599999999999994</v>
      </c>
      <c r="L988" s="121"/>
      <c r="M988" s="120">
        <f ca="1">IFERROR(__xludf.DUMMYFUNCTION("""COMPUTED_VALUE"""),65)</f>
        <v>65</v>
      </c>
      <c r="N988" s="121"/>
      <c r="O988" s="120">
        <f ca="1">IFERROR(__xludf.DUMMYFUNCTION("""COMPUTED_VALUE"""),68.6)</f>
        <v>68.599999999999994</v>
      </c>
      <c r="P988" s="122"/>
      <c r="Q988" s="123"/>
      <c r="R988" s="123"/>
      <c r="S988" s="123" t="str">
        <f ca="1">IFERROR(__xludf.DUMMYFUNCTION("""COMPUTED_VALUE"""),"Nora Bogacki")</f>
        <v>Nora Bogacki</v>
      </c>
      <c r="T988" s="123"/>
    </row>
    <row r="989" spans="1:20" ht="13.8">
      <c r="A989" s="118" t="str">
        <f ca="1">IFERROR(__xludf.DUMMYFUNCTION("""COMPUTED_VALUE"""),"KG")</f>
        <v>KG</v>
      </c>
      <c r="B989" s="119" t="str">
        <f ca="1">IFERROR(__xludf.DUMMYFUNCTION("""COMPUTED_VALUE"""),"Sabina Khan")</f>
        <v>Sabina Khan</v>
      </c>
      <c r="C989" s="118">
        <f ca="1">IFERROR(__xludf.DUMMYFUNCTION("""COMPUTED_VALUE"""),9)</f>
        <v>9</v>
      </c>
      <c r="D989" s="118" t="str">
        <f ca="1">IFERROR(__xludf.DUMMYFUNCTION("""COMPUTED_VALUE"""),"G")</f>
        <v>G</v>
      </c>
      <c r="E989" s="118" t="str">
        <f ca="1">IFERROR(__xludf.DUMMYFUNCTION("""COMPUTED_VALUE"""),"F")</f>
        <v>F</v>
      </c>
      <c r="F989" s="118" t="str">
        <f ca="1">IFERROR(__xludf.DUMMYFUNCTION("""COMPUTED_VALUE"""),"J")</f>
        <v>J</v>
      </c>
      <c r="G989" s="118">
        <f ca="1">IFERROR(__xludf.DUMMYFUNCTION("""COMPUTED_VALUE"""),2)</f>
        <v>2</v>
      </c>
      <c r="H989" s="118" t="str">
        <f ca="1">IFERROR(__xludf.DUMMYFUNCTION("""COMPUTED_VALUE"""),"KG")</f>
        <v>KG</v>
      </c>
      <c r="I989" s="118">
        <f ca="1">IFERROR(__xludf.DUMMYFUNCTION("""COMPUTED_VALUE"""),4)</f>
        <v>4</v>
      </c>
      <c r="J989" s="118">
        <f ca="1">IFERROR(__xludf.DUMMYFUNCTION("""COMPUTED_VALUE"""),0)</f>
        <v>0</v>
      </c>
      <c r="K989" s="120"/>
      <c r="L989" s="121"/>
      <c r="M989" s="120"/>
      <c r="N989" s="121"/>
      <c r="O989" s="120"/>
      <c r="P989" s="122"/>
      <c r="Q989" s="123"/>
      <c r="R989" s="123"/>
      <c r="S989" s="123" t="str">
        <f ca="1">IFERROR(__xludf.DUMMYFUNCTION("""COMPUTED_VALUE"""),"Nora Elder")</f>
        <v>Nora Elder</v>
      </c>
      <c r="T989" s="123"/>
    </row>
    <row r="990" spans="1:20" ht="13.8">
      <c r="A990" s="118" t="str">
        <f ca="1">IFERROR(__xludf.DUMMYFUNCTION("""COMPUTED_VALUE"""),"KG")</f>
        <v>KG</v>
      </c>
      <c r="B990" s="119" t="str">
        <f ca="1">IFERROR(__xludf.DUMMYFUNCTION("""COMPUTED_VALUE"""),"Samantha Donnelly")</f>
        <v>Samantha Donnelly</v>
      </c>
      <c r="C990" s="118">
        <f ca="1">IFERROR(__xludf.DUMMYFUNCTION("""COMPUTED_VALUE"""),7)</f>
        <v>7</v>
      </c>
      <c r="D990" s="118" t="str">
        <f ca="1">IFERROR(__xludf.DUMMYFUNCTION("""COMPUTED_VALUE"""),"G")</f>
        <v>G</v>
      </c>
      <c r="E990" s="118" t="str">
        <f ca="1">IFERROR(__xludf.DUMMYFUNCTION("""COMPUTED_VALUE"""),"F")</f>
        <v>F</v>
      </c>
      <c r="F990" s="118" t="str">
        <f ca="1">IFERROR(__xludf.DUMMYFUNCTION("""COMPUTED_VALUE"""),"J")</f>
        <v>J</v>
      </c>
      <c r="G990" s="118">
        <f ca="1">IFERROR(__xludf.DUMMYFUNCTION("""COMPUTED_VALUE"""),2)</f>
        <v>2</v>
      </c>
      <c r="H990" s="118" t="str">
        <f ca="1">IFERROR(__xludf.DUMMYFUNCTION("""COMPUTED_VALUE"""),"KG")</f>
        <v>KG</v>
      </c>
      <c r="I990" s="118">
        <f ca="1">IFERROR(__xludf.DUMMYFUNCTION("""COMPUTED_VALUE"""),4)</f>
        <v>4</v>
      </c>
      <c r="J990" s="118">
        <f ca="1">IFERROR(__xludf.DUMMYFUNCTION("""COMPUTED_VALUE"""),2)</f>
        <v>2</v>
      </c>
      <c r="K990" s="120">
        <f ca="1">IFERROR(__xludf.DUMMYFUNCTION("""COMPUTED_VALUE"""),50.4)</f>
        <v>50.4</v>
      </c>
      <c r="L990" s="121"/>
      <c r="M990" s="120">
        <f ca="1">IFERROR(__xludf.DUMMYFUNCTION("""COMPUTED_VALUE"""),50.4)</f>
        <v>50.4</v>
      </c>
      <c r="N990" s="121"/>
      <c r="O990" s="120">
        <f ca="1">IFERROR(__xludf.DUMMYFUNCTION("""COMPUTED_VALUE"""),44.45)</f>
        <v>44.45</v>
      </c>
      <c r="P990" s="122"/>
      <c r="Q990" s="123"/>
      <c r="R990" s="123"/>
      <c r="S990" s="123" t="str">
        <f ca="1">IFERROR(__xludf.DUMMYFUNCTION("""COMPUTED_VALUE"""),"Nora Hall")</f>
        <v>Nora Hall</v>
      </c>
      <c r="T990" s="123"/>
    </row>
    <row r="991" spans="1:20" ht="13.8">
      <c r="A991" s="118" t="str">
        <f ca="1">IFERROR(__xludf.DUMMYFUNCTION("""COMPUTED_VALUE"""),"KG")</f>
        <v>KG</v>
      </c>
      <c r="B991" s="119" t="str">
        <f ca="1">IFERROR(__xludf.DUMMYFUNCTION("""COMPUTED_VALUE"""),"Sutton Boyd")</f>
        <v>Sutton Boyd</v>
      </c>
      <c r="C991" s="118">
        <f ca="1">IFERROR(__xludf.DUMMYFUNCTION("""COMPUTED_VALUE"""),4)</f>
        <v>4</v>
      </c>
      <c r="D991" s="118" t="str">
        <f ca="1">IFERROR(__xludf.DUMMYFUNCTION("""COMPUTED_VALUE"""),"G")</f>
        <v>G</v>
      </c>
      <c r="E991" s="118" t="str">
        <f ca="1">IFERROR(__xludf.DUMMYFUNCTION("""COMPUTED_VALUE"""),"F")</f>
        <v>F</v>
      </c>
      <c r="F991" s="118" t="str">
        <f ca="1">IFERROR(__xludf.DUMMYFUNCTION("""COMPUTED_VALUE"""),"J")</f>
        <v>J</v>
      </c>
      <c r="G991" s="118">
        <f ca="1">IFERROR(__xludf.DUMMYFUNCTION("""COMPUTED_VALUE"""),2)</f>
        <v>2</v>
      </c>
      <c r="H991" s="118" t="str">
        <f ca="1">IFERROR(__xludf.DUMMYFUNCTION("""COMPUTED_VALUE"""),"KG")</f>
        <v>KG</v>
      </c>
      <c r="I991" s="118">
        <f ca="1">IFERROR(__xludf.DUMMYFUNCTION("""COMPUTED_VALUE"""),4)</f>
        <v>4</v>
      </c>
      <c r="J991" s="118">
        <f ca="1">IFERROR(__xludf.DUMMYFUNCTION("""COMPUTED_VALUE"""),0)</f>
        <v>0</v>
      </c>
      <c r="K991" s="120"/>
      <c r="L991" s="121"/>
      <c r="M991" s="120"/>
      <c r="N991" s="121"/>
      <c r="O991" s="120"/>
      <c r="P991" s="122"/>
      <c r="Q991" s="123"/>
      <c r="R991" s="123"/>
      <c r="S991" s="123" t="str">
        <f ca="1">IFERROR(__xludf.DUMMYFUNCTION("""COMPUTED_VALUE"""),"Nora Hopkins")</f>
        <v>Nora Hopkins</v>
      </c>
      <c r="T991" s="123"/>
    </row>
    <row r="992" spans="1:20" ht="13.8">
      <c r="A992" s="118" t="str">
        <f ca="1">IFERROR(__xludf.DUMMYFUNCTION("""COMPUTED_VALUE"""),"KG")</f>
        <v>KG</v>
      </c>
      <c r="B992" s="119" t="str">
        <f ca="1">IFERROR(__xludf.DUMMYFUNCTION("""COMPUTED_VALUE"""),"Alejandro Pereira")</f>
        <v>Alejandro Pereira</v>
      </c>
      <c r="C992" s="118">
        <f ca="1">IFERROR(__xludf.DUMMYFUNCTION("""COMPUTED_VALUE"""),10)</f>
        <v>10</v>
      </c>
      <c r="D992" s="118" t="str">
        <f ca="1">IFERROR(__xludf.DUMMYFUNCTION("""COMPUTED_VALUE"""),"B")</f>
        <v>B</v>
      </c>
      <c r="E992" s="118" t="str">
        <f ca="1">IFERROR(__xludf.DUMMYFUNCTION("""COMPUTED_VALUE"""),"F")</f>
        <v>F</v>
      </c>
      <c r="F992" s="118" t="str">
        <f ca="1">IFERROR(__xludf.DUMMYFUNCTION("""COMPUTED_VALUE"""),"J")</f>
        <v>J</v>
      </c>
      <c r="G992" s="118">
        <f ca="1">IFERROR(__xludf.DUMMYFUNCTION("""COMPUTED_VALUE"""),2)</f>
        <v>2</v>
      </c>
      <c r="H992" s="118" t="str">
        <f ca="1">IFERROR(__xludf.DUMMYFUNCTION("""COMPUTED_VALUE"""),"KG")</f>
        <v>KG</v>
      </c>
      <c r="I992" s="118">
        <f ca="1">IFERROR(__xludf.DUMMYFUNCTION("""COMPUTED_VALUE"""),5)</f>
        <v>5</v>
      </c>
      <c r="J992" s="118">
        <f ca="1">IFERROR(__xludf.DUMMYFUNCTION("""COMPUTED_VALUE"""),4)</f>
        <v>4</v>
      </c>
      <c r="K992" s="120">
        <f ca="1">IFERROR(__xludf.DUMMYFUNCTION("""COMPUTED_VALUE"""),58.3)</f>
        <v>58.3</v>
      </c>
      <c r="L992" s="121"/>
      <c r="M992" s="120">
        <f ca="1">IFERROR(__xludf.DUMMYFUNCTION("""COMPUTED_VALUE"""),53.4)</f>
        <v>53.4</v>
      </c>
      <c r="N992" s="121"/>
      <c r="O992" s="120">
        <f ca="1">IFERROR(__xludf.DUMMYFUNCTION("""COMPUTED_VALUE"""),58.3)</f>
        <v>58.3</v>
      </c>
      <c r="P992" s="122"/>
      <c r="Q992" s="123"/>
      <c r="R992" s="123"/>
      <c r="S992" s="123" t="str">
        <f ca="1">IFERROR(__xludf.DUMMYFUNCTION("""COMPUTED_VALUE"""),"Nora Ismailova")</f>
        <v>Nora Ismailova</v>
      </c>
      <c r="T992" s="123"/>
    </row>
    <row r="993" spans="1:20" ht="13.8">
      <c r="A993" s="118" t="str">
        <f ca="1">IFERROR(__xludf.DUMMYFUNCTION("""COMPUTED_VALUE"""),"KG")</f>
        <v>KG</v>
      </c>
      <c r="B993" s="119" t="str">
        <f ca="1">IFERROR(__xludf.DUMMYFUNCTION("""COMPUTED_VALUE"""),"Ben Gulotta")</f>
        <v>Ben Gulotta</v>
      </c>
      <c r="C993" s="118">
        <f ca="1">IFERROR(__xludf.DUMMYFUNCTION("""COMPUTED_VALUE"""),8)</f>
        <v>8</v>
      </c>
      <c r="D993" s="118" t="str">
        <f ca="1">IFERROR(__xludf.DUMMYFUNCTION("""COMPUTED_VALUE"""),"B")</f>
        <v>B</v>
      </c>
      <c r="E993" s="118" t="str">
        <f ca="1">IFERROR(__xludf.DUMMYFUNCTION("""COMPUTED_VALUE"""),"F")</f>
        <v>F</v>
      </c>
      <c r="F993" s="118" t="str">
        <f ca="1">IFERROR(__xludf.DUMMYFUNCTION("""COMPUTED_VALUE"""),"J")</f>
        <v>J</v>
      </c>
      <c r="G993" s="118">
        <f ca="1">IFERROR(__xludf.DUMMYFUNCTION("""COMPUTED_VALUE"""),2)</f>
        <v>2</v>
      </c>
      <c r="H993" s="118" t="str">
        <f ca="1">IFERROR(__xludf.DUMMYFUNCTION("""COMPUTED_VALUE"""),"KG")</f>
        <v>KG</v>
      </c>
      <c r="I993" s="118">
        <f ca="1">IFERROR(__xludf.DUMMYFUNCTION("""COMPUTED_VALUE"""),5)</f>
        <v>5</v>
      </c>
      <c r="J993" s="118">
        <f ca="1">IFERROR(__xludf.DUMMYFUNCTION("""COMPUTED_VALUE"""),1)</f>
        <v>1</v>
      </c>
      <c r="K993" s="120">
        <f ca="1">IFERROR(__xludf.DUMMYFUNCTION("""COMPUTED_VALUE"""),40.85)</f>
        <v>40.85</v>
      </c>
      <c r="L993" s="121"/>
      <c r="M993" s="120"/>
      <c r="N993" s="121"/>
      <c r="O993" s="120"/>
      <c r="P993" s="122"/>
      <c r="Q993" s="123"/>
      <c r="R993" s="123"/>
      <c r="S993" s="123" t="str">
        <f ca="1">IFERROR(__xludf.DUMMYFUNCTION("""COMPUTED_VALUE"""),"Nora Jandrain")</f>
        <v>Nora Jandrain</v>
      </c>
      <c r="T993" s="123"/>
    </row>
    <row r="994" spans="1:20" ht="13.8">
      <c r="A994" s="118" t="str">
        <f ca="1">IFERROR(__xludf.DUMMYFUNCTION("""COMPUTED_VALUE"""),"KG")</f>
        <v>KG</v>
      </c>
      <c r="B994" s="119" t="str">
        <f ca="1">IFERROR(__xludf.DUMMYFUNCTION("""COMPUTED_VALUE"""),"James Wittman")</f>
        <v>James Wittman</v>
      </c>
      <c r="C994" s="118">
        <f ca="1">IFERROR(__xludf.DUMMYFUNCTION("""COMPUTED_VALUE"""),8)</f>
        <v>8</v>
      </c>
      <c r="D994" s="118" t="str">
        <f ca="1">IFERROR(__xludf.DUMMYFUNCTION("""COMPUTED_VALUE"""),"B")</f>
        <v>B</v>
      </c>
      <c r="E994" s="118" t="str">
        <f ca="1">IFERROR(__xludf.DUMMYFUNCTION("""COMPUTED_VALUE"""),"F")</f>
        <v>F</v>
      </c>
      <c r="F994" s="118" t="str">
        <f ca="1">IFERROR(__xludf.DUMMYFUNCTION("""COMPUTED_VALUE"""),"J")</f>
        <v>J</v>
      </c>
      <c r="G994" s="118">
        <f ca="1">IFERROR(__xludf.DUMMYFUNCTION("""COMPUTED_VALUE"""),2)</f>
        <v>2</v>
      </c>
      <c r="H994" s="118" t="str">
        <f ca="1">IFERROR(__xludf.DUMMYFUNCTION("""COMPUTED_VALUE"""),"KG")</f>
        <v>KG</v>
      </c>
      <c r="I994" s="118">
        <f ca="1">IFERROR(__xludf.DUMMYFUNCTION("""COMPUTED_VALUE"""),5)</f>
        <v>5</v>
      </c>
      <c r="J994" s="118">
        <f ca="1">IFERROR(__xludf.DUMMYFUNCTION("""COMPUTED_VALUE"""),5)</f>
        <v>5</v>
      </c>
      <c r="K994" s="120">
        <f ca="1">IFERROR(__xludf.DUMMYFUNCTION("""COMPUTED_VALUE"""),52.6)</f>
        <v>52.6</v>
      </c>
      <c r="L994" s="121"/>
      <c r="M994" s="120">
        <f ca="1">IFERROR(__xludf.DUMMYFUNCTION("""COMPUTED_VALUE"""),39.25)</f>
        <v>39.25</v>
      </c>
      <c r="N994" s="121"/>
      <c r="O994" s="120">
        <f ca="1">IFERROR(__xludf.DUMMYFUNCTION("""COMPUTED_VALUE"""),45.15)</f>
        <v>45.15</v>
      </c>
      <c r="P994" s="122"/>
      <c r="Q994" s="123"/>
      <c r="R994" s="123"/>
      <c r="S994" s="123" t="str">
        <f ca="1">IFERROR(__xludf.DUMMYFUNCTION("""COMPUTED_VALUE"""),"Nora Kalfus")</f>
        <v>Nora Kalfus</v>
      </c>
      <c r="T994" s="123"/>
    </row>
    <row r="995" spans="1:20" ht="13.8">
      <c r="A995" s="118" t="str">
        <f ca="1">IFERROR(__xludf.DUMMYFUNCTION("""COMPUTED_VALUE"""),"KG")</f>
        <v>KG</v>
      </c>
      <c r="B995" s="119" t="str">
        <f ca="1">IFERROR(__xludf.DUMMYFUNCTION("""COMPUTED_VALUE"""),"Kasra Gongola")</f>
        <v>Kasra Gongola</v>
      </c>
      <c r="C995" s="118">
        <f ca="1">IFERROR(__xludf.DUMMYFUNCTION("""COMPUTED_VALUE"""),8)</f>
        <v>8</v>
      </c>
      <c r="D995" s="118" t="str">
        <f ca="1">IFERROR(__xludf.DUMMYFUNCTION("""COMPUTED_VALUE"""),"B")</f>
        <v>B</v>
      </c>
      <c r="E995" s="118" t="str">
        <f ca="1">IFERROR(__xludf.DUMMYFUNCTION("""COMPUTED_VALUE"""),"F")</f>
        <v>F</v>
      </c>
      <c r="F995" s="118" t="str">
        <f ca="1">IFERROR(__xludf.DUMMYFUNCTION("""COMPUTED_VALUE"""),"J")</f>
        <v>J</v>
      </c>
      <c r="G995" s="118">
        <f ca="1">IFERROR(__xludf.DUMMYFUNCTION("""COMPUTED_VALUE"""),2)</f>
        <v>2</v>
      </c>
      <c r="H995" s="118" t="str">
        <f ca="1">IFERROR(__xludf.DUMMYFUNCTION("""COMPUTED_VALUE"""),"KG")</f>
        <v>KG</v>
      </c>
      <c r="I995" s="118">
        <f ca="1">IFERROR(__xludf.DUMMYFUNCTION("""COMPUTED_VALUE"""),5)</f>
        <v>5</v>
      </c>
      <c r="J995" s="118">
        <f ca="1">IFERROR(__xludf.DUMMYFUNCTION("""COMPUTED_VALUE"""),5)</f>
        <v>5</v>
      </c>
      <c r="K995" s="120">
        <f ca="1">IFERROR(__xludf.DUMMYFUNCTION("""COMPUTED_VALUE"""),47.95)</f>
        <v>47.95</v>
      </c>
      <c r="L995" s="121"/>
      <c r="M995" s="120">
        <f ca="1">IFERROR(__xludf.DUMMYFUNCTION("""COMPUTED_VALUE"""),45.85)</f>
        <v>45.85</v>
      </c>
      <c r="N995" s="121"/>
      <c r="O995" s="120">
        <f ca="1">IFERROR(__xludf.DUMMYFUNCTION("""COMPUTED_VALUE"""),43.95)</f>
        <v>43.95</v>
      </c>
      <c r="P995" s="122"/>
      <c r="Q995" s="123"/>
      <c r="R995" s="123"/>
      <c r="S995" s="123" t="str">
        <f ca="1">IFERROR(__xludf.DUMMYFUNCTION("""COMPUTED_VALUE"""),"Nora Maxey")</f>
        <v>Nora Maxey</v>
      </c>
      <c r="T995" s="123"/>
    </row>
    <row r="996" spans="1:20" ht="13.8">
      <c r="A996" s="118" t="str">
        <f ca="1">IFERROR(__xludf.DUMMYFUNCTION("""COMPUTED_VALUE"""),"KG")</f>
        <v>KG</v>
      </c>
      <c r="B996" s="119" t="str">
        <f ca="1">IFERROR(__xludf.DUMMYFUNCTION("""COMPUTED_VALUE"""),"Kilan Gongola")</f>
        <v>Kilan Gongola</v>
      </c>
      <c r="C996" s="118">
        <f ca="1">IFERROR(__xludf.DUMMYFUNCTION("""COMPUTED_VALUE"""),7)</f>
        <v>7</v>
      </c>
      <c r="D996" s="118" t="str">
        <f ca="1">IFERROR(__xludf.DUMMYFUNCTION("""COMPUTED_VALUE"""),"B")</f>
        <v>B</v>
      </c>
      <c r="E996" s="118" t="str">
        <f ca="1">IFERROR(__xludf.DUMMYFUNCTION("""COMPUTED_VALUE"""),"F")</f>
        <v>F</v>
      </c>
      <c r="F996" s="118" t="str">
        <f ca="1">IFERROR(__xludf.DUMMYFUNCTION("""COMPUTED_VALUE"""),"J")</f>
        <v>J</v>
      </c>
      <c r="G996" s="118">
        <f ca="1">IFERROR(__xludf.DUMMYFUNCTION("""COMPUTED_VALUE"""),2)</f>
        <v>2</v>
      </c>
      <c r="H996" s="118" t="str">
        <f ca="1">IFERROR(__xludf.DUMMYFUNCTION("""COMPUTED_VALUE"""),"KG")</f>
        <v>KG</v>
      </c>
      <c r="I996" s="118">
        <f ca="1">IFERROR(__xludf.DUMMYFUNCTION("""COMPUTED_VALUE"""),5)</f>
        <v>5</v>
      </c>
      <c r="J996" s="118">
        <f ca="1">IFERROR(__xludf.DUMMYFUNCTION("""COMPUTED_VALUE"""),2)</f>
        <v>2</v>
      </c>
      <c r="K996" s="120">
        <f ca="1">IFERROR(__xludf.DUMMYFUNCTION("""COMPUTED_VALUE"""),29.3)</f>
        <v>29.3</v>
      </c>
      <c r="L996" s="121"/>
      <c r="M996" s="120">
        <f ca="1">IFERROR(__xludf.DUMMYFUNCTION("""COMPUTED_VALUE"""),29.3)</f>
        <v>29.3</v>
      </c>
      <c r="N996" s="121"/>
      <c r="O996" s="120">
        <f ca="1">IFERROR(__xludf.DUMMYFUNCTION("""COMPUTED_VALUE"""),25.95)</f>
        <v>25.95</v>
      </c>
      <c r="P996" s="122"/>
      <c r="Q996" s="123"/>
      <c r="R996" s="123"/>
      <c r="S996" s="123" t="str">
        <f ca="1">IFERROR(__xludf.DUMMYFUNCTION("""COMPUTED_VALUE"""),"Nora Morgan")</f>
        <v>Nora Morgan</v>
      </c>
      <c r="T996" s="123"/>
    </row>
    <row r="997" spans="1:20" ht="13.8">
      <c r="A997" s="118" t="str">
        <f ca="1">IFERROR(__xludf.DUMMYFUNCTION("""COMPUTED_VALUE"""),"KG")</f>
        <v>KG</v>
      </c>
      <c r="B997" s="119" t="str">
        <f ca="1">IFERROR(__xludf.DUMMYFUNCTION("""COMPUTED_VALUE"""),"Luca Bucci")</f>
        <v>Luca Bucci</v>
      </c>
      <c r="C997" s="118">
        <f ca="1">IFERROR(__xludf.DUMMYFUNCTION("""COMPUTED_VALUE"""),5)</f>
        <v>5</v>
      </c>
      <c r="D997" s="118" t="str">
        <f ca="1">IFERROR(__xludf.DUMMYFUNCTION("""COMPUTED_VALUE"""),"B")</f>
        <v>B</v>
      </c>
      <c r="E997" s="118" t="str">
        <f ca="1">IFERROR(__xludf.DUMMYFUNCTION("""COMPUTED_VALUE"""),"F")</f>
        <v>F</v>
      </c>
      <c r="F997" s="118" t="str">
        <f ca="1">IFERROR(__xludf.DUMMYFUNCTION("""COMPUTED_VALUE"""),"J")</f>
        <v>J</v>
      </c>
      <c r="G997" s="118">
        <f ca="1">IFERROR(__xludf.DUMMYFUNCTION("""COMPUTED_VALUE"""),2)</f>
        <v>2</v>
      </c>
      <c r="H997" s="118" t="str">
        <f ca="1">IFERROR(__xludf.DUMMYFUNCTION("""COMPUTED_VALUE"""),"KG")</f>
        <v>KG</v>
      </c>
      <c r="I997" s="118">
        <f ca="1">IFERROR(__xludf.DUMMYFUNCTION("""COMPUTED_VALUE"""),5)</f>
        <v>5</v>
      </c>
      <c r="J997" s="118">
        <f ca="1">IFERROR(__xludf.DUMMYFUNCTION("""COMPUTED_VALUE"""),0)</f>
        <v>0</v>
      </c>
      <c r="K997" s="120"/>
      <c r="L997" s="121"/>
      <c r="M997" s="120"/>
      <c r="N997" s="121"/>
      <c r="O997" s="120"/>
      <c r="P997" s="122"/>
      <c r="Q997" s="123"/>
      <c r="R997" s="123"/>
      <c r="S997" s="123" t="str">
        <f ca="1">IFERROR(__xludf.DUMMYFUNCTION("""COMPUTED_VALUE"""),"Norah Kissinger")</f>
        <v>Norah Kissinger</v>
      </c>
      <c r="T997" s="123"/>
    </row>
    <row r="998" spans="1:20" ht="13.8">
      <c r="A998" s="118" t="str">
        <f ca="1">IFERROR(__xludf.DUMMYFUNCTION("""COMPUTED_VALUE"""),"KG")</f>
        <v>KG</v>
      </c>
      <c r="B998" s="119" t="str">
        <f ca="1">IFERROR(__xludf.DUMMYFUNCTION("""COMPUTED_VALUE"""),"Reed Schymanski")</f>
        <v>Reed Schymanski</v>
      </c>
      <c r="C998" s="118">
        <f ca="1">IFERROR(__xludf.DUMMYFUNCTION("""COMPUTED_VALUE"""),9)</f>
        <v>9</v>
      </c>
      <c r="D998" s="118" t="str">
        <f ca="1">IFERROR(__xludf.DUMMYFUNCTION("""COMPUTED_VALUE"""),"B")</f>
        <v>B</v>
      </c>
      <c r="E998" s="118" t="str">
        <f ca="1">IFERROR(__xludf.DUMMYFUNCTION("""COMPUTED_VALUE"""),"F")</f>
        <v>F</v>
      </c>
      <c r="F998" s="118" t="str">
        <f ca="1">IFERROR(__xludf.DUMMYFUNCTION("""COMPUTED_VALUE"""),"J")</f>
        <v>J</v>
      </c>
      <c r="G998" s="118">
        <f ca="1">IFERROR(__xludf.DUMMYFUNCTION("""COMPUTED_VALUE"""),2)</f>
        <v>2</v>
      </c>
      <c r="H998" s="118" t="str">
        <f ca="1">IFERROR(__xludf.DUMMYFUNCTION("""COMPUTED_VALUE"""),"KG")</f>
        <v>KG</v>
      </c>
      <c r="I998" s="118">
        <f ca="1">IFERROR(__xludf.DUMMYFUNCTION("""COMPUTED_VALUE"""),5)</f>
        <v>5</v>
      </c>
      <c r="J998" s="118">
        <f ca="1">IFERROR(__xludf.DUMMYFUNCTION("""COMPUTED_VALUE"""),5)</f>
        <v>5</v>
      </c>
      <c r="K998" s="120">
        <f ca="1">IFERROR(__xludf.DUMMYFUNCTION("""COMPUTED_VALUE"""),65.7)</f>
        <v>65.7</v>
      </c>
      <c r="L998" s="121"/>
      <c r="M998" s="120">
        <f ca="1">IFERROR(__xludf.DUMMYFUNCTION("""COMPUTED_VALUE"""),53.4)</f>
        <v>53.4</v>
      </c>
      <c r="N998" s="121"/>
      <c r="O998" s="120">
        <f ca="1">IFERROR(__xludf.DUMMYFUNCTION("""COMPUTED_VALUE"""),65.7)</f>
        <v>65.7</v>
      </c>
      <c r="P998" s="122"/>
      <c r="Q998" s="123"/>
      <c r="R998" s="123"/>
      <c r="S998" s="123" t="str">
        <f ca="1">IFERROR(__xludf.DUMMYFUNCTION("""COMPUTED_VALUE"""),"Norah Wittman")</f>
        <v>Norah Wittman</v>
      </c>
      <c r="T998" s="123"/>
    </row>
    <row r="999" spans="1:20" ht="13.8">
      <c r="A999" s="118" t="str">
        <f ca="1">IFERROR(__xludf.DUMMYFUNCTION("""COMPUTED_VALUE"""),"KG")</f>
        <v>KG</v>
      </c>
      <c r="B999" s="119" t="str">
        <f ca="1">IFERROR(__xludf.DUMMYFUNCTION("""COMPUTED_VALUE"""),"Soren Gongola")</f>
        <v>Soren Gongola</v>
      </c>
      <c r="C999" s="118">
        <f ca="1">IFERROR(__xludf.DUMMYFUNCTION("""COMPUTED_VALUE"""),5)</f>
        <v>5</v>
      </c>
      <c r="D999" s="118" t="str">
        <f ca="1">IFERROR(__xludf.DUMMYFUNCTION("""COMPUTED_VALUE"""),"B")</f>
        <v>B</v>
      </c>
      <c r="E999" s="118" t="str">
        <f ca="1">IFERROR(__xludf.DUMMYFUNCTION("""COMPUTED_VALUE"""),"F")</f>
        <v>F</v>
      </c>
      <c r="F999" s="118" t="str">
        <f ca="1">IFERROR(__xludf.DUMMYFUNCTION("""COMPUTED_VALUE"""),"J")</f>
        <v>J</v>
      </c>
      <c r="G999" s="118">
        <f ca="1">IFERROR(__xludf.DUMMYFUNCTION("""COMPUTED_VALUE"""),2)</f>
        <v>2</v>
      </c>
      <c r="H999" s="118" t="str">
        <f ca="1">IFERROR(__xludf.DUMMYFUNCTION("""COMPUTED_VALUE"""),"KG")</f>
        <v>KG</v>
      </c>
      <c r="I999" s="118">
        <f ca="1">IFERROR(__xludf.DUMMYFUNCTION("""COMPUTED_VALUE"""),5)</f>
        <v>5</v>
      </c>
      <c r="J999" s="118">
        <f ca="1">IFERROR(__xludf.DUMMYFUNCTION("""COMPUTED_VALUE"""),0)</f>
        <v>0</v>
      </c>
      <c r="K999" s="120"/>
      <c r="L999" s="121"/>
      <c r="M999" s="120"/>
      <c r="N999" s="121"/>
      <c r="O999" s="120"/>
      <c r="P999" s="122"/>
      <c r="Q999" s="123"/>
      <c r="R999" s="123"/>
      <c r="S999" s="123" t="str">
        <f ca="1">IFERROR(__xludf.DUMMYFUNCTION("""COMPUTED_VALUE"""),"Noreen Dhaliwal")</f>
        <v>Noreen Dhaliwal</v>
      </c>
      <c r="T999" s="123"/>
    </row>
    <row r="1000" spans="1:20" ht="13.8">
      <c r="A1000" s="118" t="str">
        <f ca="1">IFERROR(__xludf.DUMMYFUNCTION("""COMPUTED_VALUE"""),"KG")</f>
        <v>KG</v>
      </c>
      <c r="B1000" s="119" t="str">
        <f ca="1">IFERROR(__xludf.DUMMYFUNCTION("""COMPUTED_VALUE"""),"Wilkins Harvin")</f>
        <v>Wilkins Harvin</v>
      </c>
      <c r="C1000" s="118">
        <f ca="1">IFERROR(__xludf.DUMMYFUNCTION("""COMPUTED_VALUE"""),8)</f>
        <v>8</v>
      </c>
      <c r="D1000" s="118" t="str">
        <f ca="1">IFERROR(__xludf.DUMMYFUNCTION("""COMPUTED_VALUE"""),"B")</f>
        <v>B</v>
      </c>
      <c r="E1000" s="118" t="str">
        <f ca="1">IFERROR(__xludf.DUMMYFUNCTION("""COMPUTED_VALUE"""),"F")</f>
        <v>F</v>
      </c>
      <c r="F1000" s="118" t="str">
        <f ca="1">IFERROR(__xludf.DUMMYFUNCTION("""COMPUTED_VALUE"""),"J")</f>
        <v>J</v>
      </c>
      <c r="G1000" s="118">
        <f ca="1">IFERROR(__xludf.DUMMYFUNCTION("""COMPUTED_VALUE"""),2)</f>
        <v>2</v>
      </c>
      <c r="H1000" s="118" t="str">
        <f ca="1">IFERROR(__xludf.DUMMYFUNCTION("""COMPUTED_VALUE"""),"KG")</f>
        <v>KG</v>
      </c>
      <c r="I1000" s="118">
        <f ca="1">IFERROR(__xludf.DUMMYFUNCTION("""COMPUTED_VALUE"""),5)</f>
        <v>5</v>
      </c>
      <c r="J1000" s="118">
        <f ca="1">IFERROR(__xludf.DUMMYFUNCTION("""COMPUTED_VALUE"""),0)</f>
        <v>0</v>
      </c>
      <c r="K1000" s="120"/>
      <c r="L1000" s="121"/>
      <c r="M1000" s="120"/>
      <c r="N1000" s="121"/>
      <c r="O1000" s="120"/>
      <c r="P1000" s="122"/>
      <c r="Q1000" s="123"/>
      <c r="R1000" s="123"/>
      <c r="S1000" s="123" t="str">
        <f ca="1">IFERROR(__xludf.DUMMYFUNCTION("""COMPUTED_VALUE"""),"Nyah Smith")</f>
        <v>Nyah Smith</v>
      </c>
      <c r="T1000" s="123"/>
    </row>
    <row r="1001" spans="1:20" ht="13.8">
      <c r="A1001" s="118" t="str">
        <f ca="1">IFERROR(__xludf.DUMMYFUNCTION("""COMPUTED_VALUE"""),"KG")</f>
        <v>KG</v>
      </c>
      <c r="B1001" s="119" t="str">
        <f ca="1">IFERROR(__xludf.DUMMYFUNCTION("""COMPUTED_VALUE"""),"Will Evett")</f>
        <v>Will Evett</v>
      </c>
      <c r="C1001" s="118">
        <f ca="1">IFERROR(__xludf.DUMMYFUNCTION("""COMPUTED_VALUE"""),7)</f>
        <v>7</v>
      </c>
      <c r="D1001" s="118" t="str">
        <f ca="1">IFERROR(__xludf.DUMMYFUNCTION("""COMPUTED_VALUE"""),"B")</f>
        <v>B</v>
      </c>
      <c r="E1001" s="118" t="str">
        <f ca="1">IFERROR(__xludf.DUMMYFUNCTION("""COMPUTED_VALUE"""),"F")</f>
        <v>F</v>
      </c>
      <c r="F1001" s="118" t="str">
        <f ca="1">IFERROR(__xludf.DUMMYFUNCTION("""COMPUTED_VALUE"""),"J")</f>
        <v>J</v>
      </c>
      <c r="G1001" s="118">
        <f ca="1">IFERROR(__xludf.DUMMYFUNCTION("""COMPUTED_VALUE"""),2)</f>
        <v>2</v>
      </c>
      <c r="H1001" s="118" t="str">
        <f ca="1">IFERROR(__xludf.DUMMYFUNCTION("""COMPUTED_VALUE"""),"KG")</f>
        <v>KG</v>
      </c>
      <c r="I1001" s="118">
        <f ca="1">IFERROR(__xludf.DUMMYFUNCTION("""COMPUTED_VALUE"""),5)</f>
        <v>5</v>
      </c>
      <c r="J1001" s="118">
        <f ca="1">IFERROR(__xludf.DUMMYFUNCTION("""COMPUTED_VALUE"""),0)</f>
        <v>0</v>
      </c>
      <c r="K1001" s="120"/>
      <c r="L1001" s="121"/>
      <c r="M1001" s="120"/>
      <c r="N1001" s="121"/>
      <c r="O1001" s="120"/>
      <c r="P1001" s="122"/>
      <c r="Q1001" s="123"/>
      <c r="R1001" s="123"/>
      <c r="S1001" s="123" t="str">
        <f ca="1">IFERROR(__xludf.DUMMYFUNCTION("""COMPUTED_VALUE"""),"Ocean Archambault")</f>
        <v>Ocean Archambault</v>
      </c>
      <c r="T1001" s="123"/>
    </row>
    <row r="1002" spans="1:20" ht="13.8">
      <c r="A1002" s="118" t="str">
        <f ca="1">IFERROR(__xludf.DUMMYFUNCTION("""COMPUTED_VALUE"""),"KG")</f>
        <v>KG</v>
      </c>
      <c r="B1002" s="119" t="str">
        <f ca="1">IFERROR(__xludf.DUMMYFUNCTION("""COMPUTED_VALUE"""),"Anaya Bose")</f>
        <v>Anaya Bose</v>
      </c>
      <c r="C1002" s="118">
        <f ca="1">IFERROR(__xludf.DUMMYFUNCTION("""COMPUTED_VALUE"""),11)</f>
        <v>11</v>
      </c>
      <c r="D1002" s="118" t="str">
        <f ca="1">IFERROR(__xludf.DUMMYFUNCTION("""COMPUTED_VALUE"""),"G")</f>
        <v>G</v>
      </c>
      <c r="E1002" s="118" t="str">
        <f ca="1">IFERROR(__xludf.DUMMYFUNCTION("""COMPUTED_VALUE"""),"J")</f>
        <v>J</v>
      </c>
      <c r="F1002" s="118" t="str">
        <f ca="1">IFERROR(__xludf.DUMMYFUNCTION("""COMPUTED_VALUE"""),"I")</f>
        <v>I</v>
      </c>
      <c r="G1002" s="118">
        <f ca="1">IFERROR(__xludf.DUMMYFUNCTION("""COMPUTED_VALUE"""),2)</f>
        <v>2</v>
      </c>
      <c r="H1002" s="118" t="str">
        <f ca="1">IFERROR(__xludf.DUMMYFUNCTION("""COMPUTED_VALUE"""),"KG")</f>
        <v>KG</v>
      </c>
      <c r="I1002" s="118">
        <f ca="1">IFERROR(__xludf.DUMMYFUNCTION("""COMPUTED_VALUE"""),6)</f>
        <v>6</v>
      </c>
      <c r="J1002" s="118">
        <f ca="1">IFERROR(__xludf.DUMMYFUNCTION("""COMPUTED_VALUE"""),0)</f>
        <v>0</v>
      </c>
      <c r="K1002" s="120"/>
      <c r="L1002" s="121"/>
      <c r="M1002" s="120"/>
      <c r="N1002" s="121"/>
      <c r="O1002" s="120"/>
      <c r="P1002" s="122"/>
      <c r="Q1002" s="123"/>
      <c r="R1002" s="123"/>
      <c r="S1002" s="123" t="str">
        <f ca="1">IFERROR(__xludf.DUMMYFUNCTION("""COMPUTED_VALUE"""),"Odile Burke")</f>
        <v>Odile Burke</v>
      </c>
      <c r="T1002" s="123"/>
    </row>
    <row r="1003" spans="1:20" ht="13.8">
      <c r="A1003" s="118" t="str">
        <f ca="1">IFERROR(__xludf.DUMMYFUNCTION("""COMPUTED_VALUE"""),"KG")</f>
        <v>KG</v>
      </c>
      <c r="B1003" s="119" t="str">
        <f ca="1">IFERROR(__xludf.DUMMYFUNCTION("""COMPUTED_VALUE"""),"Caroline Van Order")</f>
        <v>Caroline Van Order</v>
      </c>
      <c r="C1003" s="118">
        <f ca="1">IFERROR(__xludf.DUMMYFUNCTION("""COMPUTED_VALUE"""),11)</f>
        <v>11</v>
      </c>
      <c r="D1003" s="118" t="str">
        <f ca="1">IFERROR(__xludf.DUMMYFUNCTION("""COMPUTED_VALUE"""),"G")</f>
        <v>G</v>
      </c>
      <c r="E1003" s="118" t="str">
        <f ca="1">IFERROR(__xludf.DUMMYFUNCTION("""COMPUTED_VALUE"""),"J")</f>
        <v>J</v>
      </c>
      <c r="F1003" s="118" t="str">
        <f ca="1">IFERROR(__xludf.DUMMYFUNCTION("""COMPUTED_VALUE"""),"I")</f>
        <v>I</v>
      </c>
      <c r="G1003" s="118">
        <f ca="1">IFERROR(__xludf.DUMMYFUNCTION("""COMPUTED_VALUE"""),2)</f>
        <v>2</v>
      </c>
      <c r="H1003" s="118" t="str">
        <f ca="1">IFERROR(__xludf.DUMMYFUNCTION("""COMPUTED_VALUE"""),"KG")</f>
        <v>KG</v>
      </c>
      <c r="I1003" s="118">
        <f ca="1">IFERROR(__xludf.DUMMYFUNCTION("""COMPUTED_VALUE"""),6)</f>
        <v>6</v>
      </c>
      <c r="J1003" s="118">
        <f ca="1">IFERROR(__xludf.DUMMYFUNCTION("""COMPUTED_VALUE"""),5)</f>
        <v>5</v>
      </c>
      <c r="K1003" s="120">
        <f ca="1">IFERROR(__xludf.DUMMYFUNCTION("""COMPUTED_VALUE"""),82.3)</f>
        <v>82.3</v>
      </c>
      <c r="L1003" s="121"/>
      <c r="M1003" s="120">
        <f ca="1">IFERROR(__xludf.DUMMYFUNCTION("""COMPUTED_VALUE"""),-97.2)</f>
        <v>-97.2</v>
      </c>
      <c r="N1003" s="121"/>
      <c r="O1003" s="120">
        <f ca="1">IFERROR(__xludf.DUMMYFUNCTION("""COMPUTED_VALUE"""),66.75)</f>
        <v>66.75</v>
      </c>
      <c r="P1003" s="122"/>
      <c r="Q1003" s="123"/>
      <c r="R1003" s="123"/>
      <c r="S1003" s="123" t="str">
        <f ca="1">IFERROR(__xludf.DUMMYFUNCTION("""COMPUTED_VALUE"""),"Olive Slother")</f>
        <v>Olive Slother</v>
      </c>
      <c r="T1003" s="123"/>
    </row>
    <row r="1004" spans="1:20" ht="13.8">
      <c r="A1004" s="118" t="str">
        <f ca="1">IFERROR(__xludf.DUMMYFUNCTION("""COMPUTED_VALUE"""),"KG")</f>
        <v>KG</v>
      </c>
      <c r="B1004" s="119" t="str">
        <f ca="1">IFERROR(__xludf.DUMMYFUNCTION("""COMPUTED_VALUE"""),"Julia Denniston")</f>
        <v>Julia Denniston</v>
      </c>
      <c r="C1004" s="118">
        <f ca="1">IFERROR(__xludf.DUMMYFUNCTION("""COMPUTED_VALUE"""),11)</f>
        <v>11</v>
      </c>
      <c r="D1004" s="118" t="str">
        <f ca="1">IFERROR(__xludf.DUMMYFUNCTION("""COMPUTED_VALUE"""),"G")</f>
        <v>G</v>
      </c>
      <c r="E1004" s="118" t="str">
        <f ca="1">IFERROR(__xludf.DUMMYFUNCTION("""COMPUTED_VALUE"""),"J")</f>
        <v>J</v>
      </c>
      <c r="F1004" s="118" t="str">
        <f ca="1">IFERROR(__xludf.DUMMYFUNCTION("""COMPUTED_VALUE"""),"I")</f>
        <v>I</v>
      </c>
      <c r="G1004" s="118">
        <f ca="1">IFERROR(__xludf.DUMMYFUNCTION("""COMPUTED_VALUE"""),2)</f>
        <v>2</v>
      </c>
      <c r="H1004" s="118" t="str">
        <f ca="1">IFERROR(__xludf.DUMMYFUNCTION("""COMPUTED_VALUE"""),"KG")</f>
        <v>KG</v>
      </c>
      <c r="I1004" s="118">
        <f ca="1">IFERROR(__xludf.DUMMYFUNCTION("""COMPUTED_VALUE"""),6)</f>
        <v>6</v>
      </c>
      <c r="J1004" s="118">
        <f ca="1">IFERROR(__xludf.DUMMYFUNCTION("""COMPUTED_VALUE"""),5)</f>
        <v>5</v>
      </c>
      <c r="K1004" s="120">
        <f ca="1">IFERROR(__xludf.DUMMYFUNCTION("""COMPUTED_VALUE"""),102.8)</f>
        <v>102.8</v>
      </c>
      <c r="L1004" s="121"/>
      <c r="M1004" s="120">
        <f ca="1">IFERROR(__xludf.DUMMYFUNCTION("""COMPUTED_VALUE"""),97.4)</f>
        <v>97.4</v>
      </c>
      <c r="N1004" s="121"/>
      <c r="O1004" s="120">
        <f ca="1">IFERROR(__xludf.DUMMYFUNCTION("""COMPUTED_VALUE"""),83.95)</f>
        <v>83.95</v>
      </c>
      <c r="P1004" s="122"/>
      <c r="Q1004" s="123"/>
      <c r="R1004" s="123"/>
      <c r="S1004" s="123" t="str">
        <f ca="1">IFERROR(__xludf.DUMMYFUNCTION("""COMPUTED_VALUE"""),"Olivia Ahern")</f>
        <v>Olivia Ahern</v>
      </c>
      <c r="T1004" s="123"/>
    </row>
    <row r="1005" spans="1:20" ht="13.8">
      <c r="A1005" s="118" t="str">
        <f ca="1">IFERROR(__xludf.DUMMYFUNCTION("""COMPUTED_VALUE"""),"KG")</f>
        <v>KG</v>
      </c>
      <c r="B1005" s="119" t="str">
        <f ca="1">IFERROR(__xludf.DUMMYFUNCTION("""COMPUTED_VALUE"""),"Kira Bhasin")</f>
        <v>Kira Bhasin</v>
      </c>
      <c r="C1005" s="118">
        <f ca="1">IFERROR(__xludf.DUMMYFUNCTION("""COMPUTED_VALUE"""),11)</f>
        <v>11</v>
      </c>
      <c r="D1005" s="118" t="str">
        <f ca="1">IFERROR(__xludf.DUMMYFUNCTION("""COMPUTED_VALUE"""),"G")</f>
        <v>G</v>
      </c>
      <c r="E1005" s="118" t="str">
        <f ca="1">IFERROR(__xludf.DUMMYFUNCTION("""COMPUTED_VALUE"""),"J")</f>
        <v>J</v>
      </c>
      <c r="F1005" s="118" t="str">
        <f ca="1">IFERROR(__xludf.DUMMYFUNCTION("""COMPUTED_VALUE"""),"I")</f>
        <v>I</v>
      </c>
      <c r="G1005" s="118">
        <f ca="1">IFERROR(__xludf.DUMMYFUNCTION("""COMPUTED_VALUE"""),2)</f>
        <v>2</v>
      </c>
      <c r="H1005" s="118" t="str">
        <f ca="1">IFERROR(__xludf.DUMMYFUNCTION("""COMPUTED_VALUE"""),"KG")</f>
        <v>KG</v>
      </c>
      <c r="I1005" s="118">
        <f ca="1">IFERROR(__xludf.DUMMYFUNCTION("""COMPUTED_VALUE"""),6)</f>
        <v>6</v>
      </c>
      <c r="J1005" s="118">
        <f ca="1">IFERROR(__xludf.DUMMYFUNCTION("""COMPUTED_VALUE"""),5)</f>
        <v>5</v>
      </c>
      <c r="K1005" s="120">
        <f ca="1">IFERROR(__xludf.DUMMYFUNCTION("""COMPUTED_VALUE"""),70.35)</f>
        <v>70.349999999999994</v>
      </c>
      <c r="L1005" s="121"/>
      <c r="M1005" s="120">
        <f ca="1">IFERROR(__xludf.DUMMYFUNCTION("""COMPUTED_VALUE"""),69.6)</f>
        <v>69.599999999999994</v>
      </c>
      <c r="N1005" s="121"/>
      <c r="O1005" s="120">
        <f ca="1">IFERROR(__xludf.DUMMYFUNCTION("""COMPUTED_VALUE"""),70.35)</f>
        <v>70.349999999999994</v>
      </c>
      <c r="P1005" s="122"/>
      <c r="Q1005" s="123"/>
      <c r="R1005" s="123"/>
      <c r="S1005" s="123" t="str">
        <f ca="1">IFERROR(__xludf.DUMMYFUNCTION("""COMPUTED_VALUE"""),"Olivia Anderson")</f>
        <v>Olivia Anderson</v>
      </c>
      <c r="T1005" s="123"/>
    </row>
    <row r="1006" spans="1:20" ht="13.8">
      <c r="A1006" s="118" t="str">
        <f ca="1">IFERROR(__xludf.DUMMYFUNCTION("""COMPUTED_VALUE"""),"KG")</f>
        <v>KG</v>
      </c>
      <c r="B1006" s="119" t="str">
        <f ca="1">IFERROR(__xludf.DUMMYFUNCTION("""COMPUTED_VALUE"""),"Libby Gulotta")</f>
        <v>Libby Gulotta</v>
      </c>
      <c r="C1006" s="118">
        <f ca="1">IFERROR(__xludf.DUMMYFUNCTION("""COMPUTED_VALUE"""),11)</f>
        <v>11</v>
      </c>
      <c r="D1006" s="118" t="str">
        <f ca="1">IFERROR(__xludf.DUMMYFUNCTION("""COMPUTED_VALUE"""),"G")</f>
        <v>G</v>
      </c>
      <c r="E1006" s="118" t="str">
        <f ca="1">IFERROR(__xludf.DUMMYFUNCTION("""COMPUTED_VALUE"""),"J")</f>
        <v>J</v>
      </c>
      <c r="F1006" s="118" t="str">
        <f ca="1">IFERROR(__xludf.DUMMYFUNCTION("""COMPUTED_VALUE"""),"I")</f>
        <v>I</v>
      </c>
      <c r="G1006" s="118">
        <f ca="1">IFERROR(__xludf.DUMMYFUNCTION("""COMPUTED_VALUE"""),2)</f>
        <v>2</v>
      </c>
      <c r="H1006" s="118" t="str">
        <f ca="1">IFERROR(__xludf.DUMMYFUNCTION("""COMPUTED_VALUE"""),"KG")</f>
        <v>KG</v>
      </c>
      <c r="I1006" s="118">
        <f ca="1">IFERROR(__xludf.DUMMYFUNCTION("""COMPUTED_VALUE"""),6)</f>
        <v>6</v>
      </c>
      <c r="J1006" s="118">
        <f ca="1">IFERROR(__xludf.DUMMYFUNCTION("""COMPUTED_VALUE"""),0)</f>
        <v>0</v>
      </c>
      <c r="K1006" s="120"/>
      <c r="L1006" s="121"/>
      <c r="M1006" s="120"/>
      <c r="N1006" s="121"/>
      <c r="O1006" s="120"/>
      <c r="P1006" s="122"/>
      <c r="Q1006" s="123"/>
      <c r="R1006" s="123"/>
      <c r="S1006" s="123" t="str">
        <f ca="1">IFERROR(__xludf.DUMMYFUNCTION("""COMPUTED_VALUE"""),"Olivia Berik")</f>
        <v>Olivia Berik</v>
      </c>
      <c r="T1006" s="123"/>
    </row>
    <row r="1007" spans="1:20" ht="13.8">
      <c r="A1007" s="118" t="str">
        <f ca="1">IFERROR(__xludf.DUMMYFUNCTION("""COMPUTED_VALUE"""),"KG")</f>
        <v>KG</v>
      </c>
      <c r="B1007" s="119" t="str">
        <f ca="1">IFERROR(__xludf.DUMMYFUNCTION("""COMPUTED_VALUE"""),"Lindsay Li")</f>
        <v>Lindsay Li</v>
      </c>
      <c r="C1007" s="118">
        <f ca="1">IFERROR(__xludf.DUMMYFUNCTION("""COMPUTED_VALUE"""),11)</f>
        <v>11</v>
      </c>
      <c r="D1007" s="118" t="str">
        <f ca="1">IFERROR(__xludf.DUMMYFUNCTION("""COMPUTED_VALUE"""),"G")</f>
        <v>G</v>
      </c>
      <c r="E1007" s="118" t="str">
        <f ca="1">IFERROR(__xludf.DUMMYFUNCTION("""COMPUTED_VALUE"""),"J")</f>
        <v>J</v>
      </c>
      <c r="F1007" s="118" t="str">
        <f ca="1">IFERROR(__xludf.DUMMYFUNCTION("""COMPUTED_VALUE"""),"I")</f>
        <v>I</v>
      </c>
      <c r="G1007" s="118">
        <f ca="1">IFERROR(__xludf.DUMMYFUNCTION("""COMPUTED_VALUE"""),2)</f>
        <v>2</v>
      </c>
      <c r="H1007" s="118" t="str">
        <f ca="1">IFERROR(__xludf.DUMMYFUNCTION("""COMPUTED_VALUE"""),"KG")</f>
        <v>KG</v>
      </c>
      <c r="I1007" s="118">
        <f ca="1">IFERROR(__xludf.DUMMYFUNCTION("""COMPUTED_VALUE"""),6)</f>
        <v>6</v>
      </c>
      <c r="J1007" s="118">
        <f ca="1">IFERROR(__xludf.DUMMYFUNCTION("""COMPUTED_VALUE"""),0)</f>
        <v>0</v>
      </c>
      <c r="K1007" s="120"/>
      <c r="L1007" s="121"/>
      <c r="M1007" s="120"/>
      <c r="N1007" s="121"/>
      <c r="O1007" s="120"/>
      <c r="P1007" s="122"/>
      <c r="Q1007" s="123"/>
      <c r="R1007" s="123"/>
      <c r="S1007" s="123" t="str">
        <f ca="1">IFERROR(__xludf.DUMMYFUNCTION("""COMPUTED_VALUE"""),"Olivia Chen")</f>
        <v>Olivia Chen</v>
      </c>
      <c r="T1007" s="123"/>
    </row>
    <row r="1008" spans="1:20" ht="13.8">
      <c r="A1008" s="118" t="str">
        <f ca="1">IFERROR(__xludf.DUMMYFUNCTION("""COMPUTED_VALUE"""),"KG")</f>
        <v>KG</v>
      </c>
      <c r="B1008" s="119" t="str">
        <f ca="1">IFERROR(__xludf.DUMMYFUNCTION("""COMPUTED_VALUE"""),"Matilda Balzer")</f>
        <v>Matilda Balzer</v>
      </c>
      <c r="C1008" s="118">
        <f ca="1">IFERROR(__xludf.DUMMYFUNCTION("""COMPUTED_VALUE"""),12)</f>
        <v>12</v>
      </c>
      <c r="D1008" s="118" t="str">
        <f ca="1">IFERROR(__xludf.DUMMYFUNCTION("""COMPUTED_VALUE"""),"G")</f>
        <v>G</v>
      </c>
      <c r="E1008" s="118" t="str">
        <f ca="1">IFERROR(__xludf.DUMMYFUNCTION("""COMPUTED_VALUE"""),"J")</f>
        <v>J</v>
      </c>
      <c r="F1008" s="118" t="str">
        <f ca="1">IFERROR(__xludf.DUMMYFUNCTION("""COMPUTED_VALUE"""),"I")</f>
        <v>I</v>
      </c>
      <c r="G1008" s="118">
        <f ca="1">IFERROR(__xludf.DUMMYFUNCTION("""COMPUTED_VALUE"""),2)</f>
        <v>2</v>
      </c>
      <c r="H1008" s="118" t="str">
        <f ca="1">IFERROR(__xludf.DUMMYFUNCTION("""COMPUTED_VALUE"""),"KG")</f>
        <v>KG</v>
      </c>
      <c r="I1008" s="118">
        <f ca="1">IFERROR(__xludf.DUMMYFUNCTION("""COMPUTED_VALUE"""),6)</f>
        <v>6</v>
      </c>
      <c r="J1008" s="118">
        <f ca="1">IFERROR(__xludf.DUMMYFUNCTION("""COMPUTED_VALUE"""),2)</f>
        <v>2</v>
      </c>
      <c r="K1008" s="120">
        <f ca="1">IFERROR(__xludf.DUMMYFUNCTION("""COMPUTED_VALUE"""),76.5)</f>
        <v>76.5</v>
      </c>
      <c r="L1008" s="121"/>
      <c r="M1008" s="120"/>
      <c r="N1008" s="121"/>
      <c r="O1008" s="120">
        <f ca="1">IFERROR(__xludf.DUMMYFUNCTION("""COMPUTED_VALUE"""),76.5)</f>
        <v>76.5</v>
      </c>
      <c r="P1008" s="122"/>
      <c r="Q1008" s="123"/>
      <c r="R1008" s="123"/>
      <c r="S1008" s="123" t="str">
        <f ca="1">IFERROR(__xludf.DUMMYFUNCTION("""COMPUTED_VALUE"""),"Olivia Dyer")</f>
        <v>Olivia Dyer</v>
      </c>
      <c r="T1008" s="123"/>
    </row>
    <row r="1009" spans="1:20" ht="13.8">
      <c r="A1009" s="118" t="str">
        <f ca="1">IFERROR(__xludf.DUMMYFUNCTION("""COMPUTED_VALUE"""),"KG")</f>
        <v>KG</v>
      </c>
      <c r="B1009" s="119" t="str">
        <f ca="1">IFERROR(__xludf.DUMMYFUNCTION("""COMPUTED_VALUE"""),"Milla Schymanski")</f>
        <v>Milla Schymanski</v>
      </c>
      <c r="C1009" s="118">
        <f ca="1">IFERROR(__xludf.DUMMYFUNCTION("""COMPUTED_VALUE"""),11)</f>
        <v>11</v>
      </c>
      <c r="D1009" s="118" t="str">
        <f ca="1">IFERROR(__xludf.DUMMYFUNCTION("""COMPUTED_VALUE"""),"G")</f>
        <v>G</v>
      </c>
      <c r="E1009" s="118" t="str">
        <f ca="1">IFERROR(__xludf.DUMMYFUNCTION("""COMPUTED_VALUE"""),"J")</f>
        <v>J</v>
      </c>
      <c r="F1009" s="118" t="str">
        <f ca="1">IFERROR(__xludf.DUMMYFUNCTION("""COMPUTED_VALUE"""),"I")</f>
        <v>I</v>
      </c>
      <c r="G1009" s="118">
        <f ca="1">IFERROR(__xludf.DUMMYFUNCTION("""COMPUTED_VALUE"""),2)</f>
        <v>2</v>
      </c>
      <c r="H1009" s="118" t="str">
        <f ca="1">IFERROR(__xludf.DUMMYFUNCTION("""COMPUTED_VALUE"""),"KG")</f>
        <v>KG</v>
      </c>
      <c r="I1009" s="118">
        <f ca="1">IFERROR(__xludf.DUMMYFUNCTION("""COMPUTED_VALUE"""),6)</f>
        <v>6</v>
      </c>
      <c r="J1009" s="118">
        <f ca="1">IFERROR(__xludf.DUMMYFUNCTION("""COMPUTED_VALUE"""),5)</f>
        <v>5</v>
      </c>
      <c r="K1009" s="120">
        <f ca="1">IFERROR(__xludf.DUMMYFUNCTION("""COMPUTED_VALUE"""),99.6)</f>
        <v>99.6</v>
      </c>
      <c r="L1009" s="121"/>
      <c r="M1009" s="120">
        <f ca="1">IFERROR(__xludf.DUMMYFUNCTION("""COMPUTED_VALUE"""),85.45)</f>
        <v>85.45</v>
      </c>
      <c r="N1009" s="121"/>
      <c r="O1009" s="120">
        <f ca="1">IFERROR(__xludf.DUMMYFUNCTION("""COMPUTED_VALUE"""),89.65)</f>
        <v>89.65</v>
      </c>
      <c r="P1009" s="122"/>
      <c r="Q1009" s="123"/>
      <c r="R1009" s="123"/>
      <c r="S1009" s="123" t="str">
        <f ca="1">IFERROR(__xludf.DUMMYFUNCTION("""COMPUTED_VALUE"""),"Olivia Gentry")</f>
        <v>Olivia Gentry</v>
      </c>
      <c r="T1009" s="123"/>
    </row>
    <row r="1010" spans="1:20" ht="13.8">
      <c r="A1010" s="118" t="str">
        <f ca="1">IFERROR(__xludf.DUMMYFUNCTION("""COMPUTED_VALUE"""),"KG")</f>
        <v>KG</v>
      </c>
      <c r="B1010" s="119" t="str">
        <f ca="1">IFERROR(__xludf.DUMMYFUNCTION("""COMPUTED_VALUE"""),"Harrison Gulotta")</f>
        <v>Harrison Gulotta</v>
      </c>
      <c r="C1010" s="118">
        <f ca="1">IFERROR(__xludf.DUMMYFUNCTION("""COMPUTED_VALUE"""),12)</f>
        <v>12</v>
      </c>
      <c r="D1010" s="118" t="str">
        <f ca="1">IFERROR(__xludf.DUMMYFUNCTION("""COMPUTED_VALUE"""),"B")</f>
        <v>B</v>
      </c>
      <c r="E1010" s="118" t="str">
        <f ca="1">IFERROR(__xludf.DUMMYFUNCTION("""COMPUTED_VALUE"""),"J")</f>
        <v>J</v>
      </c>
      <c r="F1010" s="118" t="str">
        <f ca="1">IFERROR(__xludf.DUMMYFUNCTION("""COMPUTED_VALUE"""),"I")</f>
        <v>I</v>
      </c>
      <c r="G1010" s="118">
        <f ca="1">IFERROR(__xludf.DUMMYFUNCTION("""COMPUTED_VALUE"""),2)</f>
        <v>2</v>
      </c>
      <c r="H1010" s="118" t="str">
        <f ca="1">IFERROR(__xludf.DUMMYFUNCTION("""COMPUTED_VALUE"""),"KG")</f>
        <v>KG</v>
      </c>
      <c r="I1010" s="118">
        <f ca="1">IFERROR(__xludf.DUMMYFUNCTION("""COMPUTED_VALUE"""),7)</f>
        <v>7</v>
      </c>
      <c r="J1010" s="118">
        <f ca="1">IFERROR(__xludf.DUMMYFUNCTION("""COMPUTED_VALUE"""),3)</f>
        <v>3</v>
      </c>
      <c r="K1010" s="120">
        <f ca="1">IFERROR(__xludf.DUMMYFUNCTION("""COMPUTED_VALUE"""),69)</f>
        <v>69</v>
      </c>
      <c r="L1010" s="121"/>
      <c r="M1010" s="120"/>
      <c r="N1010" s="121"/>
      <c r="O1010" s="120">
        <f ca="1">IFERROR(__xludf.DUMMYFUNCTION("""COMPUTED_VALUE"""),69)</f>
        <v>69</v>
      </c>
      <c r="P1010" s="122"/>
      <c r="Q1010" s="123"/>
      <c r="R1010" s="123"/>
      <c r="S1010" s="123" t="str">
        <f ca="1">IFERROR(__xludf.DUMMYFUNCTION("""COMPUTED_VALUE"""),"Olivia Hangval")</f>
        <v>Olivia Hangval</v>
      </c>
      <c r="T1010" s="123"/>
    </row>
    <row r="1011" spans="1:20" ht="13.8">
      <c r="A1011" s="118" t="str">
        <f ca="1">IFERROR(__xludf.DUMMYFUNCTION("""COMPUTED_VALUE"""),"KG")</f>
        <v>KG</v>
      </c>
      <c r="B1011" s="119" t="str">
        <f ca="1">IFERROR(__xludf.DUMMYFUNCTION("""COMPUTED_VALUE"""),"Lucas Moreno")</f>
        <v>Lucas Moreno</v>
      </c>
      <c r="C1011" s="118">
        <f ca="1">IFERROR(__xludf.DUMMYFUNCTION("""COMPUTED_VALUE"""),12)</f>
        <v>12</v>
      </c>
      <c r="D1011" s="118" t="str">
        <f ca="1">IFERROR(__xludf.DUMMYFUNCTION("""COMPUTED_VALUE"""),"B")</f>
        <v>B</v>
      </c>
      <c r="E1011" s="118" t="str">
        <f ca="1">IFERROR(__xludf.DUMMYFUNCTION("""COMPUTED_VALUE"""),"J")</f>
        <v>J</v>
      </c>
      <c r="F1011" s="118" t="str">
        <f ca="1">IFERROR(__xludf.DUMMYFUNCTION("""COMPUTED_VALUE"""),"I")</f>
        <v>I</v>
      </c>
      <c r="G1011" s="118">
        <f ca="1">IFERROR(__xludf.DUMMYFUNCTION("""COMPUTED_VALUE"""),2)</f>
        <v>2</v>
      </c>
      <c r="H1011" s="118" t="str">
        <f ca="1">IFERROR(__xludf.DUMMYFUNCTION("""COMPUTED_VALUE"""),"KG")</f>
        <v>KG</v>
      </c>
      <c r="I1011" s="118">
        <f ca="1">IFERROR(__xludf.DUMMYFUNCTION("""COMPUTED_VALUE"""),7)</f>
        <v>7</v>
      </c>
      <c r="J1011" s="118">
        <f ca="1">IFERROR(__xludf.DUMMYFUNCTION("""COMPUTED_VALUE"""),5)</f>
        <v>5</v>
      </c>
      <c r="K1011" s="120">
        <f ca="1">IFERROR(__xludf.DUMMYFUNCTION("""COMPUTED_VALUE"""),97.7)</f>
        <v>97.7</v>
      </c>
      <c r="L1011" s="121"/>
      <c r="M1011" s="120">
        <f ca="1">IFERROR(__xludf.DUMMYFUNCTION("""COMPUTED_VALUE"""),90.35)</f>
        <v>90.35</v>
      </c>
      <c r="N1011" s="121"/>
      <c r="O1011" s="120">
        <f ca="1">IFERROR(__xludf.DUMMYFUNCTION("""COMPUTED_VALUE"""),91.5)</f>
        <v>91.5</v>
      </c>
      <c r="P1011" s="122"/>
      <c r="Q1011" s="123"/>
      <c r="R1011" s="123"/>
      <c r="S1011" s="123" t="str">
        <f ca="1">IFERROR(__xludf.DUMMYFUNCTION("""COMPUTED_VALUE"""),"Olivia Hilliard")</f>
        <v>Olivia Hilliard</v>
      </c>
      <c r="T1011" s="123"/>
    </row>
    <row r="1012" spans="1:20" ht="13.8">
      <c r="A1012" s="118" t="str">
        <f ca="1">IFERROR(__xludf.DUMMYFUNCTION("""COMPUTED_VALUE"""),"KG")</f>
        <v>KG</v>
      </c>
      <c r="B1012" s="119" t="str">
        <f ca="1">IFERROR(__xludf.DUMMYFUNCTION("""COMPUTED_VALUE"""),"Luke Joyner")</f>
        <v>Luke Joyner</v>
      </c>
      <c r="C1012" s="118">
        <f ca="1">IFERROR(__xludf.DUMMYFUNCTION("""COMPUTED_VALUE"""),11)</f>
        <v>11</v>
      </c>
      <c r="D1012" s="118" t="str">
        <f ca="1">IFERROR(__xludf.DUMMYFUNCTION("""COMPUTED_VALUE"""),"B")</f>
        <v>B</v>
      </c>
      <c r="E1012" s="118" t="str">
        <f ca="1">IFERROR(__xludf.DUMMYFUNCTION("""COMPUTED_VALUE"""),"J")</f>
        <v>J</v>
      </c>
      <c r="F1012" s="118" t="str">
        <f ca="1">IFERROR(__xludf.DUMMYFUNCTION("""COMPUTED_VALUE"""),"I")</f>
        <v>I</v>
      </c>
      <c r="G1012" s="118">
        <f ca="1">IFERROR(__xludf.DUMMYFUNCTION("""COMPUTED_VALUE"""),2)</f>
        <v>2</v>
      </c>
      <c r="H1012" s="118" t="str">
        <f ca="1">IFERROR(__xludf.DUMMYFUNCTION("""COMPUTED_VALUE"""),"KG")</f>
        <v>KG</v>
      </c>
      <c r="I1012" s="118">
        <f ca="1">IFERROR(__xludf.DUMMYFUNCTION("""COMPUTED_VALUE"""),7)</f>
        <v>7</v>
      </c>
      <c r="J1012" s="118">
        <f ca="1">IFERROR(__xludf.DUMMYFUNCTION("""COMPUTED_VALUE"""),4)</f>
        <v>4</v>
      </c>
      <c r="K1012" s="120">
        <f ca="1">IFERROR(__xludf.DUMMYFUNCTION("""COMPUTED_VALUE"""),82.95)</f>
        <v>82.95</v>
      </c>
      <c r="L1012" s="121"/>
      <c r="M1012" s="120"/>
      <c r="N1012" s="121"/>
      <c r="O1012" s="120">
        <f ca="1">IFERROR(__xludf.DUMMYFUNCTION("""COMPUTED_VALUE"""),66.05)</f>
        <v>66.05</v>
      </c>
      <c r="P1012" s="122"/>
      <c r="Q1012" s="123"/>
      <c r="R1012" s="123"/>
      <c r="S1012" s="123" t="str">
        <f ca="1">IFERROR(__xludf.DUMMYFUNCTION("""COMPUTED_VALUE"""),"Olivia Jozefczyk")</f>
        <v>Olivia Jozefczyk</v>
      </c>
      <c r="T1012" s="123"/>
    </row>
    <row r="1013" spans="1:20" ht="13.8">
      <c r="A1013" s="118" t="str">
        <f ca="1">IFERROR(__xludf.DUMMYFUNCTION("""COMPUTED_VALUE"""),"KG")</f>
        <v>KG</v>
      </c>
      <c r="B1013" s="119" t="str">
        <f ca="1">IFERROR(__xludf.DUMMYFUNCTION("""COMPUTED_VALUE"""),"Marcus Bryan")</f>
        <v>Marcus Bryan</v>
      </c>
      <c r="C1013" s="118">
        <f ca="1">IFERROR(__xludf.DUMMYFUNCTION("""COMPUTED_VALUE"""),12)</f>
        <v>12</v>
      </c>
      <c r="D1013" s="118" t="str">
        <f ca="1">IFERROR(__xludf.DUMMYFUNCTION("""COMPUTED_VALUE"""),"B")</f>
        <v>B</v>
      </c>
      <c r="E1013" s="118" t="str">
        <f ca="1">IFERROR(__xludf.DUMMYFUNCTION("""COMPUTED_VALUE"""),"J")</f>
        <v>J</v>
      </c>
      <c r="F1013" s="118" t="str">
        <f ca="1">IFERROR(__xludf.DUMMYFUNCTION("""COMPUTED_VALUE"""),"I")</f>
        <v>I</v>
      </c>
      <c r="G1013" s="118">
        <f ca="1">IFERROR(__xludf.DUMMYFUNCTION("""COMPUTED_VALUE"""),2)</f>
        <v>2</v>
      </c>
      <c r="H1013" s="118" t="str">
        <f ca="1">IFERROR(__xludf.DUMMYFUNCTION("""COMPUTED_VALUE"""),"KG")</f>
        <v>KG</v>
      </c>
      <c r="I1013" s="118">
        <f ca="1">IFERROR(__xludf.DUMMYFUNCTION("""COMPUTED_VALUE"""),7)</f>
        <v>7</v>
      </c>
      <c r="J1013" s="118">
        <f ca="1">IFERROR(__xludf.DUMMYFUNCTION("""COMPUTED_VALUE"""),3)</f>
        <v>3</v>
      </c>
      <c r="K1013" s="120">
        <f ca="1">IFERROR(__xludf.DUMMYFUNCTION("""COMPUTED_VALUE"""),71.95)</f>
        <v>71.95</v>
      </c>
      <c r="L1013" s="121"/>
      <c r="M1013" s="120"/>
      <c r="N1013" s="121"/>
      <c r="O1013" s="120"/>
      <c r="P1013" s="122"/>
      <c r="Q1013" s="123"/>
      <c r="R1013" s="123"/>
      <c r="S1013" s="123" t="str">
        <f ca="1">IFERROR(__xludf.DUMMYFUNCTION("""COMPUTED_VALUE"""),"Olivia Risley")</f>
        <v>Olivia Risley</v>
      </c>
      <c r="T1013" s="123"/>
    </row>
    <row r="1014" spans="1:20" ht="13.8">
      <c r="A1014" s="118" t="str">
        <f ca="1">IFERROR(__xludf.DUMMYFUNCTION("""COMPUTED_VALUE"""),"KG")</f>
        <v>KG</v>
      </c>
      <c r="B1014" s="119" t="str">
        <f ca="1">IFERROR(__xludf.DUMMYFUNCTION("""COMPUTED_VALUE"""),"Iris Aiken")</f>
        <v>Iris Aiken</v>
      </c>
      <c r="C1014" s="118">
        <f ca="1">IFERROR(__xludf.DUMMYFUNCTION("""COMPUTED_VALUE"""),14)</f>
        <v>14</v>
      </c>
      <c r="D1014" s="118" t="str">
        <f ca="1">IFERROR(__xludf.DUMMYFUNCTION("""COMPUTED_VALUE"""),"G")</f>
        <v>G</v>
      </c>
      <c r="E1014" s="118" t="str">
        <f ca="1">IFERROR(__xludf.DUMMYFUNCTION("""COMPUTED_VALUE"""),"I")</f>
        <v>I</v>
      </c>
      <c r="F1014" s="118" t="str">
        <f ca="1">IFERROR(__xludf.DUMMYFUNCTION("""COMPUTED_VALUE"""),"S")</f>
        <v>S</v>
      </c>
      <c r="G1014" s="118">
        <f ca="1">IFERROR(__xludf.DUMMYFUNCTION("""COMPUTED_VALUE"""),2)</f>
        <v>2</v>
      </c>
      <c r="H1014" s="118" t="str">
        <f ca="1">IFERROR(__xludf.DUMMYFUNCTION("""COMPUTED_VALUE"""),"KG")</f>
        <v>KG</v>
      </c>
      <c r="I1014" s="118">
        <f ca="1">IFERROR(__xludf.DUMMYFUNCTION("""COMPUTED_VALUE"""),8)</f>
        <v>8</v>
      </c>
      <c r="J1014" s="118">
        <f ca="1">IFERROR(__xludf.DUMMYFUNCTION("""COMPUTED_VALUE"""),3)</f>
        <v>3</v>
      </c>
      <c r="K1014" s="120">
        <f ca="1">IFERROR(__xludf.DUMMYFUNCTION("""COMPUTED_VALUE"""),74)</f>
        <v>74</v>
      </c>
      <c r="L1014" s="121"/>
      <c r="M1014" s="120"/>
      <c r="N1014" s="121"/>
      <c r="O1014" s="120">
        <f ca="1">IFERROR(__xludf.DUMMYFUNCTION("""COMPUTED_VALUE"""),59.1)</f>
        <v>59.1</v>
      </c>
      <c r="P1014" s="122"/>
      <c r="Q1014" s="123"/>
      <c r="R1014" s="123"/>
      <c r="S1014" s="123" t="str">
        <f ca="1">IFERROR(__xludf.DUMMYFUNCTION("""COMPUTED_VALUE"""),"Olivia Roca")</f>
        <v>Olivia Roca</v>
      </c>
      <c r="T1014" s="123"/>
    </row>
    <row r="1015" spans="1:20" ht="13.8">
      <c r="A1015" s="118" t="str">
        <f ca="1">IFERROR(__xludf.DUMMYFUNCTION("""COMPUTED_VALUE"""),"KG")</f>
        <v>KG</v>
      </c>
      <c r="B1015" s="119" t="str">
        <f ca="1">IFERROR(__xludf.DUMMYFUNCTION("""COMPUTED_VALUE"""),"Isabel Pereira")</f>
        <v>Isabel Pereira</v>
      </c>
      <c r="C1015" s="118">
        <f ca="1">IFERROR(__xludf.DUMMYFUNCTION("""COMPUTED_VALUE"""),14)</f>
        <v>14</v>
      </c>
      <c r="D1015" s="118" t="str">
        <f ca="1">IFERROR(__xludf.DUMMYFUNCTION("""COMPUTED_VALUE"""),"G")</f>
        <v>G</v>
      </c>
      <c r="E1015" s="118" t="str">
        <f ca="1">IFERROR(__xludf.DUMMYFUNCTION("""COMPUTED_VALUE"""),"I")</f>
        <v>I</v>
      </c>
      <c r="F1015" s="118" t="str">
        <f ca="1">IFERROR(__xludf.DUMMYFUNCTION("""COMPUTED_VALUE"""),"S")</f>
        <v>S</v>
      </c>
      <c r="G1015" s="118">
        <f ca="1">IFERROR(__xludf.DUMMYFUNCTION("""COMPUTED_VALUE"""),2)</f>
        <v>2</v>
      </c>
      <c r="H1015" s="118" t="str">
        <f ca="1">IFERROR(__xludf.DUMMYFUNCTION("""COMPUTED_VALUE"""),"KG")</f>
        <v>KG</v>
      </c>
      <c r="I1015" s="118">
        <f ca="1">IFERROR(__xludf.DUMMYFUNCTION("""COMPUTED_VALUE"""),8)</f>
        <v>8</v>
      </c>
      <c r="J1015" s="118">
        <f ca="1">IFERROR(__xludf.DUMMYFUNCTION("""COMPUTED_VALUE"""),4)</f>
        <v>4</v>
      </c>
      <c r="K1015" s="120">
        <f ca="1">IFERROR(__xludf.DUMMYFUNCTION("""COMPUTED_VALUE"""),112.65)</f>
        <v>112.65</v>
      </c>
      <c r="L1015" s="121"/>
      <c r="M1015" s="120">
        <f ca="1">IFERROR(__xludf.DUMMYFUNCTION("""COMPUTED_VALUE"""),100)</f>
        <v>100</v>
      </c>
      <c r="N1015" s="121"/>
      <c r="O1015" s="120">
        <f ca="1">IFERROR(__xludf.DUMMYFUNCTION("""COMPUTED_VALUE"""),112.65)</f>
        <v>112.65</v>
      </c>
      <c r="P1015" s="122"/>
      <c r="Q1015" s="123"/>
      <c r="R1015" s="123"/>
      <c r="S1015" s="123" t="str">
        <f ca="1">IFERROR(__xludf.DUMMYFUNCTION("""COMPUTED_VALUE"""),"Olivia Swatt")</f>
        <v>Olivia Swatt</v>
      </c>
      <c r="T1015" s="123"/>
    </row>
    <row r="1016" spans="1:20" ht="13.8">
      <c r="A1016" s="118" t="str">
        <f ca="1">IFERROR(__xludf.DUMMYFUNCTION("""COMPUTED_VALUE"""),"KG")</f>
        <v>KG</v>
      </c>
      <c r="B1016" s="119" t="str">
        <f ca="1">IFERROR(__xludf.DUMMYFUNCTION("""COMPUTED_VALUE"""),"Gavan Nasr")</f>
        <v>Gavan Nasr</v>
      </c>
      <c r="C1016" s="118">
        <f ca="1">IFERROR(__xludf.DUMMYFUNCTION("""COMPUTED_VALUE"""),13)</f>
        <v>13</v>
      </c>
      <c r="D1016" s="118" t="str">
        <f ca="1">IFERROR(__xludf.DUMMYFUNCTION("""COMPUTED_VALUE"""),"B")</f>
        <v>B</v>
      </c>
      <c r="E1016" s="118" t="str">
        <f ca="1">IFERROR(__xludf.DUMMYFUNCTION("""COMPUTED_VALUE"""),"I")</f>
        <v>I</v>
      </c>
      <c r="F1016" s="118" t="str">
        <f ca="1">IFERROR(__xludf.DUMMYFUNCTION("""COMPUTED_VALUE"""),"S")</f>
        <v>S</v>
      </c>
      <c r="G1016" s="118">
        <f ca="1">IFERROR(__xludf.DUMMYFUNCTION("""COMPUTED_VALUE"""),2)</f>
        <v>2</v>
      </c>
      <c r="H1016" s="118" t="str">
        <f ca="1">IFERROR(__xludf.DUMMYFUNCTION("""COMPUTED_VALUE"""),"KG")</f>
        <v>KG</v>
      </c>
      <c r="I1016" s="118">
        <f ca="1">IFERROR(__xludf.DUMMYFUNCTION("""COMPUTED_VALUE"""),9)</f>
        <v>9</v>
      </c>
      <c r="J1016" s="118">
        <f ca="1">IFERROR(__xludf.DUMMYFUNCTION("""COMPUTED_VALUE"""),4)</f>
        <v>4</v>
      </c>
      <c r="K1016" s="120">
        <f ca="1">IFERROR(__xludf.DUMMYFUNCTION("""COMPUTED_VALUE"""),128.2)</f>
        <v>128.19999999999999</v>
      </c>
      <c r="L1016" s="121"/>
      <c r="M1016" s="120"/>
      <c r="N1016" s="121"/>
      <c r="O1016" s="120">
        <f ca="1">IFERROR(__xludf.DUMMYFUNCTION("""COMPUTED_VALUE"""),117.85)</f>
        <v>117.85</v>
      </c>
      <c r="P1016" s="122"/>
      <c r="Q1016" s="123"/>
      <c r="R1016" s="123"/>
      <c r="S1016" s="123" t="str">
        <f ca="1">IFERROR(__xludf.DUMMYFUNCTION("""COMPUTED_VALUE"""),"Olivia Tighe")</f>
        <v>Olivia Tighe</v>
      </c>
      <c r="T1016" s="123"/>
    </row>
    <row r="1017" spans="1:20" ht="13.8">
      <c r="A1017" s="118" t="str">
        <f ca="1">IFERROR(__xludf.DUMMYFUNCTION("""COMPUTED_VALUE"""),"KG")</f>
        <v>KG</v>
      </c>
      <c r="B1017" s="119" t="str">
        <f ca="1">IFERROR(__xludf.DUMMYFUNCTION("""COMPUTED_VALUE"""),"Henry Phoel")</f>
        <v>Henry Phoel</v>
      </c>
      <c r="C1017" s="118">
        <f ca="1">IFERROR(__xludf.DUMMYFUNCTION("""COMPUTED_VALUE"""),14)</f>
        <v>14</v>
      </c>
      <c r="D1017" s="118" t="str">
        <f ca="1">IFERROR(__xludf.DUMMYFUNCTION("""COMPUTED_VALUE"""),"B")</f>
        <v>B</v>
      </c>
      <c r="E1017" s="118" t="str">
        <f ca="1">IFERROR(__xludf.DUMMYFUNCTION("""COMPUTED_VALUE"""),"I")</f>
        <v>I</v>
      </c>
      <c r="F1017" s="118" t="str">
        <f ca="1">IFERROR(__xludf.DUMMYFUNCTION("""COMPUTED_VALUE"""),"S")</f>
        <v>S</v>
      </c>
      <c r="G1017" s="118">
        <f ca="1">IFERROR(__xludf.DUMMYFUNCTION("""COMPUTED_VALUE"""),2)</f>
        <v>2</v>
      </c>
      <c r="H1017" s="118" t="str">
        <f ca="1">IFERROR(__xludf.DUMMYFUNCTION("""COMPUTED_VALUE"""),"KG")</f>
        <v>KG</v>
      </c>
      <c r="I1017" s="118">
        <f ca="1">IFERROR(__xludf.DUMMYFUNCTION("""COMPUTED_VALUE"""),9)</f>
        <v>9</v>
      </c>
      <c r="J1017" s="118">
        <f ca="1">IFERROR(__xludf.DUMMYFUNCTION("""COMPUTED_VALUE"""),4)</f>
        <v>4</v>
      </c>
      <c r="K1017" s="120">
        <f ca="1">IFERROR(__xludf.DUMMYFUNCTION("""COMPUTED_VALUE"""),119.5)</f>
        <v>119.5</v>
      </c>
      <c r="L1017" s="121"/>
      <c r="M1017" s="120"/>
      <c r="N1017" s="121"/>
      <c r="O1017" s="120">
        <f ca="1">IFERROR(__xludf.DUMMYFUNCTION("""COMPUTED_VALUE"""),105.95)</f>
        <v>105.95</v>
      </c>
      <c r="P1017" s="122"/>
      <c r="Q1017" s="123"/>
      <c r="R1017" s="123"/>
      <c r="S1017" s="123" t="str">
        <f ca="1">IFERROR(__xludf.DUMMYFUNCTION("""COMPUTED_VALUE"""),"Olivia Verdi")</f>
        <v>Olivia Verdi</v>
      </c>
      <c r="T1017" s="123"/>
    </row>
    <row r="1018" spans="1:20" ht="13.8">
      <c r="A1018" s="118" t="str">
        <f ca="1">IFERROR(__xludf.DUMMYFUNCTION("""COMPUTED_VALUE"""),"KG")</f>
        <v>KG</v>
      </c>
      <c r="B1018" s="119" t="str">
        <f ca="1">IFERROR(__xludf.DUMMYFUNCTION("""COMPUTED_VALUE"""),"Nathan Lucas")</f>
        <v>Nathan Lucas</v>
      </c>
      <c r="C1018" s="118">
        <f ca="1">IFERROR(__xludf.DUMMYFUNCTION("""COMPUTED_VALUE"""),13)</f>
        <v>13</v>
      </c>
      <c r="D1018" s="118" t="str">
        <f ca="1">IFERROR(__xludf.DUMMYFUNCTION("""COMPUTED_VALUE"""),"B")</f>
        <v>B</v>
      </c>
      <c r="E1018" s="118" t="str">
        <f ca="1">IFERROR(__xludf.DUMMYFUNCTION("""COMPUTED_VALUE"""),"I")</f>
        <v>I</v>
      </c>
      <c r="F1018" s="118" t="str">
        <f ca="1">IFERROR(__xludf.DUMMYFUNCTION("""COMPUTED_VALUE"""),"S")</f>
        <v>S</v>
      </c>
      <c r="G1018" s="118">
        <f ca="1">IFERROR(__xludf.DUMMYFUNCTION("""COMPUTED_VALUE"""),2)</f>
        <v>2</v>
      </c>
      <c r="H1018" s="118" t="str">
        <f ca="1">IFERROR(__xludf.DUMMYFUNCTION("""COMPUTED_VALUE"""),"KG")</f>
        <v>KG</v>
      </c>
      <c r="I1018" s="118">
        <f ca="1">IFERROR(__xludf.DUMMYFUNCTION("""COMPUTED_VALUE"""),9)</f>
        <v>9</v>
      </c>
      <c r="J1018" s="118">
        <f ca="1">IFERROR(__xludf.DUMMYFUNCTION("""COMPUTED_VALUE"""),1)</f>
        <v>1</v>
      </c>
      <c r="K1018" s="120">
        <f ca="1">IFERROR(__xludf.DUMMYFUNCTION("""COMPUTED_VALUE"""),86.45)</f>
        <v>86.45</v>
      </c>
      <c r="L1018" s="121"/>
      <c r="M1018" s="120">
        <f ca="1">IFERROR(__xludf.DUMMYFUNCTION("""COMPUTED_VALUE"""),86.45)</f>
        <v>86.45</v>
      </c>
      <c r="N1018" s="121"/>
      <c r="O1018" s="120"/>
      <c r="P1018" s="122"/>
      <c r="Q1018" s="123"/>
      <c r="R1018" s="123"/>
      <c r="S1018" s="123" t="str">
        <f ca="1">IFERROR(__xludf.DUMMYFUNCTION("""COMPUTED_VALUE"""),"Olivia Wisecarver")</f>
        <v>Olivia Wisecarver</v>
      </c>
      <c r="T1018" s="123"/>
    </row>
    <row r="1019" spans="1:20" ht="13.8">
      <c r="A1019" s="118" t="str">
        <f ca="1">IFERROR(__xludf.DUMMYFUNCTION("""COMPUTED_VALUE"""),"KG")</f>
        <v>KG</v>
      </c>
      <c r="B1019" s="119" t="str">
        <f ca="1">IFERROR(__xludf.DUMMYFUNCTION("""COMPUTED_VALUE"""),"Reagan Diaz")</f>
        <v>Reagan Diaz</v>
      </c>
      <c r="C1019" s="118">
        <f ca="1">IFERROR(__xludf.DUMMYFUNCTION("""COMPUTED_VALUE"""),13)</f>
        <v>13</v>
      </c>
      <c r="D1019" s="118" t="str">
        <f ca="1">IFERROR(__xludf.DUMMYFUNCTION("""COMPUTED_VALUE"""),"B")</f>
        <v>B</v>
      </c>
      <c r="E1019" s="118" t="str">
        <f ca="1">IFERROR(__xludf.DUMMYFUNCTION("""COMPUTED_VALUE"""),"I")</f>
        <v>I</v>
      </c>
      <c r="F1019" s="118" t="str">
        <f ca="1">IFERROR(__xludf.DUMMYFUNCTION("""COMPUTED_VALUE"""),"S")</f>
        <v>S</v>
      </c>
      <c r="G1019" s="118">
        <f ca="1">IFERROR(__xludf.DUMMYFUNCTION("""COMPUTED_VALUE"""),2)</f>
        <v>2</v>
      </c>
      <c r="H1019" s="118" t="str">
        <f ca="1">IFERROR(__xludf.DUMMYFUNCTION("""COMPUTED_VALUE"""),"KG")</f>
        <v>KG</v>
      </c>
      <c r="I1019" s="118">
        <f ca="1">IFERROR(__xludf.DUMMYFUNCTION("""COMPUTED_VALUE"""),9)</f>
        <v>9</v>
      </c>
      <c r="J1019" s="118">
        <f ca="1">IFERROR(__xludf.DUMMYFUNCTION("""COMPUTED_VALUE"""),1)</f>
        <v>1</v>
      </c>
      <c r="K1019" s="120"/>
      <c r="L1019" s="121"/>
      <c r="M1019" s="120"/>
      <c r="N1019" s="121"/>
      <c r="O1019" s="120"/>
      <c r="P1019" s="122"/>
      <c r="Q1019" s="123"/>
      <c r="R1019" s="123"/>
      <c r="S1019" s="123" t="str">
        <f ca="1">IFERROR(__xludf.DUMMYFUNCTION("""COMPUTED_VALUE"""),"Orla Powles")</f>
        <v>Orla Powles</v>
      </c>
      <c r="T1019" s="123"/>
    </row>
    <row r="1020" spans="1:20" ht="13.8">
      <c r="A1020" s="118" t="str">
        <f ca="1">IFERROR(__xludf.DUMMYFUNCTION("""COMPUTED_VALUE"""),"KG")</f>
        <v>KG</v>
      </c>
      <c r="B1020" s="119" t="str">
        <f ca="1">IFERROR(__xludf.DUMMYFUNCTION("""COMPUTED_VALUE"""),"Cate Lawler")</f>
        <v>Cate Lawler</v>
      </c>
      <c r="C1020" s="118">
        <f ca="1">IFERROR(__xludf.DUMMYFUNCTION("""COMPUTED_VALUE"""),15)</f>
        <v>15</v>
      </c>
      <c r="D1020" s="118" t="str">
        <f ca="1">IFERROR(__xludf.DUMMYFUNCTION("""COMPUTED_VALUE"""),"G")</f>
        <v>G</v>
      </c>
      <c r="E1020" s="118" t="str">
        <f ca="1">IFERROR(__xludf.DUMMYFUNCTION("""COMPUTED_VALUE"""),"S")</f>
        <v>S</v>
      </c>
      <c r="F1020" s="118" t="str">
        <f ca="1">IFERROR(__xludf.DUMMYFUNCTION("""COMPUTED_VALUE"""),"S")</f>
        <v>S</v>
      </c>
      <c r="G1020" s="118">
        <f ca="1">IFERROR(__xludf.DUMMYFUNCTION("""COMPUTED_VALUE"""),2)</f>
        <v>2</v>
      </c>
      <c r="H1020" s="118" t="str">
        <f ca="1">IFERROR(__xludf.DUMMYFUNCTION("""COMPUTED_VALUE"""),"KG")</f>
        <v>KG</v>
      </c>
      <c r="I1020" s="118">
        <f ca="1">IFERROR(__xludf.DUMMYFUNCTION("""COMPUTED_VALUE"""),10)</f>
        <v>10</v>
      </c>
      <c r="J1020" s="118">
        <f ca="1">IFERROR(__xludf.DUMMYFUNCTION("""COMPUTED_VALUE"""),5)</f>
        <v>5</v>
      </c>
      <c r="K1020" s="120">
        <f ca="1">IFERROR(__xludf.DUMMYFUNCTION("""COMPUTED_VALUE"""),196)</f>
        <v>196</v>
      </c>
      <c r="L1020" s="121"/>
      <c r="M1020" s="120">
        <f ca="1">IFERROR(__xludf.DUMMYFUNCTION("""COMPUTED_VALUE"""),196)</f>
        <v>196</v>
      </c>
      <c r="N1020" s="121"/>
      <c r="O1020" s="120">
        <f ca="1">IFERROR(__xludf.DUMMYFUNCTION("""COMPUTED_VALUE"""),173.2)</f>
        <v>173.2</v>
      </c>
      <c r="P1020" s="122"/>
      <c r="Q1020" s="123"/>
      <c r="R1020" s="123"/>
      <c r="S1020" s="123" t="str">
        <f ca="1">IFERROR(__xludf.DUMMYFUNCTION("""COMPUTED_VALUE"""),"Orley Allsbrook")</f>
        <v>Orley Allsbrook</v>
      </c>
      <c r="T1020" s="123"/>
    </row>
    <row r="1021" spans="1:20" ht="13.8">
      <c r="A1021" s="118" t="str">
        <f ca="1">IFERROR(__xludf.DUMMYFUNCTION("""COMPUTED_VALUE"""),"KG")</f>
        <v>KG</v>
      </c>
      <c r="B1021" s="119" t="str">
        <f ca="1">IFERROR(__xludf.DUMMYFUNCTION("""COMPUTED_VALUE"""),"Catherine Ayers")</f>
        <v>Catherine Ayers</v>
      </c>
      <c r="C1021" s="118">
        <f ca="1">IFERROR(__xludf.DUMMYFUNCTION("""COMPUTED_VALUE"""),15)</f>
        <v>15</v>
      </c>
      <c r="D1021" s="118" t="str">
        <f ca="1">IFERROR(__xludf.DUMMYFUNCTION("""COMPUTED_VALUE"""),"G")</f>
        <v>G</v>
      </c>
      <c r="E1021" s="118" t="str">
        <f ca="1">IFERROR(__xludf.DUMMYFUNCTION("""COMPUTED_VALUE"""),"S")</f>
        <v>S</v>
      </c>
      <c r="F1021" s="118" t="str">
        <f ca="1">IFERROR(__xludf.DUMMYFUNCTION("""COMPUTED_VALUE"""),"S")</f>
        <v>S</v>
      </c>
      <c r="G1021" s="118">
        <f ca="1">IFERROR(__xludf.DUMMYFUNCTION("""COMPUTED_VALUE"""),2)</f>
        <v>2</v>
      </c>
      <c r="H1021" s="118" t="str">
        <f ca="1">IFERROR(__xludf.DUMMYFUNCTION("""COMPUTED_VALUE"""),"KG")</f>
        <v>KG</v>
      </c>
      <c r="I1021" s="118">
        <f ca="1">IFERROR(__xludf.DUMMYFUNCTION("""COMPUTED_VALUE"""),10)</f>
        <v>10</v>
      </c>
      <c r="J1021" s="118">
        <f ca="1">IFERROR(__xludf.DUMMYFUNCTION("""COMPUTED_VALUE"""),2)</f>
        <v>2</v>
      </c>
      <c r="K1021" s="120">
        <f ca="1">IFERROR(__xludf.DUMMYFUNCTION("""COMPUTED_VALUE"""),164.75)</f>
        <v>164.75</v>
      </c>
      <c r="L1021" s="121"/>
      <c r="M1021" s="120"/>
      <c r="N1021" s="121"/>
      <c r="O1021" s="120"/>
      <c r="P1021" s="122"/>
      <c r="Q1021" s="123"/>
      <c r="R1021" s="123"/>
      <c r="S1021" s="123" t="str">
        <f ca="1">IFERROR(__xludf.DUMMYFUNCTION("""COMPUTED_VALUE"""),"Paige Lobue")</f>
        <v>Paige Lobue</v>
      </c>
      <c r="T1021" s="123"/>
    </row>
    <row r="1022" spans="1:20" ht="13.8">
      <c r="A1022" s="118" t="str">
        <f ca="1">IFERROR(__xludf.DUMMYFUNCTION("""COMPUTED_VALUE"""),"KG")</f>
        <v>KG</v>
      </c>
      <c r="B1022" s="119" t="str">
        <f ca="1">IFERROR(__xludf.DUMMYFUNCTION("""COMPUTED_VALUE"""),"Francesca Pereira")</f>
        <v>Francesca Pereira</v>
      </c>
      <c r="C1022" s="118">
        <f ca="1">IFERROR(__xludf.DUMMYFUNCTION("""COMPUTED_VALUE"""),16)</f>
        <v>16</v>
      </c>
      <c r="D1022" s="118" t="str">
        <f ca="1">IFERROR(__xludf.DUMMYFUNCTION("""COMPUTED_VALUE"""),"G")</f>
        <v>G</v>
      </c>
      <c r="E1022" s="118" t="str">
        <f ca="1">IFERROR(__xludf.DUMMYFUNCTION("""COMPUTED_VALUE"""),"S")</f>
        <v>S</v>
      </c>
      <c r="F1022" s="118" t="str">
        <f ca="1">IFERROR(__xludf.DUMMYFUNCTION("""COMPUTED_VALUE"""),"S")</f>
        <v>S</v>
      </c>
      <c r="G1022" s="118">
        <f ca="1">IFERROR(__xludf.DUMMYFUNCTION("""COMPUTED_VALUE"""),2)</f>
        <v>2</v>
      </c>
      <c r="H1022" s="118" t="str">
        <f ca="1">IFERROR(__xludf.DUMMYFUNCTION("""COMPUTED_VALUE"""),"KG")</f>
        <v>KG</v>
      </c>
      <c r="I1022" s="118">
        <f ca="1">IFERROR(__xludf.DUMMYFUNCTION("""COMPUTED_VALUE"""),10)</f>
        <v>10</v>
      </c>
      <c r="J1022" s="118">
        <f ca="1">IFERROR(__xludf.DUMMYFUNCTION("""COMPUTED_VALUE"""),3)</f>
        <v>3</v>
      </c>
      <c r="K1022" s="120">
        <f ca="1">IFERROR(__xludf.DUMMYFUNCTION("""COMPUTED_VALUE"""),190.6)</f>
        <v>190.6</v>
      </c>
      <c r="L1022" s="121"/>
      <c r="M1022" s="120">
        <f ca="1">IFERROR(__xludf.DUMMYFUNCTION("""COMPUTED_VALUE"""),190.6)</f>
        <v>190.6</v>
      </c>
      <c r="N1022" s="121"/>
      <c r="O1022" s="120"/>
      <c r="P1022" s="122"/>
      <c r="Q1022" s="123"/>
      <c r="R1022" s="123"/>
      <c r="S1022" s="123" t="str">
        <f ca="1">IFERROR(__xludf.DUMMYFUNCTION("""COMPUTED_VALUE"""),"Paige Randall")</f>
        <v>Paige Randall</v>
      </c>
      <c r="T1022" s="123"/>
    </row>
    <row r="1023" spans="1:20" ht="13.8">
      <c r="A1023" s="118" t="str">
        <f ca="1">IFERROR(__xludf.DUMMYFUNCTION("""COMPUTED_VALUE"""),"KG")</f>
        <v>KG</v>
      </c>
      <c r="B1023" s="119" t="str">
        <f ca="1">IFERROR(__xludf.DUMMYFUNCTION("""COMPUTED_VALUE"""),"Jasmine Lassman")</f>
        <v>Jasmine Lassman</v>
      </c>
      <c r="C1023" s="118">
        <f ca="1">IFERROR(__xludf.DUMMYFUNCTION("""COMPUTED_VALUE"""),17)</f>
        <v>17</v>
      </c>
      <c r="D1023" s="118" t="str">
        <f ca="1">IFERROR(__xludf.DUMMYFUNCTION("""COMPUTED_VALUE"""),"G")</f>
        <v>G</v>
      </c>
      <c r="E1023" s="118" t="str">
        <f ca="1">IFERROR(__xludf.DUMMYFUNCTION("""COMPUTED_VALUE"""),"S")</f>
        <v>S</v>
      </c>
      <c r="F1023" s="118" t="str">
        <f ca="1">IFERROR(__xludf.DUMMYFUNCTION("""COMPUTED_VALUE"""),"S")</f>
        <v>S</v>
      </c>
      <c r="G1023" s="118">
        <f ca="1">IFERROR(__xludf.DUMMYFUNCTION("""COMPUTED_VALUE"""),2)</f>
        <v>2</v>
      </c>
      <c r="H1023" s="118" t="str">
        <f ca="1">IFERROR(__xludf.DUMMYFUNCTION("""COMPUTED_VALUE"""),"KG")</f>
        <v>KG</v>
      </c>
      <c r="I1023" s="118">
        <f ca="1">IFERROR(__xludf.DUMMYFUNCTION("""COMPUTED_VALUE"""),10)</f>
        <v>10</v>
      </c>
      <c r="J1023" s="118">
        <f ca="1">IFERROR(__xludf.DUMMYFUNCTION("""COMPUTED_VALUE"""),4)</f>
        <v>4</v>
      </c>
      <c r="K1023" s="120">
        <f ca="1">IFERROR(__xludf.DUMMYFUNCTION("""COMPUTED_VALUE"""),114.25)</f>
        <v>114.25</v>
      </c>
      <c r="L1023" s="121"/>
      <c r="M1023" s="120">
        <f ca="1">IFERROR(__xludf.DUMMYFUNCTION("""COMPUTED_VALUE"""),114.25)</f>
        <v>114.25</v>
      </c>
      <c r="N1023" s="121"/>
      <c r="O1023" s="120">
        <f ca="1">IFERROR(__xludf.DUMMYFUNCTION("""COMPUTED_VALUE"""),112.95)</f>
        <v>112.95</v>
      </c>
      <c r="P1023" s="122"/>
      <c r="Q1023" s="123"/>
      <c r="R1023" s="123"/>
      <c r="S1023" s="123" t="str">
        <f ca="1">IFERROR(__xludf.DUMMYFUNCTION("""COMPUTED_VALUE"""),"Paige Shelton")</f>
        <v>Paige Shelton</v>
      </c>
      <c r="T1023" s="123"/>
    </row>
    <row r="1024" spans="1:20" ht="13.8">
      <c r="A1024" s="118" t="str">
        <f ca="1">IFERROR(__xludf.DUMMYFUNCTION("""COMPUTED_VALUE"""),"KG")</f>
        <v>KG</v>
      </c>
      <c r="B1024" s="119" t="str">
        <f ca="1">IFERROR(__xludf.DUMMYFUNCTION("""COMPUTED_VALUE"""),"Jocelyn Brooks")</f>
        <v>Jocelyn Brooks</v>
      </c>
      <c r="C1024" s="118">
        <f ca="1">IFERROR(__xludf.DUMMYFUNCTION("""COMPUTED_VALUE"""),18)</f>
        <v>18</v>
      </c>
      <c r="D1024" s="118" t="str">
        <f ca="1">IFERROR(__xludf.DUMMYFUNCTION("""COMPUTED_VALUE"""),"G")</f>
        <v>G</v>
      </c>
      <c r="E1024" s="118" t="str">
        <f ca="1">IFERROR(__xludf.DUMMYFUNCTION("""COMPUTED_VALUE"""),"S")</f>
        <v>S</v>
      </c>
      <c r="F1024" s="118" t="str">
        <f ca="1">IFERROR(__xludf.DUMMYFUNCTION("""COMPUTED_VALUE"""),"S")</f>
        <v>S</v>
      </c>
      <c r="G1024" s="118">
        <f ca="1">IFERROR(__xludf.DUMMYFUNCTION("""COMPUTED_VALUE"""),2)</f>
        <v>2</v>
      </c>
      <c r="H1024" s="118" t="str">
        <f ca="1">IFERROR(__xludf.DUMMYFUNCTION("""COMPUTED_VALUE"""),"KG")</f>
        <v>KG</v>
      </c>
      <c r="I1024" s="118">
        <f ca="1">IFERROR(__xludf.DUMMYFUNCTION("""COMPUTED_VALUE"""),10)</f>
        <v>10</v>
      </c>
      <c r="J1024" s="118">
        <f ca="1">IFERROR(__xludf.DUMMYFUNCTION("""COMPUTED_VALUE"""),5)</f>
        <v>5</v>
      </c>
      <c r="K1024" s="120">
        <f ca="1">IFERROR(__xludf.DUMMYFUNCTION("""COMPUTED_VALUE"""),224)</f>
        <v>224</v>
      </c>
      <c r="L1024" s="121"/>
      <c r="M1024" s="120">
        <f ca="1">IFERROR(__xludf.DUMMYFUNCTION("""COMPUTED_VALUE"""),193.15)</f>
        <v>193.15</v>
      </c>
      <c r="N1024" s="121"/>
      <c r="O1024" s="120">
        <f ca="1">IFERROR(__xludf.DUMMYFUNCTION("""COMPUTED_VALUE"""),224)</f>
        <v>224</v>
      </c>
      <c r="P1024" s="122"/>
      <c r="Q1024" s="123"/>
      <c r="R1024" s="123"/>
      <c r="S1024" s="123" t="str">
        <f ca="1">IFERROR(__xludf.DUMMYFUNCTION("""COMPUTED_VALUE"""),"Paisley Wilkins")</f>
        <v>Paisley Wilkins</v>
      </c>
      <c r="T1024" s="123"/>
    </row>
    <row r="1025" spans="1:20" ht="13.8">
      <c r="A1025" s="118" t="str">
        <f ca="1">IFERROR(__xludf.DUMMYFUNCTION("""COMPUTED_VALUE"""),"KG")</f>
        <v>KG</v>
      </c>
      <c r="B1025" s="119" t="str">
        <f ca="1">IFERROR(__xludf.DUMMYFUNCTION("""COMPUTED_VALUE"""),"Kate Li")</f>
        <v>Kate Li</v>
      </c>
      <c r="C1025" s="118">
        <f ca="1">IFERROR(__xludf.DUMMYFUNCTION("""COMPUTED_VALUE"""),17)</f>
        <v>17</v>
      </c>
      <c r="D1025" s="118" t="str">
        <f ca="1">IFERROR(__xludf.DUMMYFUNCTION("""COMPUTED_VALUE"""),"G")</f>
        <v>G</v>
      </c>
      <c r="E1025" s="118" t="str">
        <f ca="1">IFERROR(__xludf.DUMMYFUNCTION("""COMPUTED_VALUE"""),"S")</f>
        <v>S</v>
      </c>
      <c r="F1025" s="118" t="str">
        <f ca="1">IFERROR(__xludf.DUMMYFUNCTION("""COMPUTED_VALUE"""),"S")</f>
        <v>S</v>
      </c>
      <c r="G1025" s="118">
        <f ca="1">IFERROR(__xludf.DUMMYFUNCTION("""COMPUTED_VALUE"""),2)</f>
        <v>2</v>
      </c>
      <c r="H1025" s="118" t="str">
        <f ca="1">IFERROR(__xludf.DUMMYFUNCTION("""COMPUTED_VALUE"""),"KG")</f>
        <v>KG</v>
      </c>
      <c r="I1025" s="118">
        <f ca="1">IFERROR(__xludf.DUMMYFUNCTION("""COMPUTED_VALUE"""),10)</f>
        <v>10</v>
      </c>
      <c r="J1025" s="118">
        <f ca="1">IFERROR(__xludf.DUMMYFUNCTION("""COMPUTED_VALUE"""),1)</f>
        <v>1</v>
      </c>
      <c r="K1025" s="120">
        <f ca="1">IFERROR(__xludf.DUMMYFUNCTION("""COMPUTED_VALUE"""),195.85)</f>
        <v>195.85</v>
      </c>
      <c r="L1025" s="121"/>
      <c r="M1025" s="120"/>
      <c r="N1025" s="121"/>
      <c r="O1025" s="120">
        <f ca="1">IFERROR(__xludf.DUMMYFUNCTION("""COMPUTED_VALUE"""),195.85)</f>
        <v>195.85</v>
      </c>
      <c r="P1025" s="122"/>
      <c r="Q1025" s="123"/>
      <c r="R1025" s="123"/>
      <c r="S1025" s="123" t="str">
        <f ca="1">IFERROR(__xludf.DUMMYFUNCTION("""COMPUTED_VALUE"""),"Parker Domnitch")</f>
        <v>Parker Domnitch</v>
      </c>
      <c r="T1025" s="123"/>
    </row>
    <row r="1026" spans="1:20" ht="13.8">
      <c r="A1026" s="118" t="str">
        <f ca="1">IFERROR(__xludf.DUMMYFUNCTION("""COMPUTED_VALUE"""),"KG")</f>
        <v>KG</v>
      </c>
      <c r="B1026" s="119" t="str">
        <f ca="1">IFERROR(__xludf.DUMMYFUNCTION("""COMPUTED_VALUE"""),"Liyat Amman")</f>
        <v>Liyat Amman</v>
      </c>
      <c r="C1026" s="118">
        <f ca="1">IFERROR(__xludf.DUMMYFUNCTION("""COMPUTED_VALUE"""),16)</f>
        <v>16</v>
      </c>
      <c r="D1026" s="118" t="str">
        <f ca="1">IFERROR(__xludf.DUMMYFUNCTION("""COMPUTED_VALUE"""),"G")</f>
        <v>G</v>
      </c>
      <c r="E1026" s="118" t="str">
        <f ca="1">IFERROR(__xludf.DUMMYFUNCTION("""COMPUTED_VALUE"""),"S")</f>
        <v>S</v>
      </c>
      <c r="F1026" s="118" t="str">
        <f ca="1">IFERROR(__xludf.DUMMYFUNCTION("""COMPUTED_VALUE"""),"S")</f>
        <v>S</v>
      </c>
      <c r="G1026" s="118">
        <f ca="1">IFERROR(__xludf.DUMMYFUNCTION("""COMPUTED_VALUE"""),2)</f>
        <v>2</v>
      </c>
      <c r="H1026" s="118" t="str">
        <f ca="1">IFERROR(__xludf.DUMMYFUNCTION("""COMPUTED_VALUE"""),"KG")</f>
        <v>KG</v>
      </c>
      <c r="I1026" s="118">
        <f ca="1">IFERROR(__xludf.DUMMYFUNCTION("""COMPUTED_VALUE"""),10)</f>
        <v>10</v>
      </c>
      <c r="J1026" s="118">
        <f ca="1">IFERROR(__xludf.DUMMYFUNCTION("""COMPUTED_VALUE"""),1)</f>
        <v>1</v>
      </c>
      <c r="K1026" s="120">
        <f ca="1">IFERROR(__xludf.DUMMYFUNCTION("""COMPUTED_VALUE"""),119.1)</f>
        <v>119.1</v>
      </c>
      <c r="L1026" s="121"/>
      <c r="M1026" s="120"/>
      <c r="N1026" s="121"/>
      <c r="O1026" s="120"/>
      <c r="P1026" s="122"/>
      <c r="Q1026" s="123"/>
      <c r="R1026" s="123"/>
      <c r="S1026" s="123" t="str">
        <f ca="1">IFERROR(__xludf.DUMMYFUNCTION("""COMPUTED_VALUE"""),"Parker Georgas")</f>
        <v>Parker Georgas</v>
      </c>
      <c r="T1026" s="123"/>
    </row>
    <row r="1027" spans="1:20" ht="13.8">
      <c r="A1027" s="118" t="str">
        <f ca="1">IFERROR(__xludf.DUMMYFUNCTION("""COMPUTED_VALUE"""),"KG")</f>
        <v>KG</v>
      </c>
      <c r="B1027" s="119" t="str">
        <f ca="1">IFERROR(__xludf.DUMMYFUNCTION("""COMPUTED_VALUE"""),"Meredith Lawler")</f>
        <v>Meredith Lawler</v>
      </c>
      <c r="C1027" s="118">
        <f ca="1">IFERROR(__xludf.DUMMYFUNCTION("""COMPUTED_VALUE"""),17)</f>
        <v>17</v>
      </c>
      <c r="D1027" s="118" t="str">
        <f ca="1">IFERROR(__xludf.DUMMYFUNCTION("""COMPUTED_VALUE"""),"G")</f>
        <v>G</v>
      </c>
      <c r="E1027" s="118" t="str">
        <f ca="1">IFERROR(__xludf.DUMMYFUNCTION("""COMPUTED_VALUE"""),"S")</f>
        <v>S</v>
      </c>
      <c r="F1027" s="118" t="str">
        <f ca="1">IFERROR(__xludf.DUMMYFUNCTION("""COMPUTED_VALUE"""),"S")</f>
        <v>S</v>
      </c>
      <c r="G1027" s="118">
        <f ca="1">IFERROR(__xludf.DUMMYFUNCTION("""COMPUTED_VALUE"""),2)</f>
        <v>2</v>
      </c>
      <c r="H1027" s="118" t="str">
        <f ca="1">IFERROR(__xludf.DUMMYFUNCTION("""COMPUTED_VALUE"""),"KG")</f>
        <v>KG</v>
      </c>
      <c r="I1027" s="118">
        <f ca="1">IFERROR(__xludf.DUMMYFUNCTION("""COMPUTED_VALUE"""),10)</f>
        <v>10</v>
      </c>
      <c r="J1027" s="118">
        <f ca="1">IFERROR(__xludf.DUMMYFUNCTION("""COMPUTED_VALUE"""),4)</f>
        <v>4</v>
      </c>
      <c r="K1027" s="120">
        <f ca="1">IFERROR(__xludf.DUMMYFUNCTION("""COMPUTED_VALUE"""),157.5)</f>
        <v>157.5</v>
      </c>
      <c r="L1027" s="121"/>
      <c r="M1027" s="120">
        <f ca="1">IFERROR(__xludf.DUMMYFUNCTION("""COMPUTED_VALUE"""),157.5)</f>
        <v>157.5</v>
      </c>
      <c r="N1027" s="121"/>
      <c r="O1027" s="120"/>
      <c r="P1027" s="122"/>
      <c r="Q1027" s="123"/>
      <c r="R1027" s="123"/>
      <c r="S1027" s="123" t="str">
        <f ca="1">IFERROR(__xludf.DUMMYFUNCTION("""COMPUTED_VALUE"""),"Parker Sachs")</f>
        <v>Parker Sachs</v>
      </c>
      <c r="T1027" s="123"/>
    </row>
    <row r="1028" spans="1:20" ht="13.8">
      <c r="A1028" s="118" t="str">
        <f ca="1">IFERROR(__xludf.DUMMYFUNCTION("""COMPUTED_VALUE"""),"KG")</f>
        <v>KG</v>
      </c>
      <c r="B1028" s="119" t="str">
        <f ca="1">IFERROR(__xludf.DUMMYFUNCTION("""COMPUTED_VALUE"""),"Riley Diaz")</f>
        <v>Riley Diaz</v>
      </c>
      <c r="C1028" s="118">
        <f ca="1">IFERROR(__xludf.DUMMYFUNCTION("""COMPUTED_VALUE"""),15)</f>
        <v>15</v>
      </c>
      <c r="D1028" s="118" t="str">
        <f ca="1">IFERROR(__xludf.DUMMYFUNCTION("""COMPUTED_VALUE"""),"G")</f>
        <v>G</v>
      </c>
      <c r="E1028" s="118" t="str">
        <f ca="1">IFERROR(__xludf.DUMMYFUNCTION("""COMPUTED_VALUE"""),"S")</f>
        <v>S</v>
      </c>
      <c r="F1028" s="118" t="str">
        <f ca="1">IFERROR(__xludf.DUMMYFUNCTION("""COMPUTED_VALUE"""),"S")</f>
        <v>S</v>
      </c>
      <c r="G1028" s="118">
        <f ca="1">IFERROR(__xludf.DUMMYFUNCTION("""COMPUTED_VALUE"""),2)</f>
        <v>2</v>
      </c>
      <c r="H1028" s="118" t="str">
        <f ca="1">IFERROR(__xludf.DUMMYFUNCTION("""COMPUTED_VALUE"""),"KG")</f>
        <v>KG</v>
      </c>
      <c r="I1028" s="118">
        <f ca="1">IFERROR(__xludf.DUMMYFUNCTION("""COMPUTED_VALUE"""),10)</f>
        <v>10</v>
      </c>
      <c r="J1028" s="118">
        <f ca="1">IFERROR(__xludf.DUMMYFUNCTION("""COMPUTED_VALUE"""),2)</f>
        <v>2</v>
      </c>
      <c r="K1028" s="120">
        <f ca="1">IFERROR(__xludf.DUMMYFUNCTION("""COMPUTED_VALUE"""),109.5)</f>
        <v>109.5</v>
      </c>
      <c r="L1028" s="121"/>
      <c r="M1028" s="120"/>
      <c r="N1028" s="121"/>
      <c r="O1028" s="120">
        <f ca="1">IFERROR(__xludf.DUMMYFUNCTION("""COMPUTED_VALUE"""),109.5)</f>
        <v>109.5</v>
      </c>
      <c r="P1028" s="122"/>
      <c r="Q1028" s="123"/>
      <c r="R1028" s="123"/>
      <c r="S1028" s="123" t="str">
        <f ca="1">IFERROR(__xludf.DUMMYFUNCTION("""COMPUTED_VALUE"""),"Payton Bennett")</f>
        <v>Payton Bennett</v>
      </c>
      <c r="T1028" s="123"/>
    </row>
    <row r="1029" spans="1:20" ht="13.8">
      <c r="A1029" s="118" t="str">
        <f ca="1">IFERROR(__xludf.DUMMYFUNCTION("""COMPUTED_VALUE"""),"KG")</f>
        <v>KG</v>
      </c>
      <c r="B1029" s="119" t="str">
        <f ca="1">IFERROR(__xludf.DUMMYFUNCTION("""COMPUTED_VALUE"""),"Teagan Wielechowski")</f>
        <v>Teagan Wielechowski</v>
      </c>
      <c r="C1029" s="118">
        <f ca="1">IFERROR(__xludf.DUMMYFUNCTION("""COMPUTED_VALUE"""),15)</f>
        <v>15</v>
      </c>
      <c r="D1029" s="118" t="str">
        <f ca="1">IFERROR(__xludf.DUMMYFUNCTION("""COMPUTED_VALUE"""),"G")</f>
        <v>G</v>
      </c>
      <c r="E1029" s="118" t="str">
        <f ca="1">IFERROR(__xludf.DUMMYFUNCTION("""COMPUTED_VALUE"""),"S")</f>
        <v>S</v>
      </c>
      <c r="F1029" s="118" t="str">
        <f ca="1">IFERROR(__xludf.DUMMYFUNCTION("""COMPUTED_VALUE"""),"S")</f>
        <v>S</v>
      </c>
      <c r="G1029" s="118">
        <f ca="1">IFERROR(__xludf.DUMMYFUNCTION("""COMPUTED_VALUE"""),2)</f>
        <v>2</v>
      </c>
      <c r="H1029" s="118" t="str">
        <f ca="1">IFERROR(__xludf.DUMMYFUNCTION("""COMPUTED_VALUE"""),"KG")</f>
        <v>KG</v>
      </c>
      <c r="I1029" s="118">
        <f ca="1">IFERROR(__xludf.DUMMYFUNCTION("""COMPUTED_VALUE"""),10)</f>
        <v>10</v>
      </c>
      <c r="J1029" s="118">
        <f ca="1">IFERROR(__xludf.DUMMYFUNCTION("""COMPUTED_VALUE"""),4)</f>
        <v>4</v>
      </c>
      <c r="K1029" s="120">
        <f ca="1">IFERROR(__xludf.DUMMYFUNCTION("""COMPUTED_VALUE"""),169.75)</f>
        <v>169.75</v>
      </c>
      <c r="L1029" s="121"/>
      <c r="M1029" s="120"/>
      <c r="N1029" s="121"/>
      <c r="O1029" s="120">
        <f ca="1">IFERROR(__xludf.DUMMYFUNCTION("""COMPUTED_VALUE"""),162.05)</f>
        <v>162.05000000000001</v>
      </c>
      <c r="P1029" s="122"/>
      <c r="Q1029" s="123"/>
      <c r="R1029" s="123"/>
      <c r="S1029" s="123" t="str">
        <f ca="1">IFERROR(__xludf.DUMMYFUNCTION("""COMPUTED_VALUE"""),"Payton McCarrison")</f>
        <v>Payton McCarrison</v>
      </c>
      <c r="T1029" s="123"/>
    </row>
    <row r="1030" spans="1:20" ht="13.8">
      <c r="A1030" s="118" t="str">
        <f ca="1">IFERROR(__xludf.DUMMYFUNCTION("""COMPUTED_VALUE"""),"KG")</f>
        <v>KG</v>
      </c>
      <c r="B1030" s="119" t="str">
        <f ca="1">IFERROR(__xludf.DUMMYFUNCTION("""COMPUTED_VALUE"""),"Ziya Bhasin")</f>
        <v>Ziya Bhasin</v>
      </c>
      <c r="C1030" s="118">
        <f ca="1">IFERROR(__xludf.DUMMYFUNCTION("""COMPUTED_VALUE"""),15)</f>
        <v>15</v>
      </c>
      <c r="D1030" s="118" t="str">
        <f ca="1">IFERROR(__xludf.DUMMYFUNCTION("""COMPUTED_VALUE"""),"G")</f>
        <v>G</v>
      </c>
      <c r="E1030" s="118" t="str">
        <f ca="1">IFERROR(__xludf.DUMMYFUNCTION("""COMPUTED_VALUE"""),"S")</f>
        <v>S</v>
      </c>
      <c r="F1030" s="118" t="str">
        <f ca="1">IFERROR(__xludf.DUMMYFUNCTION("""COMPUTED_VALUE"""),"S")</f>
        <v>S</v>
      </c>
      <c r="G1030" s="118">
        <f ca="1">IFERROR(__xludf.DUMMYFUNCTION("""COMPUTED_VALUE"""),2)</f>
        <v>2</v>
      </c>
      <c r="H1030" s="118" t="str">
        <f ca="1">IFERROR(__xludf.DUMMYFUNCTION("""COMPUTED_VALUE"""),"KG")</f>
        <v>KG</v>
      </c>
      <c r="I1030" s="118">
        <f ca="1">IFERROR(__xludf.DUMMYFUNCTION("""COMPUTED_VALUE"""),10)</f>
        <v>10</v>
      </c>
      <c r="J1030" s="118">
        <f ca="1">IFERROR(__xludf.DUMMYFUNCTION("""COMPUTED_VALUE"""),5)</f>
        <v>5</v>
      </c>
      <c r="K1030" s="120">
        <f ca="1">IFERROR(__xludf.DUMMYFUNCTION("""COMPUTED_VALUE"""),183.85)</f>
        <v>183.85</v>
      </c>
      <c r="L1030" s="121"/>
      <c r="M1030" s="120">
        <f ca="1">IFERROR(__xludf.DUMMYFUNCTION("""COMPUTED_VALUE"""),166.35)</f>
        <v>166.35</v>
      </c>
      <c r="N1030" s="121"/>
      <c r="O1030" s="120">
        <f ca="1">IFERROR(__xludf.DUMMYFUNCTION("""COMPUTED_VALUE"""),173.7)</f>
        <v>173.7</v>
      </c>
      <c r="P1030" s="122"/>
      <c r="Q1030" s="123"/>
      <c r="R1030" s="123"/>
      <c r="S1030" s="123" t="str">
        <f ca="1">IFERROR(__xludf.DUMMYFUNCTION("""COMPUTED_VALUE"""),"Penelope Cummings")</f>
        <v>Penelope Cummings</v>
      </c>
      <c r="T1030" s="123"/>
    </row>
    <row r="1031" spans="1:20" ht="13.8">
      <c r="A1031" s="118" t="str">
        <f ca="1">IFERROR(__xludf.DUMMYFUNCTION("""COMPUTED_VALUE"""),"KG")</f>
        <v>KG</v>
      </c>
      <c r="B1031" s="119" t="str">
        <f ca="1">IFERROR(__xludf.DUMMYFUNCTION("""COMPUTED_VALUE"""),"Adam Nasr")</f>
        <v>Adam Nasr</v>
      </c>
      <c r="C1031" s="118">
        <f ca="1">IFERROR(__xludf.DUMMYFUNCTION("""COMPUTED_VALUE"""),16)</f>
        <v>16</v>
      </c>
      <c r="D1031" s="118" t="str">
        <f ca="1">IFERROR(__xludf.DUMMYFUNCTION("""COMPUTED_VALUE"""),"B")</f>
        <v>B</v>
      </c>
      <c r="E1031" s="118" t="str">
        <f ca="1">IFERROR(__xludf.DUMMYFUNCTION("""COMPUTED_VALUE"""),"S")</f>
        <v>S</v>
      </c>
      <c r="F1031" s="118" t="str">
        <f ca="1">IFERROR(__xludf.DUMMYFUNCTION("""COMPUTED_VALUE"""),"S")</f>
        <v>S</v>
      </c>
      <c r="G1031" s="118">
        <f ca="1">IFERROR(__xludf.DUMMYFUNCTION("""COMPUTED_VALUE"""),2)</f>
        <v>2</v>
      </c>
      <c r="H1031" s="118" t="str">
        <f ca="1">IFERROR(__xludf.DUMMYFUNCTION("""COMPUTED_VALUE"""),"KG")</f>
        <v>KG</v>
      </c>
      <c r="I1031" s="118">
        <f ca="1">IFERROR(__xludf.DUMMYFUNCTION("""COMPUTED_VALUE"""),11)</f>
        <v>11</v>
      </c>
      <c r="J1031" s="118">
        <f ca="1">IFERROR(__xludf.DUMMYFUNCTION("""COMPUTED_VALUE"""),2)</f>
        <v>2</v>
      </c>
      <c r="K1031" s="120">
        <f ca="1">IFERROR(__xludf.DUMMYFUNCTION("""COMPUTED_VALUE"""),128.4)</f>
        <v>128.4</v>
      </c>
      <c r="L1031" s="121"/>
      <c r="M1031" s="120"/>
      <c r="N1031" s="121"/>
      <c r="O1031" s="120"/>
      <c r="P1031" s="122"/>
      <c r="Q1031" s="123"/>
      <c r="R1031" s="123"/>
      <c r="S1031" s="123" t="str">
        <f ca="1">IFERROR(__xludf.DUMMYFUNCTION("""COMPUTED_VALUE"""),"Penelope Hodgins")</f>
        <v>Penelope Hodgins</v>
      </c>
      <c r="T1031" s="123"/>
    </row>
    <row r="1032" spans="1:20" ht="13.8">
      <c r="A1032" s="118" t="str">
        <f ca="1">IFERROR(__xludf.DUMMYFUNCTION("""COMPUTED_VALUE"""),"KG")</f>
        <v>KG</v>
      </c>
      <c r="B1032" s="119" t="str">
        <f ca="1">IFERROR(__xludf.DUMMYFUNCTION("""COMPUTED_VALUE"""),"Landon Manwaring")</f>
        <v>Landon Manwaring</v>
      </c>
      <c r="C1032" s="118">
        <f ca="1">IFERROR(__xludf.DUMMYFUNCTION("""COMPUTED_VALUE"""),15)</f>
        <v>15</v>
      </c>
      <c r="D1032" s="118" t="str">
        <f ca="1">IFERROR(__xludf.DUMMYFUNCTION("""COMPUTED_VALUE"""),"B")</f>
        <v>B</v>
      </c>
      <c r="E1032" s="118" t="str">
        <f ca="1">IFERROR(__xludf.DUMMYFUNCTION("""COMPUTED_VALUE"""),"S")</f>
        <v>S</v>
      </c>
      <c r="F1032" s="118" t="str">
        <f ca="1">IFERROR(__xludf.DUMMYFUNCTION("""COMPUTED_VALUE"""),"S")</f>
        <v>S</v>
      </c>
      <c r="G1032" s="118">
        <f ca="1">IFERROR(__xludf.DUMMYFUNCTION("""COMPUTED_VALUE"""),2)</f>
        <v>2</v>
      </c>
      <c r="H1032" s="118" t="str">
        <f ca="1">IFERROR(__xludf.DUMMYFUNCTION("""COMPUTED_VALUE"""),"KG")</f>
        <v>KG</v>
      </c>
      <c r="I1032" s="118">
        <f ca="1">IFERROR(__xludf.DUMMYFUNCTION("""COMPUTED_VALUE"""),11)</f>
        <v>11</v>
      </c>
      <c r="J1032" s="118">
        <f ca="1">IFERROR(__xludf.DUMMYFUNCTION("""COMPUTED_VALUE"""),3)</f>
        <v>3</v>
      </c>
      <c r="K1032" s="120">
        <f ca="1">IFERROR(__xludf.DUMMYFUNCTION("""COMPUTED_VALUE"""),141.15)</f>
        <v>141.15</v>
      </c>
      <c r="L1032" s="121"/>
      <c r="M1032" s="120"/>
      <c r="N1032" s="121"/>
      <c r="O1032" s="120">
        <f ca="1">IFERROR(__xludf.DUMMYFUNCTION("""COMPUTED_VALUE"""),124.1)</f>
        <v>124.1</v>
      </c>
      <c r="P1032" s="122"/>
      <c r="Q1032" s="123"/>
      <c r="R1032" s="123"/>
      <c r="S1032" s="123" t="str">
        <f ca="1">IFERROR(__xludf.DUMMYFUNCTION("""COMPUTED_VALUE"""),"Penelope Lawler")</f>
        <v>Penelope Lawler</v>
      </c>
      <c r="T1032" s="123"/>
    </row>
    <row r="1033" spans="1:20" ht="13.8">
      <c r="A1033" s="118" t="str">
        <f ca="1">IFERROR(__xludf.DUMMYFUNCTION("""COMPUTED_VALUE"""),"KG")</f>
        <v>KG</v>
      </c>
      <c r="B1033" s="119" t="str">
        <f ca="1">IFERROR(__xludf.DUMMYFUNCTION("""COMPUTED_VALUE"""),"Sean Memon")</f>
        <v>Sean Memon</v>
      </c>
      <c r="C1033" s="118">
        <f ca="1">IFERROR(__xludf.DUMMYFUNCTION("""COMPUTED_VALUE"""),17)</f>
        <v>17</v>
      </c>
      <c r="D1033" s="118" t="str">
        <f ca="1">IFERROR(__xludf.DUMMYFUNCTION("""COMPUTED_VALUE"""),"B")</f>
        <v>B</v>
      </c>
      <c r="E1033" s="118" t="str">
        <f ca="1">IFERROR(__xludf.DUMMYFUNCTION("""COMPUTED_VALUE"""),"S")</f>
        <v>S</v>
      </c>
      <c r="F1033" s="118" t="str">
        <f ca="1">IFERROR(__xludf.DUMMYFUNCTION("""COMPUTED_VALUE"""),"S")</f>
        <v>S</v>
      </c>
      <c r="G1033" s="118">
        <f ca="1">IFERROR(__xludf.DUMMYFUNCTION("""COMPUTED_VALUE"""),2)</f>
        <v>2</v>
      </c>
      <c r="H1033" s="118" t="str">
        <f ca="1">IFERROR(__xludf.DUMMYFUNCTION("""COMPUTED_VALUE"""),"KG")</f>
        <v>KG</v>
      </c>
      <c r="I1033" s="118">
        <f ca="1">IFERROR(__xludf.DUMMYFUNCTION("""COMPUTED_VALUE"""),11)</f>
        <v>11</v>
      </c>
      <c r="J1033" s="118">
        <f ca="1">IFERROR(__xludf.DUMMYFUNCTION("""COMPUTED_VALUE"""),5)</f>
        <v>5</v>
      </c>
      <c r="K1033" s="120">
        <f ca="1">IFERROR(__xludf.DUMMYFUNCTION("""COMPUTED_VALUE"""),209.15)</f>
        <v>209.15</v>
      </c>
      <c r="L1033" s="121"/>
      <c r="M1033" s="120">
        <f ca="1">IFERROR(__xludf.DUMMYFUNCTION("""COMPUTED_VALUE"""),209)</f>
        <v>209</v>
      </c>
      <c r="N1033" s="121"/>
      <c r="O1033" s="120">
        <f ca="1">IFERROR(__xludf.DUMMYFUNCTION("""COMPUTED_VALUE"""),190.15)</f>
        <v>190.15</v>
      </c>
      <c r="P1033" s="122"/>
      <c r="Q1033" s="123"/>
      <c r="R1033" s="123"/>
      <c r="S1033" s="123" t="str">
        <f ca="1">IFERROR(__xludf.DUMMYFUNCTION("""COMPUTED_VALUE"""),"Penelope Ricaldes")</f>
        <v>Penelope Ricaldes</v>
      </c>
      <c r="T1033" s="123"/>
    </row>
    <row r="1034" spans="1:20" ht="13.8">
      <c r="A1034" s="118" t="str">
        <f ca="1">IFERROR(__xludf.DUMMYFUNCTION("""COMPUTED_VALUE"""),"LG")</f>
        <v>LG</v>
      </c>
      <c r="B1034" s="119" t="str">
        <f ca="1">IFERROR(__xludf.DUMMYFUNCTION("""COMPUTED_VALUE"""),"Arden Allard")</f>
        <v>Arden Allard</v>
      </c>
      <c r="C1034" s="118">
        <f ca="1">IFERROR(__xludf.DUMMYFUNCTION("""COMPUTED_VALUE"""),8)</f>
        <v>8</v>
      </c>
      <c r="D1034" s="118" t="str">
        <f ca="1">IFERROR(__xludf.DUMMYFUNCTION("""COMPUTED_VALUE"""),"G")</f>
        <v>G</v>
      </c>
      <c r="E1034" s="118" t="str">
        <f ca="1">IFERROR(__xludf.DUMMYFUNCTION("""COMPUTED_VALUE"""),"F")</f>
        <v>F</v>
      </c>
      <c r="F1034" s="118" t="str">
        <f ca="1">IFERROR(__xludf.DUMMYFUNCTION("""COMPUTED_VALUE"""),"J")</f>
        <v>J</v>
      </c>
      <c r="G1034" s="118">
        <f ca="1">IFERROR(__xludf.DUMMYFUNCTION("""COMPUTED_VALUE"""),3)</f>
        <v>3</v>
      </c>
      <c r="H1034" s="118" t="str">
        <f ca="1">IFERROR(__xludf.DUMMYFUNCTION("""COMPUTED_VALUE"""),"LG")</f>
        <v>LG</v>
      </c>
      <c r="I1034" s="118">
        <f ca="1">IFERROR(__xludf.DUMMYFUNCTION("""COMPUTED_VALUE"""),4)</f>
        <v>4</v>
      </c>
      <c r="J1034" s="118">
        <f ca="1">IFERROR(__xludf.DUMMYFUNCTION("""COMPUTED_VALUE"""),0)</f>
        <v>0</v>
      </c>
      <c r="K1034" s="120"/>
      <c r="L1034" s="121"/>
      <c r="M1034" s="120"/>
      <c r="N1034" s="121"/>
      <c r="O1034" s="120"/>
      <c r="P1034" s="122"/>
      <c r="Q1034" s="123"/>
      <c r="R1034" s="123"/>
      <c r="S1034" s="123" t="str">
        <f ca="1">IFERROR(__xludf.DUMMYFUNCTION("""COMPUTED_VALUE"""),"Pennie Erwin")</f>
        <v>Pennie Erwin</v>
      </c>
      <c r="T1034" s="123"/>
    </row>
    <row r="1035" spans="1:20" ht="13.8">
      <c r="A1035" s="118" t="str">
        <f ca="1">IFERROR(__xludf.DUMMYFUNCTION("""COMPUTED_VALUE"""),"LG")</f>
        <v>LG</v>
      </c>
      <c r="B1035" s="119" t="str">
        <f ca="1">IFERROR(__xludf.DUMMYFUNCTION("""COMPUTED_VALUE"""),"Clara Lauver")</f>
        <v>Clara Lauver</v>
      </c>
      <c r="C1035" s="118">
        <f ca="1">IFERROR(__xludf.DUMMYFUNCTION("""COMPUTED_VALUE"""),7)</f>
        <v>7</v>
      </c>
      <c r="D1035" s="118" t="str">
        <f ca="1">IFERROR(__xludf.DUMMYFUNCTION("""COMPUTED_VALUE"""),"G")</f>
        <v>G</v>
      </c>
      <c r="E1035" s="118" t="str">
        <f ca="1">IFERROR(__xludf.DUMMYFUNCTION("""COMPUTED_VALUE"""),"F")</f>
        <v>F</v>
      </c>
      <c r="F1035" s="118" t="str">
        <f ca="1">IFERROR(__xludf.DUMMYFUNCTION("""COMPUTED_VALUE"""),"J")</f>
        <v>J</v>
      </c>
      <c r="G1035" s="118">
        <f ca="1">IFERROR(__xludf.DUMMYFUNCTION("""COMPUTED_VALUE"""),3)</f>
        <v>3</v>
      </c>
      <c r="H1035" s="118" t="str">
        <f ca="1">IFERROR(__xludf.DUMMYFUNCTION("""COMPUTED_VALUE"""),"LG")</f>
        <v>LG</v>
      </c>
      <c r="I1035" s="118">
        <f ca="1">IFERROR(__xludf.DUMMYFUNCTION("""COMPUTED_VALUE"""),4)</f>
        <v>4</v>
      </c>
      <c r="J1035" s="118">
        <f ca="1">IFERROR(__xludf.DUMMYFUNCTION("""COMPUTED_VALUE"""),2)</f>
        <v>2</v>
      </c>
      <c r="K1035" s="120">
        <f ca="1">IFERROR(__xludf.DUMMYFUNCTION("""COMPUTED_VALUE"""),23.5)</f>
        <v>23.5</v>
      </c>
      <c r="L1035" s="121"/>
      <c r="M1035" s="120"/>
      <c r="N1035" s="121"/>
      <c r="O1035" s="120"/>
      <c r="P1035" s="122"/>
      <c r="Q1035" s="123"/>
      <c r="R1035" s="123"/>
      <c r="S1035" s="123" t="str">
        <f ca="1">IFERROR(__xludf.DUMMYFUNCTION("""COMPUTED_VALUE"""),"Penny Cotter")</f>
        <v>Penny Cotter</v>
      </c>
      <c r="T1035" s="123"/>
    </row>
    <row r="1036" spans="1:20" ht="13.8">
      <c r="A1036" s="118" t="str">
        <f ca="1">IFERROR(__xludf.DUMMYFUNCTION("""COMPUTED_VALUE"""),"LG")</f>
        <v>LG</v>
      </c>
      <c r="B1036" s="119" t="str">
        <f ca="1">IFERROR(__xludf.DUMMYFUNCTION("""COMPUTED_VALUE"""),"Emily Newton")</f>
        <v>Emily Newton</v>
      </c>
      <c r="C1036" s="118">
        <f ca="1">IFERROR(__xludf.DUMMYFUNCTION("""COMPUTED_VALUE"""),8)</f>
        <v>8</v>
      </c>
      <c r="D1036" s="118" t="str">
        <f ca="1">IFERROR(__xludf.DUMMYFUNCTION("""COMPUTED_VALUE"""),"G")</f>
        <v>G</v>
      </c>
      <c r="E1036" s="118" t="str">
        <f ca="1">IFERROR(__xludf.DUMMYFUNCTION("""COMPUTED_VALUE"""),"F")</f>
        <v>F</v>
      </c>
      <c r="F1036" s="118" t="str">
        <f ca="1">IFERROR(__xludf.DUMMYFUNCTION("""COMPUTED_VALUE"""),"J")</f>
        <v>J</v>
      </c>
      <c r="G1036" s="118">
        <f ca="1">IFERROR(__xludf.DUMMYFUNCTION("""COMPUTED_VALUE"""),3)</f>
        <v>3</v>
      </c>
      <c r="H1036" s="118" t="str">
        <f ca="1">IFERROR(__xludf.DUMMYFUNCTION("""COMPUTED_VALUE"""),"LG")</f>
        <v>LG</v>
      </c>
      <c r="I1036" s="118">
        <f ca="1">IFERROR(__xludf.DUMMYFUNCTION("""COMPUTED_VALUE"""),4)</f>
        <v>4</v>
      </c>
      <c r="J1036" s="118">
        <f ca="1">IFERROR(__xludf.DUMMYFUNCTION("""COMPUTED_VALUE"""),0)</f>
        <v>0</v>
      </c>
      <c r="K1036" s="120"/>
      <c r="L1036" s="121"/>
      <c r="M1036" s="120"/>
      <c r="N1036" s="121"/>
      <c r="O1036" s="120"/>
      <c r="P1036" s="122"/>
      <c r="Q1036" s="123"/>
      <c r="R1036" s="123"/>
      <c r="S1036" s="123" t="str">
        <f ca="1">IFERROR(__xludf.DUMMYFUNCTION("""COMPUTED_VALUE"""),"Penny Fairchild")</f>
        <v>Penny Fairchild</v>
      </c>
      <c r="T1036" s="123"/>
    </row>
    <row r="1037" spans="1:20" ht="13.8">
      <c r="A1037" s="118" t="str">
        <f ca="1">IFERROR(__xludf.DUMMYFUNCTION("""COMPUTED_VALUE"""),"LG")</f>
        <v>LG</v>
      </c>
      <c r="B1037" s="119" t="str">
        <f ca="1">IFERROR(__xludf.DUMMYFUNCTION("""COMPUTED_VALUE"""),"Flor Aldana")</f>
        <v>Flor Aldana</v>
      </c>
      <c r="C1037" s="118">
        <f ca="1">IFERROR(__xludf.DUMMYFUNCTION("""COMPUTED_VALUE"""),10)</f>
        <v>10</v>
      </c>
      <c r="D1037" s="118" t="str">
        <f ca="1">IFERROR(__xludf.DUMMYFUNCTION("""COMPUTED_VALUE"""),"G")</f>
        <v>G</v>
      </c>
      <c r="E1037" s="118" t="str">
        <f ca="1">IFERROR(__xludf.DUMMYFUNCTION("""COMPUTED_VALUE"""),"F")</f>
        <v>F</v>
      </c>
      <c r="F1037" s="118" t="str">
        <f ca="1">IFERROR(__xludf.DUMMYFUNCTION("""COMPUTED_VALUE"""),"J")</f>
        <v>J</v>
      </c>
      <c r="G1037" s="118">
        <f ca="1">IFERROR(__xludf.DUMMYFUNCTION("""COMPUTED_VALUE"""),3)</f>
        <v>3</v>
      </c>
      <c r="H1037" s="118" t="str">
        <f ca="1">IFERROR(__xludf.DUMMYFUNCTION("""COMPUTED_VALUE"""),"LG")</f>
        <v>LG</v>
      </c>
      <c r="I1037" s="118">
        <f ca="1">IFERROR(__xludf.DUMMYFUNCTION("""COMPUTED_VALUE"""),4)</f>
        <v>4</v>
      </c>
      <c r="J1037" s="118">
        <f ca="1">IFERROR(__xludf.DUMMYFUNCTION("""COMPUTED_VALUE"""),0)</f>
        <v>0</v>
      </c>
      <c r="K1037" s="120"/>
      <c r="L1037" s="121"/>
      <c r="M1037" s="120"/>
      <c r="N1037" s="121"/>
      <c r="O1037" s="120"/>
      <c r="P1037" s="122"/>
      <c r="Q1037" s="123"/>
      <c r="R1037" s="123"/>
      <c r="S1037" s="123" t="str">
        <f ca="1">IFERROR(__xludf.DUMMYFUNCTION("""COMPUTED_VALUE"""),"Perrin Malko")</f>
        <v>Perrin Malko</v>
      </c>
      <c r="T1037" s="123"/>
    </row>
    <row r="1038" spans="1:20" ht="13.8">
      <c r="A1038" s="118" t="str">
        <f ca="1">IFERROR(__xludf.DUMMYFUNCTION("""COMPUTED_VALUE"""),"LG")</f>
        <v>LG</v>
      </c>
      <c r="B1038" s="119" t="str">
        <f ca="1">IFERROR(__xludf.DUMMYFUNCTION("""COMPUTED_VALUE"""),"Grace Swihart")</f>
        <v>Grace Swihart</v>
      </c>
      <c r="C1038" s="118">
        <f ca="1">IFERROR(__xludf.DUMMYFUNCTION("""COMPUTED_VALUE"""),10)</f>
        <v>10</v>
      </c>
      <c r="D1038" s="118" t="str">
        <f ca="1">IFERROR(__xludf.DUMMYFUNCTION("""COMPUTED_VALUE"""),"G")</f>
        <v>G</v>
      </c>
      <c r="E1038" s="118" t="str">
        <f ca="1">IFERROR(__xludf.DUMMYFUNCTION("""COMPUTED_VALUE"""),"F")</f>
        <v>F</v>
      </c>
      <c r="F1038" s="118" t="str">
        <f ca="1">IFERROR(__xludf.DUMMYFUNCTION("""COMPUTED_VALUE"""),"J")</f>
        <v>J</v>
      </c>
      <c r="G1038" s="118">
        <f ca="1">IFERROR(__xludf.DUMMYFUNCTION("""COMPUTED_VALUE"""),3)</f>
        <v>3</v>
      </c>
      <c r="H1038" s="118" t="str">
        <f ca="1">IFERROR(__xludf.DUMMYFUNCTION("""COMPUTED_VALUE"""),"LG")</f>
        <v>LG</v>
      </c>
      <c r="I1038" s="118">
        <f ca="1">IFERROR(__xludf.DUMMYFUNCTION("""COMPUTED_VALUE"""),4)</f>
        <v>4</v>
      </c>
      <c r="J1038" s="118">
        <f ca="1">IFERROR(__xludf.DUMMYFUNCTION("""COMPUTED_VALUE"""),0)</f>
        <v>0</v>
      </c>
      <c r="K1038" s="120"/>
      <c r="L1038" s="121"/>
      <c r="M1038" s="120"/>
      <c r="N1038" s="121"/>
      <c r="O1038" s="120"/>
      <c r="P1038" s="122"/>
      <c r="Q1038" s="123"/>
      <c r="R1038" s="123"/>
      <c r="S1038" s="123" t="str">
        <f ca="1">IFERROR(__xludf.DUMMYFUNCTION("""COMPUTED_VALUE"""),"Petra Oleson")</f>
        <v>Petra Oleson</v>
      </c>
      <c r="T1038" s="123"/>
    </row>
    <row r="1039" spans="1:20" ht="13.8">
      <c r="A1039" s="118" t="str">
        <f ca="1">IFERROR(__xludf.DUMMYFUNCTION("""COMPUTED_VALUE"""),"LG")</f>
        <v>LG</v>
      </c>
      <c r="B1039" s="119" t="str">
        <f ca="1">IFERROR(__xludf.DUMMYFUNCTION("""COMPUTED_VALUE"""),"Hazel Lauver")</f>
        <v>Hazel Lauver</v>
      </c>
      <c r="C1039" s="118">
        <f ca="1">IFERROR(__xludf.DUMMYFUNCTION("""COMPUTED_VALUE"""),9)</f>
        <v>9</v>
      </c>
      <c r="D1039" s="118" t="str">
        <f ca="1">IFERROR(__xludf.DUMMYFUNCTION("""COMPUTED_VALUE"""),"G")</f>
        <v>G</v>
      </c>
      <c r="E1039" s="118" t="str">
        <f ca="1">IFERROR(__xludf.DUMMYFUNCTION("""COMPUTED_VALUE"""),"F")</f>
        <v>F</v>
      </c>
      <c r="F1039" s="118" t="str">
        <f ca="1">IFERROR(__xludf.DUMMYFUNCTION("""COMPUTED_VALUE"""),"J")</f>
        <v>J</v>
      </c>
      <c r="G1039" s="118">
        <f ca="1">IFERROR(__xludf.DUMMYFUNCTION("""COMPUTED_VALUE"""),3)</f>
        <v>3</v>
      </c>
      <c r="H1039" s="118" t="str">
        <f ca="1">IFERROR(__xludf.DUMMYFUNCTION("""COMPUTED_VALUE"""),"LG")</f>
        <v>LG</v>
      </c>
      <c r="I1039" s="118">
        <f ca="1">IFERROR(__xludf.DUMMYFUNCTION("""COMPUTED_VALUE"""),4)</f>
        <v>4</v>
      </c>
      <c r="J1039" s="118">
        <f ca="1">IFERROR(__xludf.DUMMYFUNCTION("""COMPUTED_VALUE"""),5)</f>
        <v>5</v>
      </c>
      <c r="K1039" s="120">
        <f ca="1">IFERROR(__xludf.DUMMYFUNCTION("""COMPUTED_VALUE"""),55.25)</f>
        <v>55.25</v>
      </c>
      <c r="L1039" s="121"/>
      <c r="M1039" s="120">
        <f ca="1">IFERROR(__xludf.DUMMYFUNCTION("""COMPUTED_VALUE"""),30.75)</f>
        <v>30.75</v>
      </c>
      <c r="N1039" s="121"/>
      <c r="O1039" s="120">
        <f ca="1">IFERROR(__xludf.DUMMYFUNCTION("""COMPUTED_VALUE"""),55.25)</f>
        <v>55.25</v>
      </c>
      <c r="P1039" s="122"/>
      <c r="Q1039" s="123"/>
      <c r="R1039" s="123"/>
      <c r="S1039" s="123" t="str">
        <f ca="1">IFERROR(__xludf.DUMMYFUNCTION("""COMPUTED_VALUE"""),"Peyton Ma")</f>
        <v>Peyton Ma</v>
      </c>
      <c r="T1039" s="123"/>
    </row>
    <row r="1040" spans="1:20" ht="13.8">
      <c r="A1040" s="118" t="str">
        <f ca="1">IFERROR(__xludf.DUMMYFUNCTION("""COMPUTED_VALUE"""),"LG")</f>
        <v>LG</v>
      </c>
      <c r="B1040" s="119" t="str">
        <f ca="1">IFERROR(__xludf.DUMMYFUNCTION("""COMPUTED_VALUE"""),"Hodges Newton")</f>
        <v>Hodges Newton</v>
      </c>
      <c r="C1040" s="118">
        <f ca="1">IFERROR(__xludf.DUMMYFUNCTION("""COMPUTED_VALUE"""),10)</f>
        <v>10</v>
      </c>
      <c r="D1040" s="118" t="str">
        <f ca="1">IFERROR(__xludf.DUMMYFUNCTION("""COMPUTED_VALUE"""),"G")</f>
        <v>G</v>
      </c>
      <c r="E1040" s="118" t="str">
        <f ca="1">IFERROR(__xludf.DUMMYFUNCTION("""COMPUTED_VALUE"""),"F")</f>
        <v>F</v>
      </c>
      <c r="F1040" s="118" t="str">
        <f ca="1">IFERROR(__xludf.DUMMYFUNCTION("""COMPUTED_VALUE"""),"J")</f>
        <v>J</v>
      </c>
      <c r="G1040" s="118">
        <f ca="1">IFERROR(__xludf.DUMMYFUNCTION("""COMPUTED_VALUE"""),3)</f>
        <v>3</v>
      </c>
      <c r="H1040" s="118" t="str">
        <f ca="1">IFERROR(__xludf.DUMMYFUNCTION("""COMPUTED_VALUE"""),"LG")</f>
        <v>LG</v>
      </c>
      <c r="I1040" s="118">
        <f ca="1">IFERROR(__xludf.DUMMYFUNCTION("""COMPUTED_VALUE"""),4)</f>
        <v>4</v>
      </c>
      <c r="J1040" s="118">
        <f ca="1">IFERROR(__xludf.DUMMYFUNCTION("""COMPUTED_VALUE"""),0)</f>
        <v>0</v>
      </c>
      <c r="K1040" s="120"/>
      <c r="L1040" s="121"/>
      <c r="M1040" s="120"/>
      <c r="N1040" s="121"/>
      <c r="O1040" s="120"/>
      <c r="P1040" s="122"/>
      <c r="Q1040" s="123"/>
      <c r="R1040" s="123"/>
      <c r="S1040" s="123" t="str">
        <f ca="1">IFERROR(__xludf.DUMMYFUNCTION("""COMPUTED_VALUE"""),"Peyton Moro")</f>
        <v>Peyton Moro</v>
      </c>
      <c r="T1040" s="123"/>
    </row>
    <row r="1041" spans="1:20" ht="13.8">
      <c r="A1041" s="118" t="str">
        <f ca="1">IFERROR(__xludf.DUMMYFUNCTION("""COMPUTED_VALUE"""),"LG")</f>
        <v>LG</v>
      </c>
      <c r="B1041" s="119" t="str">
        <f ca="1">IFERROR(__xludf.DUMMYFUNCTION("""COMPUTED_VALUE"""),"Julia Kent")</f>
        <v>Julia Kent</v>
      </c>
      <c r="C1041" s="118">
        <f ca="1">IFERROR(__xludf.DUMMYFUNCTION("""COMPUTED_VALUE"""),10)</f>
        <v>10</v>
      </c>
      <c r="D1041" s="118" t="str">
        <f ca="1">IFERROR(__xludf.DUMMYFUNCTION("""COMPUTED_VALUE"""),"G")</f>
        <v>G</v>
      </c>
      <c r="E1041" s="118" t="str">
        <f ca="1">IFERROR(__xludf.DUMMYFUNCTION("""COMPUTED_VALUE"""),"F")</f>
        <v>F</v>
      </c>
      <c r="F1041" s="118" t="str">
        <f ca="1">IFERROR(__xludf.DUMMYFUNCTION("""COMPUTED_VALUE"""),"J")</f>
        <v>J</v>
      </c>
      <c r="G1041" s="118">
        <f ca="1">IFERROR(__xludf.DUMMYFUNCTION("""COMPUTED_VALUE"""),3)</f>
        <v>3</v>
      </c>
      <c r="H1041" s="118" t="str">
        <f ca="1">IFERROR(__xludf.DUMMYFUNCTION("""COMPUTED_VALUE"""),"LG")</f>
        <v>LG</v>
      </c>
      <c r="I1041" s="118">
        <f ca="1">IFERROR(__xludf.DUMMYFUNCTION("""COMPUTED_VALUE"""),4)</f>
        <v>4</v>
      </c>
      <c r="J1041" s="118">
        <f ca="1">IFERROR(__xludf.DUMMYFUNCTION("""COMPUTED_VALUE"""),0)</f>
        <v>0</v>
      </c>
      <c r="K1041" s="120"/>
      <c r="L1041" s="121"/>
      <c r="M1041" s="120"/>
      <c r="N1041" s="121"/>
      <c r="O1041" s="120"/>
      <c r="P1041" s="122"/>
      <c r="Q1041" s="123"/>
      <c r="R1041" s="123"/>
      <c r="S1041" s="123" t="str">
        <f ca="1">IFERROR(__xludf.DUMMYFUNCTION("""COMPUTED_VALUE"""),"Phoebe Guy")</f>
        <v>Phoebe Guy</v>
      </c>
      <c r="T1041" s="123"/>
    </row>
    <row r="1042" spans="1:20" ht="13.8">
      <c r="A1042" s="118" t="str">
        <f ca="1">IFERROR(__xludf.DUMMYFUNCTION("""COMPUTED_VALUE"""),"LG")</f>
        <v>LG</v>
      </c>
      <c r="B1042" s="119" t="str">
        <f ca="1">IFERROR(__xludf.DUMMYFUNCTION("""COMPUTED_VALUE"""),"June Tuss")</f>
        <v>June Tuss</v>
      </c>
      <c r="C1042" s="118">
        <f ca="1">IFERROR(__xludf.DUMMYFUNCTION("""COMPUTED_VALUE"""),10)</f>
        <v>10</v>
      </c>
      <c r="D1042" s="118" t="str">
        <f ca="1">IFERROR(__xludf.DUMMYFUNCTION("""COMPUTED_VALUE"""),"G")</f>
        <v>G</v>
      </c>
      <c r="E1042" s="118" t="str">
        <f ca="1">IFERROR(__xludf.DUMMYFUNCTION("""COMPUTED_VALUE"""),"F")</f>
        <v>F</v>
      </c>
      <c r="F1042" s="118" t="str">
        <f ca="1">IFERROR(__xludf.DUMMYFUNCTION("""COMPUTED_VALUE"""),"J")</f>
        <v>J</v>
      </c>
      <c r="G1042" s="118">
        <f ca="1">IFERROR(__xludf.DUMMYFUNCTION("""COMPUTED_VALUE"""),3)</f>
        <v>3</v>
      </c>
      <c r="H1042" s="118" t="str">
        <f ca="1">IFERROR(__xludf.DUMMYFUNCTION("""COMPUTED_VALUE"""),"LG")</f>
        <v>LG</v>
      </c>
      <c r="I1042" s="118">
        <f ca="1">IFERROR(__xludf.DUMMYFUNCTION("""COMPUTED_VALUE"""),4)</f>
        <v>4</v>
      </c>
      <c r="J1042" s="118">
        <f ca="1">IFERROR(__xludf.DUMMYFUNCTION("""COMPUTED_VALUE"""),0)</f>
        <v>0</v>
      </c>
      <c r="K1042" s="120"/>
      <c r="L1042" s="121"/>
      <c r="M1042" s="120"/>
      <c r="N1042" s="121"/>
      <c r="O1042" s="120"/>
      <c r="P1042" s="122"/>
      <c r="Q1042" s="123"/>
      <c r="R1042" s="123"/>
      <c r="S1042" s="123" t="str">
        <f ca="1">IFERROR(__xludf.DUMMYFUNCTION("""COMPUTED_VALUE"""),"Phoebe Jeffery")</f>
        <v>Phoebe Jeffery</v>
      </c>
      <c r="T1042" s="123"/>
    </row>
    <row r="1043" spans="1:20" ht="13.8">
      <c r="A1043" s="118" t="str">
        <f ca="1">IFERROR(__xludf.DUMMYFUNCTION("""COMPUTED_VALUE"""),"LG")</f>
        <v>LG</v>
      </c>
      <c r="B1043" s="119" t="str">
        <f ca="1">IFERROR(__xludf.DUMMYFUNCTION("""COMPUTED_VALUE"""),"Lauren Hefferan")</f>
        <v>Lauren Hefferan</v>
      </c>
      <c r="C1043" s="118">
        <f ca="1">IFERROR(__xludf.DUMMYFUNCTION("""COMPUTED_VALUE"""),8)</f>
        <v>8</v>
      </c>
      <c r="D1043" s="118" t="str">
        <f ca="1">IFERROR(__xludf.DUMMYFUNCTION("""COMPUTED_VALUE"""),"G")</f>
        <v>G</v>
      </c>
      <c r="E1043" s="118" t="str">
        <f ca="1">IFERROR(__xludf.DUMMYFUNCTION("""COMPUTED_VALUE"""),"F")</f>
        <v>F</v>
      </c>
      <c r="F1043" s="118" t="str">
        <f ca="1">IFERROR(__xludf.DUMMYFUNCTION("""COMPUTED_VALUE"""),"J")</f>
        <v>J</v>
      </c>
      <c r="G1043" s="118">
        <f ca="1">IFERROR(__xludf.DUMMYFUNCTION("""COMPUTED_VALUE"""),3)</f>
        <v>3</v>
      </c>
      <c r="H1043" s="118" t="str">
        <f ca="1">IFERROR(__xludf.DUMMYFUNCTION("""COMPUTED_VALUE"""),"LG")</f>
        <v>LG</v>
      </c>
      <c r="I1043" s="118">
        <f ca="1">IFERROR(__xludf.DUMMYFUNCTION("""COMPUTED_VALUE"""),4)</f>
        <v>4</v>
      </c>
      <c r="J1043" s="118">
        <f ca="1">IFERROR(__xludf.DUMMYFUNCTION("""COMPUTED_VALUE"""),0)</f>
        <v>0</v>
      </c>
      <c r="K1043" s="120"/>
      <c r="L1043" s="121"/>
      <c r="M1043" s="120"/>
      <c r="N1043" s="121"/>
      <c r="O1043" s="120"/>
      <c r="P1043" s="122"/>
      <c r="Q1043" s="123"/>
      <c r="R1043" s="123"/>
      <c r="S1043" s="123" t="str">
        <f ca="1">IFERROR(__xludf.DUMMYFUNCTION("""COMPUTED_VALUE"""),"Piper Guy")</f>
        <v>Piper Guy</v>
      </c>
      <c r="T1043" s="123"/>
    </row>
    <row r="1044" spans="1:20" ht="13.8">
      <c r="A1044" s="118" t="str">
        <f ca="1">IFERROR(__xludf.DUMMYFUNCTION("""COMPUTED_VALUE"""),"LG")</f>
        <v>LG</v>
      </c>
      <c r="B1044" s="119" t="str">
        <f ca="1">IFERROR(__xludf.DUMMYFUNCTION("""COMPUTED_VALUE"""),"Lia McFayden")</f>
        <v>Lia McFayden</v>
      </c>
      <c r="C1044" s="118">
        <f ca="1">IFERROR(__xludf.DUMMYFUNCTION("""COMPUTED_VALUE"""),10)</f>
        <v>10</v>
      </c>
      <c r="D1044" s="118" t="str">
        <f ca="1">IFERROR(__xludf.DUMMYFUNCTION("""COMPUTED_VALUE"""),"G")</f>
        <v>G</v>
      </c>
      <c r="E1044" s="118" t="str">
        <f ca="1">IFERROR(__xludf.DUMMYFUNCTION("""COMPUTED_VALUE"""),"F")</f>
        <v>F</v>
      </c>
      <c r="F1044" s="118" t="str">
        <f ca="1">IFERROR(__xludf.DUMMYFUNCTION("""COMPUTED_VALUE"""),"J")</f>
        <v>J</v>
      </c>
      <c r="G1044" s="118">
        <f ca="1">IFERROR(__xludf.DUMMYFUNCTION("""COMPUTED_VALUE"""),3)</f>
        <v>3</v>
      </c>
      <c r="H1044" s="118" t="str">
        <f ca="1">IFERROR(__xludf.DUMMYFUNCTION("""COMPUTED_VALUE"""),"LG")</f>
        <v>LG</v>
      </c>
      <c r="I1044" s="118">
        <f ca="1">IFERROR(__xludf.DUMMYFUNCTION("""COMPUTED_VALUE"""),4)</f>
        <v>4</v>
      </c>
      <c r="J1044" s="118">
        <f ca="1">IFERROR(__xludf.DUMMYFUNCTION("""COMPUTED_VALUE"""),0)</f>
        <v>0</v>
      </c>
      <c r="K1044" s="120"/>
      <c r="L1044" s="121"/>
      <c r="M1044" s="120"/>
      <c r="N1044" s="121"/>
      <c r="O1044" s="120"/>
      <c r="P1044" s="122"/>
      <c r="Q1044" s="123"/>
      <c r="R1044" s="123"/>
      <c r="S1044" s="123" t="str">
        <f ca="1">IFERROR(__xludf.DUMMYFUNCTION("""COMPUTED_VALUE"""),"Pippa Chin-Fatt")</f>
        <v>Pippa Chin-Fatt</v>
      </c>
      <c r="T1044" s="123"/>
    </row>
    <row r="1045" spans="1:20" ht="13.8">
      <c r="A1045" s="118" t="str">
        <f ca="1">IFERROR(__xludf.DUMMYFUNCTION("""COMPUTED_VALUE"""),"LG")</f>
        <v>LG</v>
      </c>
      <c r="B1045" s="119" t="str">
        <f ca="1">IFERROR(__xludf.DUMMYFUNCTION("""COMPUTED_VALUE"""),"Lillian Kent")</f>
        <v>Lillian Kent</v>
      </c>
      <c r="C1045" s="118">
        <f ca="1">IFERROR(__xludf.DUMMYFUNCTION("""COMPUTED_VALUE"""),8)</f>
        <v>8</v>
      </c>
      <c r="D1045" s="118" t="str">
        <f ca="1">IFERROR(__xludf.DUMMYFUNCTION("""COMPUTED_VALUE"""),"G")</f>
        <v>G</v>
      </c>
      <c r="E1045" s="118" t="str">
        <f ca="1">IFERROR(__xludf.DUMMYFUNCTION("""COMPUTED_VALUE"""),"F")</f>
        <v>F</v>
      </c>
      <c r="F1045" s="118" t="str">
        <f ca="1">IFERROR(__xludf.DUMMYFUNCTION("""COMPUTED_VALUE"""),"J")</f>
        <v>J</v>
      </c>
      <c r="G1045" s="118">
        <f ca="1">IFERROR(__xludf.DUMMYFUNCTION("""COMPUTED_VALUE"""),3)</f>
        <v>3</v>
      </c>
      <c r="H1045" s="118" t="str">
        <f ca="1">IFERROR(__xludf.DUMMYFUNCTION("""COMPUTED_VALUE"""),"LG")</f>
        <v>LG</v>
      </c>
      <c r="I1045" s="118">
        <f ca="1">IFERROR(__xludf.DUMMYFUNCTION("""COMPUTED_VALUE"""),4)</f>
        <v>4</v>
      </c>
      <c r="J1045" s="118">
        <f ca="1">IFERROR(__xludf.DUMMYFUNCTION("""COMPUTED_VALUE"""),0)</f>
        <v>0</v>
      </c>
      <c r="K1045" s="120"/>
      <c r="L1045" s="121"/>
      <c r="M1045" s="120"/>
      <c r="N1045" s="121"/>
      <c r="O1045" s="120"/>
      <c r="P1045" s="122"/>
      <c r="Q1045" s="123"/>
      <c r="R1045" s="123"/>
      <c r="S1045" s="123" t="str">
        <f ca="1">IFERROR(__xludf.DUMMYFUNCTION("""COMPUTED_VALUE"""),"Polina Lisnik")</f>
        <v>Polina Lisnik</v>
      </c>
      <c r="T1045" s="123"/>
    </row>
    <row r="1046" spans="1:20" ht="13.8">
      <c r="A1046" s="118" t="str">
        <f ca="1">IFERROR(__xludf.DUMMYFUNCTION("""COMPUTED_VALUE"""),"LG")</f>
        <v>LG</v>
      </c>
      <c r="B1046" s="119" t="str">
        <f ca="1">IFERROR(__xludf.DUMMYFUNCTION("""COMPUTED_VALUE"""),"Lily Larson")</f>
        <v>Lily Larson</v>
      </c>
      <c r="C1046" s="118">
        <f ca="1">IFERROR(__xludf.DUMMYFUNCTION("""COMPUTED_VALUE"""),10)</f>
        <v>10</v>
      </c>
      <c r="D1046" s="118" t="str">
        <f ca="1">IFERROR(__xludf.DUMMYFUNCTION("""COMPUTED_VALUE"""),"G")</f>
        <v>G</v>
      </c>
      <c r="E1046" s="118" t="str">
        <f ca="1">IFERROR(__xludf.DUMMYFUNCTION("""COMPUTED_VALUE"""),"F")</f>
        <v>F</v>
      </c>
      <c r="F1046" s="118" t="str">
        <f ca="1">IFERROR(__xludf.DUMMYFUNCTION("""COMPUTED_VALUE"""),"J")</f>
        <v>J</v>
      </c>
      <c r="G1046" s="118">
        <f ca="1">IFERROR(__xludf.DUMMYFUNCTION("""COMPUTED_VALUE"""),3)</f>
        <v>3</v>
      </c>
      <c r="H1046" s="118" t="str">
        <f ca="1">IFERROR(__xludf.DUMMYFUNCTION("""COMPUTED_VALUE"""),"LG")</f>
        <v>LG</v>
      </c>
      <c r="I1046" s="118">
        <f ca="1">IFERROR(__xludf.DUMMYFUNCTION("""COMPUTED_VALUE"""),4)</f>
        <v>4</v>
      </c>
      <c r="J1046" s="118">
        <f ca="1">IFERROR(__xludf.DUMMYFUNCTION("""COMPUTED_VALUE"""),0)</f>
        <v>0</v>
      </c>
      <c r="K1046" s="120"/>
      <c r="L1046" s="121"/>
      <c r="M1046" s="120"/>
      <c r="N1046" s="121"/>
      <c r="O1046" s="120"/>
      <c r="P1046" s="122"/>
      <c r="Q1046" s="123"/>
      <c r="R1046" s="123"/>
      <c r="S1046" s="123" t="str">
        <f ca="1">IFERROR(__xludf.DUMMYFUNCTION("""COMPUTED_VALUE"""),"Pranitha Reddy Vempalli")</f>
        <v>Pranitha Reddy Vempalli</v>
      </c>
      <c r="T1046" s="123"/>
    </row>
    <row r="1047" spans="1:20" ht="13.8">
      <c r="A1047" s="118" t="str">
        <f ca="1">IFERROR(__xludf.DUMMYFUNCTION("""COMPUTED_VALUE"""),"LG")</f>
        <v>LG</v>
      </c>
      <c r="B1047" s="119" t="str">
        <f ca="1">IFERROR(__xludf.DUMMYFUNCTION("""COMPUTED_VALUE"""),"Lorelei Powell")</f>
        <v>Lorelei Powell</v>
      </c>
      <c r="C1047" s="118">
        <f ca="1">IFERROR(__xludf.DUMMYFUNCTION("""COMPUTED_VALUE"""),9)</f>
        <v>9</v>
      </c>
      <c r="D1047" s="118" t="str">
        <f ca="1">IFERROR(__xludf.DUMMYFUNCTION("""COMPUTED_VALUE"""),"G")</f>
        <v>G</v>
      </c>
      <c r="E1047" s="118" t="str">
        <f ca="1">IFERROR(__xludf.DUMMYFUNCTION("""COMPUTED_VALUE"""),"F")</f>
        <v>F</v>
      </c>
      <c r="F1047" s="118" t="str">
        <f ca="1">IFERROR(__xludf.DUMMYFUNCTION("""COMPUTED_VALUE"""),"J")</f>
        <v>J</v>
      </c>
      <c r="G1047" s="118">
        <f ca="1">IFERROR(__xludf.DUMMYFUNCTION("""COMPUTED_VALUE"""),3)</f>
        <v>3</v>
      </c>
      <c r="H1047" s="118" t="str">
        <f ca="1">IFERROR(__xludf.DUMMYFUNCTION("""COMPUTED_VALUE"""),"LG")</f>
        <v>LG</v>
      </c>
      <c r="I1047" s="118">
        <f ca="1">IFERROR(__xludf.DUMMYFUNCTION("""COMPUTED_VALUE"""),4)</f>
        <v>4</v>
      </c>
      <c r="J1047" s="118">
        <f ca="1">IFERROR(__xludf.DUMMYFUNCTION("""COMPUTED_VALUE"""),0)</f>
        <v>0</v>
      </c>
      <c r="K1047" s="120"/>
      <c r="L1047" s="121"/>
      <c r="M1047" s="120"/>
      <c r="N1047" s="121"/>
      <c r="O1047" s="120"/>
      <c r="P1047" s="122"/>
      <c r="Q1047" s="123"/>
      <c r="R1047" s="123"/>
      <c r="S1047" s="123" t="str">
        <f ca="1">IFERROR(__xludf.DUMMYFUNCTION("""COMPUTED_VALUE"""),"Quinn Brown")</f>
        <v>Quinn Brown</v>
      </c>
      <c r="T1047" s="123"/>
    </row>
    <row r="1048" spans="1:20" ht="13.8">
      <c r="A1048" s="118" t="str">
        <f ca="1">IFERROR(__xludf.DUMMYFUNCTION("""COMPUTED_VALUE"""),"LG")</f>
        <v>LG</v>
      </c>
      <c r="B1048" s="119" t="str">
        <f ca="1">IFERROR(__xludf.DUMMYFUNCTION("""COMPUTED_VALUE"""),"Mari Tovar")</f>
        <v>Mari Tovar</v>
      </c>
      <c r="C1048" s="118">
        <f ca="1">IFERROR(__xludf.DUMMYFUNCTION("""COMPUTED_VALUE"""),8)</f>
        <v>8</v>
      </c>
      <c r="D1048" s="118" t="str">
        <f ca="1">IFERROR(__xludf.DUMMYFUNCTION("""COMPUTED_VALUE"""),"G")</f>
        <v>G</v>
      </c>
      <c r="E1048" s="118" t="str">
        <f ca="1">IFERROR(__xludf.DUMMYFUNCTION("""COMPUTED_VALUE"""),"F")</f>
        <v>F</v>
      </c>
      <c r="F1048" s="118" t="str">
        <f ca="1">IFERROR(__xludf.DUMMYFUNCTION("""COMPUTED_VALUE"""),"J")</f>
        <v>J</v>
      </c>
      <c r="G1048" s="118">
        <f ca="1">IFERROR(__xludf.DUMMYFUNCTION("""COMPUTED_VALUE"""),3)</f>
        <v>3</v>
      </c>
      <c r="H1048" s="118" t="str">
        <f ca="1">IFERROR(__xludf.DUMMYFUNCTION("""COMPUTED_VALUE"""),"LG")</f>
        <v>LG</v>
      </c>
      <c r="I1048" s="118">
        <f ca="1">IFERROR(__xludf.DUMMYFUNCTION("""COMPUTED_VALUE"""),4)</f>
        <v>4</v>
      </c>
      <c r="J1048" s="118">
        <f ca="1">IFERROR(__xludf.DUMMYFUNCTION("""COMPUTED_VALUE"""),1)</f>
        <v>1</v>
      </c>
      <c r="K1048" s="120">
        <f ca="1">IFERROR(__xludf.DUMMYFUNCTION("""COMPUTED_VALUE"""),25.9)</f>
        <v>25.9</v>
      </c>
      <c r="L1048" s="121"/>
      <c r="M1048" s="120">
        <f ca="1">IFERROR(__xludf.DUMMYFUNCTION("""COMPUTED_VALUE"""),25.9)</f>
        <v>25.9</v>
      </c>
      <c r="N1048" s="121"/>
      <c r="O1048" s="120"/>
      <c r="P1048" s="122"/>
      <c r="Q1048" s="123"/>
      <c r="R1048" s="123"/>
      <c r="S1048" s="123" t="str">
        <f ca="1">IFERROR(__xludf.DUMMYFUNCTION("""COMPUTED_VALUE"""),"Quinn Harris")</f>
        <v>Quinn Harris</v>
      </c>
      <c r="T1048" s="123"/>
    </row>
    <row r="1049" spans="1:20" ht="13.8">
      <c r="A1049" s="118" t="str">
        <f ca="1">IFERROR(__xludf.DUMMYFUNCTION("""COMPUTED_VALUE"""),"LG")</f>
        <v>LG</v>
      </c>
      <c r="B1049" s="119" t="str">
        <f ca="1">IFERROR(__xludf.DUMMYFUNCTION("""COMPUTED_VALUE"""),"Mary Brooks Simoneaux")</f>
        <v>Mary Brooks Simoneaux</v>
      </c>
      <c r="C1049" s="118">
        <f ca="1">IFERROR(__xludf.DUMMYFUNCTION("""COMPUTED_VALUE"""),10)</f>
        <v>10</v>
      </c>
      <c r="D1049" s="118" t="str">
        <f ca="1">IFERROR(__xludf.DUMMYFUNCTION("""COMPUTED_VALUE"""),"G")</f>
        <v>G</v>
      </c>
      <c r="E1049" s="118" t="str">
        <f ca="1">IFERROR(__xludf.DUMMYFUNCTION("""COMPUTED_VALUE"""),"F")</f>
        <v>F</v>
      </c>
      <c r="F1049" s="118" t="str">
        <f ca="1">IFERROR(__xludf.DUMMYFUNCTION("""COMPUTED_VALUE"""),"J")</f>
        <v>J</v>
      </c>
      <c r="G1049" s="118">
        <f ca="1">IFERROR(__xludf.DUMMYFUNCTION("""COMPUTED_VALUE"""),3)</f>
        <v>3</v>
      </c>
      <c r="H1049" s="118" t="str">
        <f ca="1">IFERROR(__xludf.DUMMYFUNCTION("""COMPUTED_VALUE"""),"LG")</f>
        <v>LG</v>
      </c>
      <c r="I1049" s="118">
        <f ca="1">IFERROR(__xludf.DUMMYFUNCTION("""COMPUTED_VALUE"""),4)</f>
        <v>4</v>
      </c>
      <c r="J1049" s="118">
        <f ca="1">IFERROR(__xludf.DUMMYFUNCTION("""COMPUTED_VALUE"""),2)</f>
        <v>2</v>
      </c>
      <c r="K1049" s="120">
        <f ca="1">IFERROR(__xludf.DUMMYFUNCTION("""COMPUTED_VALUE"""),47.25)</f>
        <v>47.25</v>
      </c>
      <c r="L1049" s="121"/>
      <c r="M1049" s="120">
        <f ca="1">IFERROR(__xludf.DUMMYFUNCTION("""COMPUTED_VALUE"""),37.15)</f>
        <v>37.15</v>
      </c>
      <c r="N1049" s="121"/>
      <c r="O1049" s="120">
        <f ca="1">IFERROR(__xludf.DUMMYFUNCTION("""COMPUTED_VALUE"""),47.25)</f>
        <v>47.25</v>
      </c>
      <c r="P1049" s="122"/>
      <c r="Q1049" s="123"/>
      <c r="R1049" s="123"/>
      <c r="S1049" s="123" t="str">
        <f ca="1">IFERROR(__xludf.DUMMYFUNCTION("""COMPUTED_VALUE"""),"Quinn McManus")</f>
        <v>Quinn McManus</v>
      </c>
      <c r="T1049" s="123"/>
    </row>
    <row r="1050" spans="1:20" ht="13.8">
      <c r="A1050" s="118" t="str">
        <f ca="1">IFERROR(__xludf.DUMMYFUNCTION("""COMPUTED_VALUE"""),"LG")</f>
        <v>LG</v>
      </c>
      <c r="B1050" s="119" t="str">
        <f ca="1">IFERROR(__xludf.DUMMYFUNCTION("""COMPUTED_VALUE"""),"McKinley Cervenak")</f>
        <v>McKinley Cervenak</v>
      </c>
      <c r="C1050" s="118">
        <f ca="1">IFERROR(__xludf.DUMMYFUNCTION("""COMPUTED_VALUE"""),9)</f>
        <v>9</v>
      </c>
      <c r="D1050" s="118" t="str">
        <f ca="1">IFERROR(__xludf.DUMMYFUNCTION("""COMPUTED_VALUE"""),"G")</f>
        <v>G</v>
      </c>
      <c r="E1050" s="118" t="str">
        <f ca="1">IFERROR(__xludf.DUMMYFUNCTION("""COMPUTED_VALUE"""),"F")</f>
        <v>F</v>
      </c>
      <c r="F1050" s="118" t="str">
        <f ca="1">IFERROR(__xludf.DUMMYFUNCTION("""COMPUTED_VALUE"""),"J")</f>
        <v>J</v>
      </c>
      <c r="G1050" s="118">
        <f ca="1">IFERROR(__xludf.DUMMYFUNCTION("""COMPUTED_VALUE"""),3)</f>
        <v>3</v>
      </c>
      <c r="H1050" s="118" t="str">
        <f ca="1">IFERROR(__xludf.DUMMYFUNCTION("""COMPUTED_VALUE"""),"LG")</f>
        <v>LG</v>
      </c>
      <c r="I1050" s="118">
        <f ca="1">IFERROR(__xludf.DUMMYFUNCTION("""COMPUTED_VALUE"""),4)</f>
        <v>4</v>
      </c>
      <c r="J1050" s="118">
        <f ca="1">IFERROR(__xludf.DUMMYFUNCTION("""COMPUTED_VALUE"""),5)</f>
        <v>5</v>
      </c>
      <c r="K1050" s="120">
        <f ca="1">IFERROR(__xludf.DUMMYFUNCTION("""COMPUTED_VALUE"""),58)</f>
        <v>58</v>
      </c>
      <c r="L1050" s="121"/>
      <c r="M1050" s="120">
        <f ca="1">IFERROR(__xludf.DUMMYFUNCTION("""COMPUTED_VALUE"""),49.8)</f>
        <v>49.8</v>
      </c>
      <c r="N1050" s="121"/>
      <c r="O1050" s="120">
        <f ca="1">IFERROR(__xludf.DUMMYFUNCTION("""COMPUTED_VALUE"""),50.3)</f>
        <v>50.3</v>
      </c>
      <c r="P1050" s="122"/>
      <c r="Q1050" s="123"/>
      <c r="R1050" s="123"/>
      <c r="S1050" s="123" t="str">
        <f ca="1">IFERROR(__xludf.DUMMYFUNCTION("""COMPUTED_VALUE"""),"Quinn Rogers")</f>
        <v>Quinn Rogers</v>
      </c>
      <c r="T1050" s="123"/>
    </row>
    <row r="1051" spans="1:20" ht="13.8">
      <c r="A1051" s="118" t="str">
        <f ca="1">IFERROR(__xludf.DUMMYFUNCTION("""COMPUTED_VALUE"""),"LG")</f>
        <v>LG</v>
      </c>
      <c r="B1051" s="119" t="str">
        <f ca="1">IFERROR(__xludf.DUMMYFUNCTION("""COMPUTED_VALUE"""),"Misha Mullen")</f>
        <v>Misha Mullen</v>
      </c>
      <c r="C1051" s="118">
        <f ca="1">IFERROR(__xludf.DUMMYFUNCTION("""COMPUTED_VALUE"""),7)</f>
        <v>7</v>
      </c>
      <c r="D1051" s="118" t="str">
        <f ca="1">IFERROR(__xludf.DUMMYFUNCTION("""COMPUTED_VALUE"""),"G")</f>
        <v>G</v>
      </c>
      <c r="E1051" s="118" t="str">
        <f ca="1">IFERROR(__xludf.DUMMYFUNCTION("""COMPUTED_VALUE"""),"F")</f>
        <v>F</v>
      </c>
      <c r="F1051" s="118" t="str">
        <f ca="1">IFERROR(__xludf.DUMMYFUNCTION("""COMPUTED_VALUE"""),"J")</f>
        <v>J</v>
      </c>
      <c r="G1051" s="118">
        <f ca="1">IFERROR(__xludf.DUMMYFUNCTION("""COMPUTED_VALUE"""),3)</f>
        <v>3</v>
      </c>
      <c r="H1051" s="118" t="str">
        <f ca="1">IFERROR(__xludf.DUMMYFUNCTION("""COMPUTED_VALUE"""),"LG")</f>
        <v>LG</v>
      </c>
      <c r="I1051" s="118">
        <f ca="1">IFERROR(__xludf.DUMMYFUNCTION("""COMPUTED_VALUE"""),4)</f>
        <v>4</v>
      </c>
      <c r="J1051" s="118">
        <f ca="1">IFERROR(__xludf.DUMMYFUNCTION("""COMPUTED_VALUE"""),5)</f>
        <v>5</v>
      </c>
      <c r="K1051" s="120">
        <f ca="1">IFERROR(__xludf.DUMMYFUNCTION("""COMPUTED_VALUE"""),60.15)</f>
        <v>60.15</v>
      </c>
      <c r="L1051" s="121"/>
      <c r="M1051" s="120">
        <f ca="1">IFERROR(__xludf.DUMMYFUNCTION("""COMPUTED_VALUE"""),51.55)</f>
        <v>51.55</v>
      </c>
      <c r="N1051" s="121"/>
      <c r="O1051" s="120">
        <f ca="1">IFERROR(__xludf.DUMMYFUNCTION("""COMPUTED_VALUE"""),54.25)</f>
        <v>54.25</v>
      </c>
      <c r="P1051" s="122"/>
      <c r="Q1051" s="123"/>
      <c r="R1051" s="123"/>
      <c r="S1051" s="123" t="str">
        <f ca="1">IFERROR(__xludf.DUMMYFUNCTION("""COMPUTED_VALUE"""),"Quinn Thomas")</f>
        <v>Quinn Thomas</v>
      </c>
      <c r="T1051" s="123"/>
    </row>
    <row r="1052" spans="1:20" ht="13.8">
      <c r="A1052" s="118" t="str">
        <f ca="1">IFERROR(__xludf.DUMMYFUNCTION("""COMPUTED_VALUE"""),"LG")</f>
        <v>LG</v>
      </c>
      <c r="B1052" s="119" t="str">
        <f ca="1">IFERROR(__xludf.DUMMYFUNCTION("""COMPUTED_VALUE"""),"Natalie Frasure")</f>
        <v>Natalie Frasure</v>
      </c>
      <c r="C1052" s="118">
        <f ca="1">IFERROR(__xludf.DUMMYFUNCTION("""COMPUTED_VALUE"""),8)</f>
        <v>8</v>
      </c>
      <c r="D1052" s="118" t="str">
        <f ca="1">IFERROR(__xludf.DUMMYFUNCTION("""COMPUTED_VALUE"""),"G")</f>
        <v>G</v>
      </c>
      <c r="E1052" s="118" t="str">
        <f ca="1">IFERROR(__xludf.DUMMYFUNCTION("""COMPUTED_VALUE"""),"F")</f>
        <v>F</v>
      </c>
      <c r="F1052" s="118" t="str">
        <f ca="1">IFERROR(__xludf.DUMMYFUNCTION("""COMPUTED_VALUE"""),"J")</f>
        <v>J</v>
      </c>
      <c r="G1052" s="118">
        <f ca="1">IFERROR(__xludf.DUMMYFUNCTION("""COMPUTED_VALUE"""),3)</f>
        <v>3</v>
      </c>
      <c r="H1052" s="118" t="str">
        <f ca="1">IFERROR(__xludf.DUMMYFUNCTION("""COMPUTED_VALUE"""),"LG")</f>
        <v>LG</v>
      </c>
      <c r="I1052" s="118">
        <f ca="1">IFERROR(__xludf.DUMMYFUNCTION("""COMPUTED_VALUE"""),4)</f>
        <v>4</v>
      </c>
      <c r="J1052" s="118">
        <f ca="1">IFERROR(__xludf.DUMMYFUNCTION("""COMPUTED_VALUE"""),0)</f>
        <v>0</v>
      </c>
      <c r="K1052" s="120"/>
      <c r="L1052" s="121"/>
      <c r="M1052" s="120"/>
      <c r="N1052" s="121"/>
      <c r="O1052" s="120"/>
      <c r="P1052" s="122"/>
      <c r="Q1052" s="123"/>
      <c r="R1052" s="123"/>
      <c r="S1052" s="123" t="str">
        <f ca="1">IFERROR(__xludf.DUMMYFUNCTION("""COMPUTED_VALUE"""),"Quinn Warner")</f>
        <v>Quinn Warner</v>
      </c>
      <c r="T1052" s="123"/>
    </row>
    <row r="1053" spans="1:20" ht="13.8">
      <c r="A1053" s="118" t="str">
        <f ca="1">IFERROR(__xludf.DUMMYFUNCTION("""COMPUTED_VALUE"""),"LG")</f>
        <v>LG</v>
      </c>
      <c r="B1053" s="119" t="str">
        <f ca="1">IFERROR(__xludf.DUMMYFUNCTION("""COMPUTED_VALUE"""),"Nela Mullen")</f>
        <v>Nela Mullen</v>
      </c>
      <c r="C1053" s="118">
        <f ca="1">IFERROR(__xludf.DUMMYFUNCTION("""COMPUTED_VALUE"""),6)</f>
        <v>6</v>
      </c>
      <c r="D1053" s="118" t="str">
        <f ca="1">IFERROR(__xludf.DUMMYFUNCTION("""COMPUTED_VALUE"""),"G")</f>
        <v>G</v>
      </c>
      <c r="E1053" s="118" t="str">
        <f ca="1">IFERROR(__xludf.DUMMYFUNCTION("""COMPUTED_VALUE"""),"F")</f>
        <v>F</v>
      </c>
      <c r="F1053" s="118" t="str">
        <f ca="1">IFERROR(__xludf.DUMMYFUNCTION("""COMPUTED_VALUE"""),"J")</f>
        <v>J</v>
      </c>
      <c r="G1053" s="118">
        <f ca="1">IFERROR(__xludf.DUMMYFUNCTION("""COMPUTED_VALUE"""),3)</f>
        <v>3</v>
      </c>
      <c r="H1053" s="118" t="str">
        <f ca="1">IFERROR(__xludf.DUMMYFUNCTION("""COMPUTED_VALUE"""),"LG")</f>
        <v>LG</v>
      </c>
      <c r="I1053" s="118">
        <f ca="1">IFERROR(__xludf.DUMMYFUNCTION("""COMPUTED_VALUE"""),4)</f>
        <v>4</v>
      </c>
      <c r="J1053" s="118">
        <f ca="1">IFERROR(__xludf.DUMMYFUNCTION("""COMPUTED_VALUE"""),0)</f>
        <v>0</v>
      </c>
      <c r="K1053" s="120"/>
      <c r="L1053" s="121"/>
      <c r="M1053" s="120"/>
      <c r="N1053" s="121"/>
      <c r="O1053" s="120"/>
      <c r="P1053" s="122"/>
      <c r="Q1053" s="123"/>
      <c r="R1053" s="123"/>
      <c r="S1053" s="123" t="str">
        <f ca="1">IFERROR(__xludf.DUMMYFUNCTION("""COMPUTED_VALUE"""),"Quinn Zahler")</f>
        <v>Quinn Zahler</v>
      </c>
      <c r="T1053" s="123"/>
    </row>
    <row r="1054" spans="1:20" ht="13.8">
      <c r="A1054" s="118" t="str">
        <f ca="1">IFERROR(__xludf.DUMMYFUNCTION("""COMPUTED_VALUE"""),"LG")</f>
        <v>LG</v>
      </c>
      <c r="B1054" s="119" t="str">
        <f ca="1">IFERROR(__xludf.DUMMYFUNCTION("""COMPUTED_VALUE"""),"Olivia Swatt")</f>
        <v>Olivia Swatt</v>
      </c>
      <c r="C1054" s="118">
        <f ca="1">IFERROR(__xludf.DUMMYFUNCTION("""COMPUTED_VALUE"""),9)</f>
        <v>9</v>
      </c>
      <c r="D1054" s="118" t="str">
        <f ca="1">IFERROR(__xludf.DUMMYFUNCTION("""COMPUTED_VALUE"""),"G")</f>
        <v>G</v>
      </c>
      <c r="E1054" s="118" t="str">
        <f ca="1">IFERROR(__xludf.DUMMYFUNCTION("""COMPUTED_VALUE"""),"F")</f>
        <v>F</v>
      </c>
      <c r="F1054" s="118" t="str">
        <f ca="1">IFERROR(__xludf.DUMMYFUNCTION("""COMPUTED_VALUE"""),"J")</f>
        <v>J</v>
      </c>
      <c r="G1054" s="118">
        <f ca="1">IFERROR(__xludf.DUMMYFUNCTION("""COMPUTED_VALUE"""),3)</f>
        <v>3</v>
      </c>
      <c r="H1054" s="118" t="str">
        <f ca="1">IFERROR(__xludf.DUMMYFUNCTION("""COMPUTED_VALUE"""),"LG")</f>
        <v>LG</v>
      </c>
      <c r="I1054" s="118">
        <f ca="1">IFERROR(__xludf.DUMMYFUNCTION("""COMPUTED_VALUE"""),4)</f>
        <v>4</v>
      </c>
      <c r="J1054" s="118">
        <f ca="1">IFERROR(__xludf.DUMMYFUNCTION("""COMPUTED_VALUE"""),0)</f>
        <v>0</v>
      </c>
      <c r="K1054" s="120"/>
      <c r="L1054" s="121"/>
      <c r="M1054" s="120"/>
      <c r="N1054" s="121"/>
      <c r="O1054" s="120"/>
      <c r="P1054" s="122"/>
      <c r="Q1054" s="123"/>
      <c r="R1054" s="123"/>
      <c r="S1054" s="123" t="str">
        <f ca="1">IFERROR(__xludf.DUMMYFUNCTION("""COMPUTED_VALUE"""),"Rachael Pulice")</f>
        <v>Rachael Pulice</v>
      </c>
      <c r="T1054" s="123"/>
    </row>
    <row r="1055" spans="1:20" ht="13.8">
      <c r="A1055" s="118" t="str">
        <f ca="1">IFERROR(__xludf.DUMMYFUNCTION("""COMPUTED_VALUE"""),"LG")</f>
        <v>LG</v>
      </c>
      <c r="B1055" s="119" t="str">
        <f ca="1">IFERROR(__xludf.DUMMYFUNCTION("""COMPUTED_VALUE"""),"Ruby Conole")</f>
        <v>Ruby Conole</v>
      </c>
      <c r="C1055" s="118">
        <f ca="1">IFERROR(__xludf.DUMMYFUNCTION("""COMPUTED_VALUE"""),7)</f>
        <v>7</v>
      </c>
      <c r="D1055" s="118" t="str">
        <f ca="1">IFERROR(__xludf.DUMMYFUNCTION("""COMPUTED_VALUE"""),"G")</f>
        <v>G</v>
      </c>
      <c r="E1055" s="118" t="str">
        <f ca="1">IFERROR(__xludf.DUMMYFUNCTION("""COMPUTED_VALUE"""),"F")</f>
        <v>F</v>
      </c>
      <c r="F1055" s="118" t="str">
        <f ca="1">IFERROR(__xludf.DUMMYFUNCTION("""COMPUTED_VALUE"""),"J")</f>
        <v>J</v>
      </c>
      <c r="G1055" s="118">
        <f ca="1">IFERROR(__xludf.DUMMYFUNCTION("""COMPUTED_VALUE"""),3)</f>
        <v>3</v>
      </c>
      <c r="H1055" s="118" t="str">
        <f ca="1">IFERROR(__xludf.DUMMYFUNCTION("""COMPUTED_VALUE"""),"LG")</f>
        <v>LG</v>
      </c>
      <c r="I1055" s="118">
        <f ca="1">IFERROR(__xludf.DUMMYFUNCTION("""COMPUTED_VALUE"""),4)</f>
        <v>4</v>
      </c>
      <c r="J1055" s="118">
        <f ca="1">IFERROR(__xludf.DUMMYFUNCTION("""COMPUTED_VALUE"""),0)</f>
        <v>0</v>
      </c>
      <c r="K1055" s="120"/>
      <c r="L1055" s="121"/>
      <c r="M1055" s="120"/>
      <c r="N1055" s="121"/>
      <c r="O1055" s="120"/>
      <c r="P1055" s="122"/>
      <c r="Q1055" s="123"/>
      <c r="R1055" s="123"/>
      <c r="S1055" s="123" t="str">
        <f ca="1">IFERROR(__xludf.DUMMYFUNCTION("""COMPUTED_VALUE"""),"Rachel Wing")</f>
        <v>Rachel Wing</v>
      </c>
      <c r="T1055" s="123"/>
    </row>
    <row r="1056" spans="1:20" ht="13.8">
      <c r="A1056" s="118" t="str">
        <f ca="1">IFERROR(__xludf.DUMMYFUNCTION("""COMPUTED_VALUE"""),"LG")</f>
        <v>LG</v>
      </c>
      <c r="B1056" s="119" t="str">
        <f ca="1">IFERROR(__xludf.DUMMYFUNCTION("""COMPUTED_VALUE"""),"Sloane Gallagher")</f>
        <v>Sloane Gallagher</v>
      </c>
      <c r="C1056" s="118">
        <f ca="1">IFERROR(__xludf.DUMMYFUNCTION("""COMPUTED_VALUE"""),8)</f>
        <v>8</v>
      </c>
      <c r="D1056" s="118" t="str">
        <f ca="1">IFERROR(__xludf.DUMMYFUNCTION("""COMPUTED_VALUE"""),"G")</f>
        <v>G</v>
      </c>
      <c r="E1056" s="118" t="str">
        <f ca="1">IFERROR(__xludf.DUMMYFUNCTION("""COMPUTED_VALUE"""),"F")</f>
        <v>F</v>
      </c>
      <c r="F1056" s="118" t="str">
        <f ca="1">IFERROR(__xludf.DUMMYFUNCTION("""COMPUTED_VALUE"""),"J")</f>
        <v>J</v>
      </c>
      <c r="G1056" s="118">
        <f ca="1">IFERROR(__xludf.DUMMYFUNCTION("""COMPUTED_VALUE"""),3)</f>
        <v>3</v>
      </c>
      <c r="H1056" s="118" t="str">
        <f ca="1">IFERROR(__xludf.DUMMYFUNCTION("""COMPUTED_VALUE"""),"LG")</f>
        <v>LG</v>
      </c>
      <c r="I1056" s="118">
        <f ca="1">IFERROR(__xludf.DUMMYFUNCTION("""COMPUTED_VALUE"""),4)</f>
        <v>4</v>
      </c>
      <c r="J1056" s="118">
        <f ca="1">IFERROR(__xludf.DUMMYFUNCTION("""COMPUTED_VALUE"""),0)</f>
        <v>0</v>
      </c>
      <c r="K1056" s="120"/>
      <c r="L1056" s="121"/>
      <c r="M1056" s="120"/>
      <c r="N1056" s="121"/>
      <c r="O1056" s="120"/>
      <c r="P1056" s="122"/>
      <c r="Q1056" s="123"/>
      <c r="R1056" s="123"/>
      <c r="S1056" s="123" t="str">
        <f ca="1">IFERROR(__xludf.DUMMYFUNCTION("""COMPUTED_VALUE"""),"Radha Bansal")</f>
        <v>Radha Bansal</v>
      </c>
      <c r="T1056" s="123"/>
    </row>
    <row r="1057" spans="1:20" ht="13.8">
      <c r="A1057" s="118" t="str">
        <f ca="1">IFERROR(__xludf.DUMMYFUNCTION("""COMPUTED_VALUE"""),"LG")</f>
        <v>LG</v>
      </c>
      <c r="B1057" s="119" t="str">
        <f ca="1">IFERROR(__xludf.DUMMYFUNCTION("""COMPUTED_VALUE"""),"Tasanee Verasin")</f>
        <v>Tasanee Verasin</v>
      </c>
      <c r="C1057" s="118">
        <f ca="1">IFERROR(__xludf.DUMMYFUNCTION("""COMPUTED_VALUE"""),10)</f>
        <v>10</v>
      </c>
      <c r="D1057" s="118" t="str">
        <f ca="1">IFERROR(__xludf.DUMMYFUNCTION("""COMPUTED_VALUE"""),"G")</f>
        <v>G</v>
      </c>
      <c r="E1057" s="118" t="str">
        <f ca="1">IFERROR(__xludf.DUMMYFUNCTION("""COMPUTED_VALUE"""),"F")</f>
        <v>F</v>
      </c>
      <c r="F1057" s="118" t="str">
        <f ca="1">IFERROR(__xludf.DUMMYFUNCTION("""COMPUTED_VALUE"""),"J")</f>
        <v>J</v>
      </c>
      <c r="G1057" s="118">
        <f ca="1">IFERROR(__xludf.DUMMYFUNCTION("""COMPUTED_VALUE"""),3)</f>
        <v>3</v>
      </c>
      <c r="H1057" s="118" t="str">
        <f ca="1">IFERROR(__xludf.DUMMYFUNCTION("""COMPUTED_VALUE"""),"LG")</f>
        <v>LG</v>
      </c>
      <c r="I1057" s="118">
        <f ca="1">IFERROR(__xludf.DUMMYFUNCTION("""COMPUTED_VALUE"""),4)</f>
        <v>4</v>
      </c>
      <c r="J1057" s="118">
        <f ca="1">IFERROR(__xludf.DUMMYFUNCTION("""COMPUTED_VALUE"""),3)</f>
        <v>3</v>
      </c>
      <c r="K1057" s="120">
        <f ca="1">IFERROR(__xludf.DUMMYFUNCTION("""COMPUTED_VALUE"""),64.1)</f>
        <v>64.099999999999994</v>
      </c>
      <c r="L1057" s="121"/>
      <c r="M1057" s="120">
        <f ca="1">IFERROR(__xludf.DUMMYFUNCTION("""COMPUTED_VALUE"""),45.4)</f>
        <v>45.4</v>
      </c>
      <c r="N1057" s="121"/>
      <c r="O1057" s="120">
        <f ca="1">IFERROR(__xludf.DUMMYFUNCTION("""COMPUTED_VALUE"""),60)</f>
        <v>60</v>
      </c>
      <c r="P1057" s="122"/>
      <c r="Q1057" s="123"/>
      <c r="R1057" s="123"/>
      <c r="S1057" s="123" t="str">
        <f ca="1">IFERROR(__xludf.DUMMYFUNCTION("""COMPUTED_VALUE"""),"Raeya Murawski")</f>
        <v>Raeya Murawski</v>
      </c>
      <c r="T1057" s="123"/>
    </row>
    <row r="1058" spans="1:20" ht="13.8">
      <c r="A1058" s="118" t="str">
        <f ca="1">IFERROR(__xludf.DUMMYFUNCTION("""COMPUTED_VALUE"""),"LG")</f>
        <v>LG</v>
      </c>
      <c r="B1058" s="119" t="str">
        <f ca="1">IFERROR(__xludf.DUMMYFUNCTION("""COMPUTED_VALUE"""),"Violetta Aldana")</f>
        <v>Violetta Aldana</v>
      </c>
      <c r="C1058" s="118">
        <f ca="1">IFERROR(__xludf.DUMMYFUNCTION("""COMPUTED_VALUE"""),8)</f>
        <v>8</v>
      </c>
      <c r="D1058" s="118" t="str">
        <f ca="1">IFERROR(__xludf.DUMMYFUNCTION("""COMPUTED_VALUE"""),"G")</f>
        <v>G</v>
      </c>
      <c r="E1058" s="118" t="str">
        <f ca="1">IFERROR(__xludf.DUMMYFUNCTION("""COMPUTED_VALUE"""),"F")</f>
        <v>F</v>
      </c>
      <c r="F1058" s="118" t="str">
        <f ca="1">IFERROR(__xludf.DUMMYFUNCTION("""COMPUTED_VALUE"""),"J")</f>
        <v>J</v>
      </c>
      <c r="G1058" s="118">
        <f ca="1">IFERROR(__xludf.DUMMYFUNCTION("""COMPUTED_VALUE"""),3)</f>
        <v>3</v>
      </c>
      <c r="H1058" s="118" t="str">
        <f ca="1">IFERROR(__xludf.DUMMYFUNCTION("""COMPUTED_VALUE"""),"LG")</f>
        <v>LG</v>
      </c>
      <c r="I1058" s="118">
        <f ca="1">IFERROR(__xludf.DUMMYFUNCTION("""COMPUTED_VALUE"""),4)</f>
        <v>4</v>
      </c>
      <c r="J1058" s="118">
        <f ca="1">IFERROR(__xludf.DUMMYFUNCTION("""COMPUTED_VALUE"""),0)</f>
        <v>0</v>
      </c>
      <c r="K1058" s="120"/>
      <c r="L1058" s="121"/>
      <c r="M1058" s="120"/>
      <c r="N1058" s="121"/>
      <c r="O1058" s="120"/>
      <c r="P1058" s="122"/>
      <c r="Q1058" s="123"/>
      <c r="R1058" s="123"/>
      <c r="S1058" s="123" t="str">
        <f ca="1">IFERROR(__xludf.DUMMYFUNCTION("""COMPUTED_VALUE"""),"Ralitsa Kostova")</f>
        <v>Ralitsa Kostova</v>
      </c>
      <c r="T1058" s="123"/>
    </row>
    <row r="1059" spans="1:20" ht="13.8">
      <c r="A1059" s="118" t="str">
        <f ca="1">IFERROR(__xludf.DUMMYFUNCTION("""COMPUTED_VALUE"""),"LG")</f>
        <v>LG</v>
      </c>
      <c r="B1059" s="119" t="str">
        <f ca="1">IFERROR(__xludf.DUMMYFUNCTION("""COMPUTED_VALUE"""),"Warren Paterno")</f>
        <v>Warren Paterno</v>
      </c>
      <c r="C1059" s="118">
        <f ca="1">IFERROR(__xludf.DUMMYFUNCTION("""COMPUTED_VALUE"""),10)</f>
        <v>10</v>
      </c>
      <c r="D1059" s="118" t="str">
        <f ca="1">IFERROR(__xludf.DUMMYFUNCTION("""COMPUTED_VALUE"""),"G")</f>
        <v>G</v>
      </c>
      <c r="E1059" s="118" t="str">
        <f ca="1">IFERROR(__xludf.DUMMYFUNCTION("""COMPUTED_VALUE"""),"F")</f>
        <v>F</v>
      </c>
      <c r="F1059" s="118" t="str">
        <f ca="1">IFERROR(__xludf.DUMMYFUNCTION("""COMPUTED_VALUE"""),"J")</f>
        <v>J</v>
      </c>
      <c r="G1059" s="118">
        <f ca="1">IFERROR(__xludf.DUMMYFUNCTION("""COMPUTED_VALUE"""),3)</f>
        <v>3</v>
      </c>
      <c r="H1059" s="118" t="str">
        <f ca="1">IFERROR(__xludf.DUMMYFUNCTION("""COMPUTED_VALUE"""),"LG")</f>
        <v>LG</v>
      </c>
      <c r="I1059" s="118">
        <f ca="1">IFERROR(__xludf.DUMMYFUNCTION("""COMPUTED_VALUE"""),4)</f>
        <v>4</v>
      </c>
      <c r="J1059" s="118">
        <f ca="1">IFERROR(__xludf.DUMMYFUNCTION("""COMPUTED_VALUE"""),2)</f>
        <v>2</v>
      </c>
      <c r="K1059" s="120">
        <f ca="1">IFERROR(__xludf.DUMMYFUNCTION("""COMPUTED_VALUE"""),42.9)</f>
        <v>42.9</v>
      </c>
      <c r="L1059" s="121"/>
      <c r="M1059" s="120"/>
      <c r="N1059" s="121"/>
      <c r="O1059" s="120"/>
      <c r="P1059" s="122"/>
      <c r="Q1059" s="123"/>
      <c r="R1059" s="123"/>
      <c r="S1059" s="123" t="str">
        <f ca="1">IFERROR(__xludf.DUMMYFUNCTION("""COMPUTED_VALUE"""),"Ramona Greeney")</f>
        <v>Ramona Greeney</v>
      </c>
      <c r="T1059" s="123"/>
    </row>
    <row r="1060" spans="1:20" ht="13.8">
      <c r="A1060" s="118" t="str">
        <f ca="1">IFERROR(__xludf.DUMMYFUNCTION("""COMPUTED_VALUE"""),"LG")</f>
        <v>LG</v>
      </c>
      <c r="B1060" s="119" t="str">
        <f ca="1">IFERROR(__xludf.DUMMYFUNCTION("""COMPUTED_VALUE"""),"Deacon Tuss")</f>
        <v>Deacon Tuss</v>
      </c>
      <c r="C1060" s="118">
        <f ca="1">IFERROR(__xludf.DUMMYFUNCTION("""COMPUTED_VALUE"""),7)</f>
        <v>7</v>
      </c>
      <c r="D1060" s="118" t="str">
        <f ca="1">IFERROR(__xludf.DUMMYFUNCTION("""COMPUTED_VALUE"""),"B")</f>
        <v>B</v>
      </c>
      <c r="E1060" s="118" t="str">
        <f ca="1">IFERROR(__xludf.DUMMYFUNCTION("""COMPUTED_VALUE"""),"F")</f>
        <v>F</v>
      </c>
      <c r="F1060" s="118" t="str">
        <f ca="1">IFERROR(__xludf.DUMMYFUNCTION("""COMPUTED_VALUE"""),"J")</f>
        <v>J</v>
      </c>
      <c r="G1060" s="118">
        <f ca="1">IFERROR(__xludf.DUMMYFUNCTION("""COMPUTED_VALUE"""),3)</f>
        <v>3</v>
      </c>
      <c r="H1060" s="118" t="str">
        <f ca="1">IFERROR(__xludf.DUMMYFUNCTION("""COMPUTED_VALUE"""),"LG")</f>
        <v>LG</v>
      </c>
      <c r="I1060" s="118">
        <f ca="1">IFERROR(__xludf.DUMMYFUNCTION("""COMPUTED_VALUE"""),5)</f>
        <v>5</v>
      </c>
      <c r="J1060" s="118">
        <f ca="1">IFERROR(__xludf.DUMMYFUNCTION("""COMPUTED_VALUE"""),0)</f>
        <v>0</v>
      </c>
      <c r="K1060" s="120"/>
      <c r="L1060" s="121"/>
      <c r="M1060" s="120"/>
      <c r="N1060" s="121"/>
      <c r="O1060" s="120"/>
      <c r="P1060" s="122"/>
      <c r="Q1060" s="123"/>
      <c r="R1060" s="123"/>
      <c r="S1060" s="123" t="str">
        <f ca="1">IFERROR(__xludf.DUMMYFUNCTION("""COMPUTED_VALUE"""),"Rayleigh Baxa")</f>
        <v>Rayleigh Baxa</v>
      </c>
      <c r="T1060" s="123"/>
    </row>
    <row r="1061" spans="1:20" ht="13.8">
      <c r="A1061" s="118" t="str">
        <f ca="1">IFERROR(__xludf.DUMMYFUNCTION("""COMPUTED_VALUE"""),"LG")</f>
        <v>LG</v>
      </c>
      <c r="B1061" s="119" t="str">
        <f ca="1">IFERROR(__xludf.DUMMYFUNCTION("""COMPUTED_VALUE"""),"Kai Cannon")</f>
        <v>Kai Cannon</v>
      </c>
      <c r="C1061" s="118">
        <f ca="1">IFERROR(__xludf.DUMMYFUNCTION("""COMPUTED_VALUE"""),9)</f>
        <v>9</v>
      </c>
      <c r="D1061" s="118" t="str">
        <f ca="1">IFERROR(__xludf.DUMMYFUNCTION("""COMPUTED_VALUE"""),"B")</f>
        <v>B</v>
      </c>
      <c r="E1061" s="118" t="str">
        <f ca="1">IFERROR(__xludf.DUMMYFUNCTION("""COMPUTED_VALUE"""),"F")</f>
        <v>F</v>
      </c>
      <c r="F1061" s="118" t="str">
        <f ca="1">IFERROR(__xludf.DUMMYFUNCTION("""COMPUTED_VALUE"""),"J")</f>
        <v>J</v>
      </c>
      <c r="G1061" s="118">
        <f ca="1">IFERROR(__xludf.DUMMYFUNCTION("""COMPUTED_VALUE"""),3)</f>
        <v>3</v>
      </c>
      <c r="H1061" s="118" t="str">
        <f ca="1">IFERROR(__xludf.DUMMYFUNCTION("""COMPUTED_VALUE"""),"LG")</f>
        <v>LG</v>
      </c>
      <c r="I1061" s="118">
        <f ca="1">IFERROR(__xludf.DUMMYFUNCTION("""COMPUTED_VALUE"""),5)</f>
        <v>5</v>
      </c>
      <c r="J1061" s="118">
        <f ca="1">IFERROR(__xludf.DUMMYFUNCTION("""COMPUTED_VALUE"""),0)</f>
        <v>0</v>
      </c>
      <c r="K1061" s="120"/>
      <c r="L1061" s="121"/>
      <c r="M1061" s="120"/>
      <c r="N1061" s="121"/>
      <c r="O1061" s="120"/>
      <c r="P1061" s="122"/>
      <c r="Q1061" s="123"/>
      <c r="R1061" s="123"/>
      <c r="S1061" s="123" t="str">
        <f ca="1">IFERROR(__xludf.DUMMYFUNCTION("""COMPUTED_VALUE"""),"Reagan Cervenak")</f>
        <v>Reagan Cervenak</v>
      </c>
      <c r="T1061" s="123"/>
    </row>
    <row r="1062" spans="1:20" ht="13.8">
      <c r="A1062" s="118" t="str">
        <f ca="1">IFERROR(__xludf.DUMMYFUNCTION("""COMPUTED_VALUE"""),"LG")</f>
        <v>LG</v>
      </c>
      <c r="B1062" s="119" t="str">
        <f ca="1">IFERROR(__xludf.DUMMYFUNCTION("""COMPUTED_VALUE"""),"Lincoln Wade")</f>
        <v>Lincoln Wade</v>
      </c>
      <c r="C1062" s="118">
        <f ca="1">IFERROR(__xludf.DUMMYFUNCTION("""COMPUTED_VALUE"""),7)</f>
        <v>7</v>
      </c>
      <c r="D1062" s="118" t="str">
        <f ca="1">IFERROR(__xludf.DUMMYFUNCTION("""COMPUTED_VALUE"""),"B")</f>
        <v>B</v>
      </c>
      <c r="E1062" s="118" t="str">
        <f ca="1">IFERROR(__xludf.DUMMYFUNCTION("""COMPUTED_VALUE"""),"F")</f>
        <v>F</v>
      </c>
      <c r="F1062" s="118" t="str">
        <f ca="1">IFERROR(__xludf.DUMMYFUNCTION("""COMPUTED_VALUE"""),"J")</f>
        <v>J</v>
      </c>
      <c r="G1062" s="118">
        <f ca="1">IFERROR(__xludf.DUMMYFUNCTION("""COMPUTED_VALUE"""),3)</f>
        <v>3</v>
      </c>
      <c r="H1062" s="118" t="str">
        <f ca="1">IFERROR(__xludf.DUMMYFUNCTION("""COMPUTED_VALUE"""),"LG")</f>
        <v>LG</v>
      </c>
      <c r="I1062" s="118">
        <f ca="1">IFERROR(__xludf.DUMMYFUNCTION("""COMPUTED_VALUE"""),5)</f>
        <v>5</v>
      </c>
      <c r="J1062" s="118">
        <f ca="1">IFERROR(__xludf.DUMMYFUNCTION("""COMPUTED_VALUE"""),2)</f>
        <v>2</v>
      </c>
      <c r="K1062" s="120">
        <f ca="1">IFERROR(__xludf.DUMMYFUNCTION("""COMPUTED_VALUE"""),30.05)</f>
        <v>30.05</v>
      </c>
      <c r="L1062" s="121"/>
      <c r="M1062" s="120"/>
      <c r="N1062" s="121"/>
      <c r="O1062" s="120"/>
      <c r="P1062" s="122"/>
      <c r="Q1062" s="123"/>
      <c r="R1062" s="123"/>
      <c r="S1062" s="123" t="str">
        <f ca="1">IFERROR(__xludf.DUMMYFUNCTION("""COMPUTED_VALUE"""),"Reagan Goodale")</f>
        <v>Reagan Goodale</v>
      </c>
      <c r="T1062" s="123"/>
    </row>
    <row r="1063" spans="1:20" ht="13.8">
      <c r="A1063" s="118" t="str">
        <f ca="1">IFERROR(__xludf.DUMMYFUNCTION("""COMPUTED_VALUE"""),"LG")</f>
        <v>LG</v>
      </c>
      <c r="B1063" s="119" t="str">
        <f ca="1">IFERROR(__xludf.DUMMYFUNCTION("""COMPUTED_VALUE"""),"Luka Dodd")</f>
        <v>Luka Dodd</v>
      </c>
      <c r="C1063" s="118">
        <f ca="1">IFERROR(__xludf.DUMMYFUNCTION("""COMPUTED_VALUE"""),9)</f>
        <v>9</v>
      </c>
      <c r="D1063" s="118" t="str">
        <f ca="1">IFERROR(__xludf.DUMMYFUNCTION("""COMPUTED_VALUE"""),"B")</f>
        <v>B</v>
      </c>
      <c r="E1063" s="118" t="str">
        <f ca="1">IFERROR(__xludf.DUMMYFUNCTION("""COMPUTED_VALUE"""),"F")</f>
        <v>F</v>
      </c>
      <c r="F1063" s="118" t="str">
        <f ca="1">IFERROR(__xludf.DUMMYFUNCTION("""COMPUTED_VALUE"""),"J")</f>
        <v>J</v>
      </c>
      <c r="G1063" s="118">
        <f ca="1">IFERROR(__xludf.DUMMYFUNCTION("""COMPUTED_VALUE"""),3)</f>
        <v>3</v>
      </c>
      <c r="H1063" s="118" t="str">
        <f ca="1">IFERROR(__xludf.DUMMYFUNCTION("""COMPUTED_VALUE"""),"LG")</f>
        <v>LG</v>
      </c>
      <c r="I1063" s="118">
        <f ca="1">IFERROR(__xludf.DUMMYFUNCTION("""COMPUTED_VALUE"""),5)</f>
        <v>5</v>
      </c>
      <c r="J1063" s="118">
        <f ca="1">IFERROR(__xludf.DUMMYFUNCTION("""COMPUTED_VALUE"""),3)</f>
        <v>3</v>
      </c>
      <c r="K1063" s="120">
        <f ca="1">IFERROR(__xludf.DUMMYFUNCTION("""COMPUTED_VALUE"""),34.75)</f>
        <v>34.75</v>
      </c>
      <c r="L1063" s="121"/>
      <c r="M1063" s="120">
        <f ca="1">IFERROR(__xludf.DUMMYFUNCTION("""COMPUTED_VALUE"""),16.8)</f>
        <v>16.8</v>
      </c>
      <c r="N1063" s="121"/>
      <c r="O1063" s="120"/>
      <c r="P1063" s="122"/>
      <c r="Q1063" s="123"/>
      <c r="R1063" s="123"/>
      <c r="S1063" s="123" t="str">
        <f ca="1">IFERROR(__xludf.DUMMYFUNCTION("""COMPUTED_VALUE"""),"Reagan Smith")</f>
        <v>Reagan Smith</v>
      </c>
      <c r="T1063" s="123"/>
    </row>
    <row r="1064" spans="1:20" ht="13.8">
      <c r="A1064" s="118" t="str">
        <f ca="1">IFERROR(__xludf.DUMMYFUNCTION("""COMPUTED_VALUE"""),"LG")</f>
        <v>LG</v>
      </c>
      <c r="B1064" s="119" t="str">
        <f ca="1">IFERROR(__xludf.DUMMYFUNCTION("""COMPUTED_VALUE"""),"Mac McGeorge")</f>
        <v>Mac McGeorge</v>
      </c>
      <c r="C1064" s="118">
        <f ca="1">IFERROR(__xludf.DUMMYFUNCTION("""COMPUTED_VALUE"""),9)</f>
        <v>9</v>
      </c>
      <c r="D1064" s="118" t="str">
        <f ca="1">IFERROR(__xludf.DUMMYFUNCTION("""COMPUTED_VALUE"""),"B")</f>
        <v>B</v>
      </c>
      <c r="E1064" s="118" t="str">
        <f ca="1">IFERROR(__xludf.DUMMYFUNCTION("""COMPUTED_VALUE"""),"F")</f>
        <v>F</v>
      </c>
      <c r="F1064" s="118" t="str">
        <f ca="1">IFERROR(__xludf.DUMMYFUNCTION("""COMPUTED_VALUE"""),"J")</f>
        <v>J</v>
      </c>
      <c r="G1064" s="118">
        <f ca="1">IFERROR(__xludf.DUMMYFUNCTION("""COMPUTED_VALUE"""),3)</f>
        <v>3</v>
      </c>
      <c r="H1064" s="118" t="str">
        <f ca="1">IFERROR(__xludf.DUMMYFUNCTION("""COMPUTED_VALUE"""),"LG")</f>
        <v>LG</v>
      </c>
      <c r="I1064" s="118">
        <f ca="1">IFERROR(__xludf.DUMMYFUNCTION("""COMPUTED_VALUE"""),5)</f>
        <v>5</v>
      </c>
      <c r="J1064" s="118">
        <f ca="1">IFERROR(__xludf.DUMMYFUNCTION("""COMPUTED_VALUE"""),3)</f>
        <v>3</v>
      </c>
      <c r="K1064" s="120">
        <f ca="1">IFERROR(__xludf.DUMMYFUNCTION("""COMPUTED_VALUE"""),33.2)</f>
        <v>33.200000000000003</v>
      </c>
      <c r="L1064" s="121"/>
      <c r="M1064" s="120"/>
      <c r="N1064" s="121"/>
      <c r="O1064" s="120">
        <f ca="1">IFERROR(__xludf.DUMMYFUNCTION("""COMPUTED_VALUE"""),32.6)</f>
        <v>32.6</v>
      </c>
      <c r="P1064" s="122"/>
      <c r="Q1064" s="123"/>
      <c r="R1064" s="123"/>
      <c r="S1064" s="123" t="str">
        <f ca="1">IFERROR(__xludf.DUMMYFUNCTION("""COMPUTED_VALUE"""),"Rebecca Drobnis")</f>
        <v>Rebecca Drobnis</v>
      </c>
      <c r="T1064" s="123"/>
    </row>
    <row r="1065" spans="1:20" ht="13.8">
      <c r="A1065" s="118" t="str">
        <f ca="1">IFERROR(__xludf.DUMMYFUNCTION("""COMPUTED_VALUE"""),"LG")</f>
        <v>LG</v>
      </c>
      <c r="B1065" s="119" t="str">
        <f ca="1">IFERROR(__xludf.DUMMYFUNCTION("""COMPUTED_VALUE"""),"Oliver Conole")</f>
        <v>Oliver Conole</v>
      </c>
      <c r="C1065" s="118">
        <f ca="1">IFERROR(__xludf.DUMMYFUNCTION("""COMPUTED_VALUE"""),10)</f>
        <v>10</v>
      </c>
      <c r="D1065" s="118" t="str">
        <f ca="1">IFERROR(__xludf.DUMMYFUNCTION("""COMPUTED_VALUE"""),"B")</f>
        <v>B</v>
      </c>
      <c r="E1065" s="118" t="str">
        <f ca="1">IFERROR(__xludf.DUMMYFUNCTION("""COMPUTED_VALUE"""),"F")</f>
        <v>F</v>
      </c>
      <c r="F1065" s="118" t="str">
        <f ca="1">IFERROR(__xludf.DUMMYFUNCTION("""COMPUTED_VALUE"""),"J")</f>
        <v>J</v>
      </c>
      <c r="G1065" s="118">
        <f ca="1">IFERROR(__xludf.DUMMYFUNCTION("""COMPUTED_VALUE"""),3)</f>
        <v>3</v>
      </c>
      <c r="H1065" s="118" t="str">
        <f ca="1">IFERROR(__xludf.DUMMYFUNCTION("""COMPUTED_VALUE"""),"LG")</f>
        <v>LG</v>
      </c>
      <c r="I1065" s="118">
        <f ca="1">IFERROR(__xludf.DUMMYFUNCTION("""COMPUTED_VALUE"""),5)</f>
        <v>5</v>
      </c>
      <c r="J1065" s="118">
        <f ca="1">IFERROR(__xludf.DUMMYFUNCTION("""COMPUTED_VALUE"""),2)</f>
        <v>2</v>
      </c>
      <c r="K1065" s="120">
        <f ca="1">IFERROR(__xludf.DUMMYFUNCTION("""COMPUTED_VALUE"""),50.3)</f>
        <v>50.3</v>
      </c>
      <c r="L1065" s="121"/>
      <c r="M1065" s="120"/>
      <c r="N1065" s="121"/>
      <c r="O1065" s="120"/>
      <c r="P1065" s="122"/>
      <c r="Q1065" s="123"/>
      <c r="R1065" s="123"/>
      <c r="S1065" s="123" t="str">
        <f ca="1">IFERROR(__xludf.DUMMYFUNCTION("""COMPUTED_VALUE"""),"Rebecca Perkowski")</f>
        <v>Rebecca Perkowski</v>
      </c>
      <c r="T1065" s="123"/>
    </row>
    <row r="1066" spans="1:20" ht="13.8">
      <c r="A1066" s="118" t="str">
        <f ca="1">IFERROR(__xludf.DUMMYFUNCTION("""COMPUTED_VALUE"""),"LG")</f>
        <v>LG</v>
      </c>
      <c r="B1066" s="119" t="str">
        <f ca="1">IFERROR(__xludf.DUMMYFUNCTION("""COMPUTED_VALUE"""),"Patrick Swatt")</f>
        <v>Patrick Swatt</v>
      </c>
      <c r="C1066" s="118">
        <f ca="1">IFERROR(__xludf.DUMMYFUNCTION("""COMPUTED_VALUE"""),7)</f>
        <v>7</v>
      </c>
      <c r="D1066" s="118" t="str">
        <f ca="1">IFERROR(__xludf.DUMMYFUNCTION("""COMPUTED_VALUE"""),"B")</f>
        <v>B</v>
      </c>
      <c r="E1066" s="118" t="str">
        <f ca="1">IFERROR(__xludf.DUMMYFUNCTION("""COMPUTED_VALUE"""),"F")</f>
        <v>F</v>
      </c>
      <c r="F1066" s="118" t="str">
        <f ca="1">IFERROR(__xludf.DUMMYFUNCTION("""COMPUTED_VALUE"""),"J")</f>
        <v>J</v>
      </c>
      <c r="G1066" s="118">
        <f ca="1">IFERROR(__xludf.DUMMYFUNCTION("""COMPUTED_VALUE"""),3)</f>
        <v>3</v>
      </c>
      <c r="H1066" s="118" t="str">
        <f ca="1">IFERROR(__xludf.DUMMYFUNCTION("""COMPUTED_VALUE"""),"LG")</f>
        <v>LG</v>
      </c>
      <c r="I1066" s="118">
        <f ca="1">IFERROR(__xludf.DUMMYFUNCTION("""COMPUTED_VALUE"""),5)</f>
        <v>5</v>
      </c>
      <c r="J1066" s="118">
        <f ca="1">IFERROR(__xludf.DUMMYFUNCTION("""COMPUTED_VALUE"""),0)</f>
        <v>0</v>
      </c>
      <c r="K1066" s="120"/>
      <c r="L1066" s="121"/>
      <c r="M1066" s="120"/>
      <c r="N1066" s="121"/>
      <c r="O1066" s="120"/>
      <c r="P1066" s="122"/>
      <c r="Q1066" s="123"/>
      <c r="R1066" s="123"/>
      <c r="S1066" s="123" t="str">
        <f ca="1">IFERROR(__xludf.DUMMYFUNCTION("""COMPUTED_VALUE"""),"Rebecca Rothman")</f>
        <v>Rebecca Rothman</v>
      </c>
      <c r="T1066" s="123"/>
    </row>
    <row r="1067" spans="1:20" ht="13.8">
      <c r="A1067" s="118" t="str">
        <f ca="1">IFERROR(__xludf.DUMMYFUNCTION("""COMPUTED_VALUE"""),"LG")</f>
        <v>LG</v>
      </c>
      <c r="B1067" s="119" t="str">
        <f ca="1">IFERROR(__xludf.DUMMYFUNCTION("""COMPUTED_VALUE"""),"Remy Nicholson")</f>
        <v>Remy Nicholson</v>
      </c>
      <c r="C1067" s="118">
        <f ca="1">IFERROR(__xludf.DUMMYFUNCTION("""COMPUTED_VALUE"""),9)</f>
        <v>9</v>
      </c>
      <c r="D1067" s="118" t="str">
        <f ca="1">IFERROR(__xludf.DUMMYFUNCTION("""COMPUTED_VALUE"""),"B")</f>
        <v>B</v>
      </c>
      <c r="E1067" s="118" t="str">
        <f ca="1">IFERROR(__xludf.DUMMYFUNCTION("""COMPUTED_VALUE"""),"F")</f>
        <v>F</v>
      </c>
      <c r="F1067" s="118" t="str">
        <f ca="1">IFERROR(__xludf.DUMMYFUNCTION("""COMPUTED_VALUE"""),"J")</f>
        <v>J</v>
      </c>
      <c r="G1067" s="118">
        <f ca="1">IFERROR(__xludf.DUMMYFUNCTION("""COMPUTED_VALUE"""),3)</f>
        <v>3</v>
      </c>
      <c r="H1067" s="118" t="str">
        <f ca="1">IFERROR(__xludf.DUMMYFUNCTION("""COMPUTED_VALUE"""),"LG")</f>
        <v>LG</v>
      </c>
      <c r="I1067" s="118">
        <f ca="1">IFERROR(__xludf.DUMMYFUNCTION("""COMPUTED_VALUE"""),5)</f>
        <v>5</v>
      </c>
      <c r="J1067" s="118">
        <f ca="1">IFERROR(__xludf.DUMMYFUNCTION("""COMPUTED_VALUE"""),5)</f>
        <v>5</v>
      </c>
      <c r="K1067" s="120">
        <f ca="1">IFERROR(__xludf.DUMMYFUNCTION("""COMPUTED_VALUE"""),59.65)</f>
        <v>59.65</v>
      </c>
      <c r="L1067" s="121"/>
      <c r="M1067" s="120">
        <f ca="1">IFERROR(__xludf.DUMMYFUNCTION("""COMPUTED_VALUE"""),44.95)</f>
        <v>44.95</v>
      </c>
      <c r="N1067" s="121"/>
      <c r="O1067" s="120">
        <f ca="1">IFERROR(__xludf.DUMMYFUNCTION("""COMPUTED_VALUE"""),49.75)</f>
        <v>49.75</v>
      </c>
      <c r="P1067" s="122"/>
      <c r="Q1067" s="123"/>
      <c r="R1067" s="123"/>
      <c r="S1067" s="123" t="str">
        <f ca="1">IFERROR(__xludf.DUMMYFUNCTION("""COMPUTED_VALUE"""),"Reese Andresen")</f>
        <v>Reese Andresen</v>
      </c>
      <c r="T1067" s="123"/>
    </row>
    <row r="1068" spans="1:20" ht="13.8">
      <c r="A1068" s="118" t="str">
        <f ca="1">IFERROR(__xludf.DUMMYFUNCTION("""COMPUTED_VALUE"""),"LG")</f>
        <v>LG</v>
      </c>
      <c r="B1068" s="119" t="str">
        <f ca="1">IFERROR(__xludf.DUMMYFUNCTION("""COMPUTED_VALUE"""),"Ronan Gallagher")</f>
        <v>Ronan Gallagher</v>
      </c>
      <c r="C1068" s="118">
        <f ca="1">IFERROR(__xludf.DUMMYFUNCTION("""COMPUTED_VALUE"""),10)</f>
        <v>10</v>
      </c>
      <c r="D1068" s="118" t="str">
        <f ca="1">IFERROR(__xludf.DUMMYFUNCTION("""COMPUTED_VALUE"""),"B")</f>
        <v>B</v>
      </c>
      <c r="E1068" s="118" t="str">
        <f ca="1">IFERROR(__xludf.DUMMYFUNCTION("""COMPUTED_VALUE"""),"F")</f>
        <v>F</v>
      </c>
      <c r="F1068" s="118" t="str">
        <f ca="1">IFERROR(__xludf.DUMMYFUNCTION("""COMPUTED_VALUE"""),"J")</f>
        <v>J</v>
      </c>
      <c r="G1068" s="118">
        <f ca="1">IFERROR(__xludf.DUMMYFUNCTION("""COMPUTED_VALUE"""),3)</f>
        <v>3</v>
      </c>
      <c r="H1068" s="118" t="str">
        <f ca="1">IFERROR(__xludf.DUMMYFUNCTION("""COMPUTED_VALUE"""),"LG")</f>
        <v>LG</v>
      </c>
      <c r="I1068" s="118">
        <f ca="1">IFERROR(__xludf.DUMMYFUNCTION("""COMPUTED_VALUE"""),5)</f>
        <v>5</v>
      </c>
      <c r="J1068" s="118">
        <f ca="1">IFERROR(__xludf.DUMMYFUNCTION("""COMPUTED_VALUE"""),5)</f>
        <v>5</v>
      </c>
      <c r="K1068" s="120">
        <f ca="1">IFERROR(__xludf.DUMMYFUNCTION("""COMPUTED_VALUE"""),53.55)</f>
        <v>53.55</v>
      </c>
      <c r="L1068" s="121"/>
      <c r="M1068" s="120">
        <f ca="1">IFERROR(__xludf.DUMMYFUNCTION("""COMPUTED_VALUE"""),37.6)</f>
        <v>37.6</v>
      </c>
      <c r="N1068" s="121"/>
      <c r="O1068" s="120">
        <f ca="1">IFERROR(__xludf.DUMMYFUNCTION("""COMPUTED_VALUE"""),53.3)</f>
        <v>53.3</v>
      </c>
      <c r="P1068" s="122"/>
      <c r="Q1068" s="123"/>
      <c r="R1068" s="123"/>
      <c r="S1068" s="123" t="str">
        <f ca="1">IFERROR(__xludf.DUMMYFUNCTION("""COMPUTED_VALUE"""),"Reese Marino")</f>
        <v>Reese Marino</v>
      </c>
      <c r="T1068" s="123"/>
    </row>
    <row r="1069" spans="1:20" ht="13.8">
      <c r="A1069" s="118" t="str">
        <f ca="1">IFERROR(__xludf.DUMMYFUNCTION("""COMPUTED_VALUE"""),"LG")</f>
        <v>LG</v>
      </c>
      <c r="B1069" s="119" t="str">
        <f ca="1">IFERROR(__xludf.DUMMYFUNCTION("""COMPUTED_VALUE"""),"Timmy Verasin")</f>
        <v>Timmy Verasin</v>
      </c>
      <c r="C1069" s="118">
        <f ca="1">IFERROR(__xludf.DUMMYFUNCTION("""COMPUTED_VALUE"""),10)</f>
        <v>10</v>
      </c>
      <c r="D1069" s="118" t="str">
        <f ca="1">IFERROR(__xludf.DUMMYFUNCTION("""COMPUTED_VALUE"""),"B")</f>
        <v>B</v>
      </c>
      <c r="E1069" s="118" t="str">
        <f ca="1">IFERROR(__xludf.DUMMYFUNCTION("""COMPUTED_VALUE"""),"F")</f>
        <v>F</v>
      </c>
      <c r="F1069" s="118" t="str">
        <f ca="1">IFERROR(__xludf.DUMMYFUNCTION("""COMPUTED_VALUE"""),"J")</f>
        <v>J</v>
      </c>
      <c r="G1069" s="118">
        <f ca="1">IFERROR(__xludf.DUMMYFUNCTION("""COMPUTED_VALUE"""),3)</f>
        <v>3</v>
      </c>
      <c r="H1069" s="118" t="str">
        <f ca="1">IFERROR(__xludf.DUMMYFUNCTION("""COMPUTED_VALUE"""),"LG")</f>
        <v>LG</v>
      </c>
      <c r="I1069" s="118">
        <f ca="1">IFERROR(__xludf.DUMMYFUNCTION("""COMPUTED_VALUE"""),5)</f>
        <v>5</v>
      </c>
      <c r="J1069" s="118">
        <f ca="1">IFERROR(__xludf.DUMMYFUNCTION("""COMPUTED_VALUE"""),2)</f>
        <v>2</v>
      </c>
      <c r="K1069" s="120">
        <f ca="1">IFERROR(__xludf.DUMMYFUNCTION("""COMPUTED_VALUE"""),36.8)</f>
        <v>36.799999999999997</v>
      </c>
      <c r="L1069" s="121"/>
      <c r="M1069" s="120"/>
      <c r="N1069" s="121"/>
      <c r="O1069" s="120"/>
      <c r="P1069" s="122"/>
      <c r="Q1069" s="123"/>
      <c r="R1069" s="123"/>
      <c r="S1069" s="123" t="str">
        <f ca="1">IFERROR(__xludf.DUMMYFUNCTION("""COMPUTED_VALUE"""),"Remi Sobota")</f>
        <v>Remi Sobota</v>
      </c>
      <c r="T1069" s="123"/>
    </row>
    <row r="1070" spans="1:20" ht="13.8">
      <c r="A1070" s="118" t="str">
        <f ca="1">IFERROR(__xludf.DUMMYFUNCTION("""COMPUTED_VALUE"""),"LG")</f>
        <v>LG</v>
      </c>
      <c r="B1070" s="119" t="str">
        <f ca="1">IFERROR(__xludf.DUMMYFUNCTION("""COMPUTED_VALUE"""),"Wesley Klousia")</f>
        <v>Wesley Klousia</v>
      </c>
      <c r="C1070" s="118">
        <f ca="1">IFERROR(__xludf.DUMMYFUNCTION("""COMPUTED_VALUE"""),8)</f>
        <v>8</v>
      </c>
      <c r="D1070" s="118" t="str">
        <f ca="1">IFERROR(__xludf.DUMMYFUNCTION("""COMPUTED_VALUE"""),"B")</f>
        <v>B</v>
      </c>
      <c r="E1070" s="118" t="str">
        <f ca="1">IFERROR(__xludf.DUMMYFUNCTION("""COMPUTED_VALUE"""),"F")</f>
        <v>F</v>
      </c>
      <c r="F1070" s="118" t="str">
        <f ca="1">IFERROR(__xludf.DUMMYFUNCTION("""COMPUTED_VALUE"""),"J")</f>
        <v>J</v>
      </c>
      <c r="G1070" s="118">
        <f ca="1">IFERROR(__xludf.DUMMYFUNCTION("""COMPUTED_VALUE"""),3)</f>
        <v>3</v>
      </c>
      <c r="H1070" s="118" t="str">
        <f ca="1">IFERROR(__xludf.DUMMYFUNCTION("""COMPUTED_VALUE"""),"LG")</f>
        <v>LG</v>
      </c>
      <c r="I1070" s="118">
        <f ca="1">IFERROR(__xludf.DUMMYFUNCTION("""COMPUTED_VALUE"""),5)</f>
        <v>5</v>
      </c>
      <c r="J1070" s="118">
        <f ca="1">IFERROR(__xludf.DUMMYFUNCTION("""COMPUTED_VALUE"""),0)</f>
        <v>0</v>
      </c>
      <c r="K1070" s="120"/>
      <c r="L1070" s="121"/>
      <c r="M1070" s="120"/>
      <c r="N1070" s="121"/>
      <c r="O1070" s="120"/>
      <c r="P1070" s="122"/>
      <c r="Q1070" s="123"/>
      <c r="R1070" s="123"/>
      <c r="S1070" s="123" t="str">
        <f ca="1">IFERROR(__xludf.DUMMYFUNCTION("""COMPUTED_VALUE"""),"Remy Noland")</f>
        <v>Remy Noland</v>
      </c>
      <c r="T1070" s="123"/>
    </row>
    <row r="1071" spans="1:20" ht="13.8">
      <c r="A1071" s="118" t="str">
        <f ca="1">IFERROR(__xludf.DUMMYFUNCTION("""COMPUTED_VALUE"""),"LG")</f>
        <v>LG</v>
      </c>
      <c r="B1071" s="119" t="str">
        <f ca="1">IFERROR(__xludf.DUMMYFUNCTION("""COMPUTED_VALUE"""),"Wheeler Simoneaux")</f>
        <v>Wheeler Simoneaux</v>
      </c>
      <c r="C1071" s="118">
        <f ca="1">IFERROR(__xludf.DUMMYFUNCTION("""COMPUTED_VALUE"""),7)</f>
        <v>7</v>
      </c>
      <c r="D1071" s="118" t="str">
        <f ca="1">IFERROR(__xludf.DUMMYFUNCTION("""COMPUTED_VALUE"""),"B")</f>
        <v>B</v>
      </c>
      <c r="E1071" s="118" t="str">
        <f ca="1">IFERROR(__xludf.DUMMYFUNCTION("""COMPUTED_VALUE"""),"F")</f>
        <v>F</v>
      </c>
      <c r="F1071" s="118" t="str">
        <f ca="1">IFERROR(__xludf.DUMMYFUNCTION("""COMPUTED_VALUE"""),"J")</f>
        <v>J</v>
      </c>
      <c r="G1071" s="118">
        <f ca="1">IFERROR(__xludf.DUMMYFUNCTION("""COMPUTED_VALUE"""),3)</f>
        <v>3</v>
      </c>
      <c r="H1071" s="118" t="str">
        <f ca="1">IFERROR(__xludf.DUMMYFUNCTION("""COMPUTED_VALUE"""),"LG")</f>
        <v>LG</v>
      </c>
      <c r="I1071" s="118">
        <f ca="1">IFERROR(__xludf.DUMMYFUNCTION("""COMPUTED_VALUE"""),5)</f>
        <v>5</v>
      </c>
      <c r="J1071" s="118">
        <f ca="1">IFERROR(__xludf.DUMMYFUNCTION("""COMPUTED_VALUE"""),0)</f>
        <v>0</v>
      </c>
      <c r="K1071" s="120"/>
      <c r="L1071" s="121"/>
      <c r="M1071" s="120"/>
      <c r="N1071" s="121"/>
      <c r="O1071" s="120"/>
      <c r="P1071" s="122"/>
      <c r="Q1071" s="123"/>
      <c r="R1071" s="123"/>
      <c r="S1071" s="123" t="str">
        <f ca="1">IFERROR(__xludf.DUMMYFUNCTION("""COMPUTED_VALUE"""),"Renata Sondoval")</f>
        <v>Renata Sondoval</v>
      </c>
      <c r="T1071" s="123"/>
    </row>
    <row r="1072" spans="1:20" ht="13.8">
      <c r="A1072" s="118" t="str">
        <f ca="1">IFERROR(__xludf.DUMMYFUNCTION("""COMPUTED_VALUE"""),"LG")</f>
        <v>LG</v>
      </c>
      <c r="B1072" s="119" t="str">
        <f ca="1">IFERROR(__xludf.DUMMYFUNCTION("""COMPUTED_VALUE"""),"Abigail Quint")</f>
        <v>Abigail Quint</v>
      </c>
      <c r="C1072" s="118">
        <f ca="1">IFERROR(__xludf.DUMMYFUNCTION("""COMPUTED_VALUE"""),11)</f>
        <v>11</v>
      </c>
      <c r="D1072" s="118" t="str">
        <f ca="1">IFERROR(__xludf.DUMMYFUNCTION("""COMPUTED_VALUE"""),"G")</f>
        <v>G</v>
      </c>
      <c r="E1072" s="118" t="str">
        <f ca="1">IFERROR(__xludf.DUMMYFUNCTION("""COMPUTED_VALUE"""),"J")</f>
        <v>J</v>
      </c>
      <c r="F1072" s="118" t="str">
        <f ca="1">IFERROR(__xludf.DUMMYFUNCTION("""COMPUTED_VALUE"""),"I")</f>
        <v>I</v>
      </c>
      <c r="G1072" s="118">
        <f ca="1">IFERROR(__xludf.DUMMYFUNCTION("""COMPUTED_VALUE"""),3)</f>
        <v>3</v>
      </c>
      <c r="H1072" s="118" t="str">
        <f ca="1">IFERROR(__xludf.DUMMYFUNCTION("""COMPUTED_VALUE"""),"LG")</f>
        <v>LG</v>
      </c>
      <c r="I1072" s="118">
        <f ca="1">IFERROR(__xludf.DUMMYFUNCTION("""COMPUTED_VALUE"""),6)</f>
        <v>6</v>
      </c>
      <c r="J1072" s="118">
        <f ca="1">IFERROR(__xludf.DUMMYFUNCTION("""COMPUTED_VALUE"""),0)</f>
        <v>0</v>
      </c>
      <c r="K1072" s="120"/>
      <c r="L1072" s="121"/>
      <c r="M1072" s="120"/>
      <c r="N1072" s="121"/>
      <c r="O1072" s="120"/>
      <c r="P1072" s="122"/>
      <c r="Q1072" s="123"/>
      <c r="R1072" s="123"/>
      <c r="S1072" s="123" t="str">
        <f ca="1">IFERROR(__xludf.DUMMYFUNCTION("""COMPUTED_VALUE"""),"Rian Farrelly")</f>
        <v>Rian Farrelly</v>
      </c>
      <c r="T1072" s="123"/>
    </row>
    <row r="1073" spans="1:20" ht="13.8">
      <c r="A1073" s="118" t="str">
        <f ca="1">IFERROR(__xludf.DUMMYFUNCTION("""COMPUTED_VALUE"""),"LG")</f>
        <v>LG</v>
      </c>
      <c r="B1073" s="119" t="str">
        <f ca="1">IFERROR(__xludf.DUMMYFUNCTION("""COMPUTED_VALUE"""),"Annie Novotny")</f>
        <v>Annie Novotny</v>
      </c>
      <c r="C1073" s="118">
        <f ca="1">IFERROR(__xludf.DUMMYFUNCTION("""COMPUTED_VALUE"""),11)</f>
        <v>11</v>
      </c>
      <c r="D1073" s="118" t="str">
        <f ca="1">IFERROR(__xludf.DUMMYFUNCTION("""COMPUTED_VALUE"""),"G")</f>
        <v>G</v>
      </c>
      <c r="E1073" s="118" t="str">
        <f ca="1">IFERROR(__xludf.DUMMYFUNCTION("""COMPUTED_VALUE"""),"J")</f>
        <v>J</v>
      </c>
      <c r="F1073" s="118" t="str">
        <f ca="1">IFERROR(__xludf.DUMMYFUNCTION("""COMPUTED_VALUE"""),"I")</f>
        <v>I</v>
      </c>
      <c r="G1073" s="118">
        <f ca="1">IFERROR(__xludf.DUMMYFUNCTION("""COMPUTED_VALUE"""),3)</f>
        <v>3</v>
      </c>
      <c r="H1073" s="118" t="str">
        <f ca="1">IFERROR(__xludf.DUMMYFUNCTION("""COMPUTED_VALUE"""),"LG")</f>
        <v>LG</v>
      </c>
      <c r="I1073" s="118">
        <f ca="1">IFERROR(__xludf.DUMMYFUNCTION("""COMPUTED_VALUE"""),6)</f>
        <v>6</v>
      </c>
      <c r="J1073" s="118">
        <f ca="1">IFERROR(__xludf.DUMMYFUNCTION("""COMPUTED_VALUE"""),0)</f>
        <v>0</v>
      </c>
      <c r="K1073" s="120"/>
      <c r="L1073" s="121"/>
      <c r="M1073" s="120"/>
      <c r="N1073" s="121"/>
      <c r="O1073" s="120"/>
      <c r="P1073" s="122"/>
      <c r="Q1073" s="123"/>
      <c r="R1073" s="123"/>
      <c r="S1073" s="123" t="str">
        <f ca="1">IFERROR(__xludf.DUMMYFUNCTION("""COMPUTED_VALUE"""),"Riley Diaz")</f>
        <v>Riley Diaz</v>
      </c>
      <c r="T1073" s="123"/>
    </row>
    <row r="1074" spans="1:20" ht="13.8">
      <c r="A1074" s="118" t="str">
        <f ca="1">IFERROR(__xludf.DUMMYFUNCTION("""COMPUTED_VALUE"""),"LG")</f>
        <v>LG</v>
      </c>
      <c r="B1074" s="119" t="str">
        <f ca="1">IFERROR(__xludf.DUMMYFUNCTION("""COMPUTED_VALUE"""),"Audrey McGeorge")</f>
        <v>Audrey McGeorge</v>
      </c>
      <c r="C1074" s="118">
        <f ca="1">IFERROR(__xludf.DUMMYFUNCTION("""COMPUTED_VALUE"""),12)</f>
        <v>12</v>
      </c>
      <c r="D1074" s="118" t="str">
        <f ca="1">IFERROR(__xludf.DUMMYFUNCTION("""COMPUTED_VALUE"""),"G")</f>
        <v>G</v>
      </c>
      <c r="E1074" s="118" t="str">
        <f ca="1">IFERROR(__xludf.DUMMYFUNCTION("""COMPUTED_VALUE"""),"J")</f>
        <v>J</v>
      </c>
      <c r="F1074" s="118" t="str">
        <f ca="1">IFERROR(__xludf.DUMMYFUNCTION("""COMPUTED_VALUE"""),"I")</f>
        <v>I</v>
      </c>
      <c r="G1074" s="118">
        <f ca="1">IFERROR(__xludf.DUMMYFUNCTION("""COMPUTED_VALUE"""),3)</f>
        <v>3</v>
      </c>
      <c r="H1074" s="118" t="str">
        <f ca="1">IFERROR(__xludf.DUMMYFUNCTION("""COMPUTED_VALUE"""),"LG")</f>
        <v>LG</v>
      </c>
      <c r="I1074" s="118">
        <f ca="1">IFERROR(__xludf.DUMMYFUNCTION("""COMPUTED_VALUE"""),6)</f>
        <v>6</v>
      </c>
      <c r="J1074" s="118">
        <f ca="1">IFERROR(__xludf.DUMMYFUNCTION("""COMPUTED_VALUE"""),0)</f>
        <v>0</v>
      </c>
      <c r="K1074" s="120"/>
      <c r="L1074" s="121"/>
      <c r="M1074" s="120"/>
      <c r="N1074" s="121"/>
      <c r="O1074" s="120"/>
      <c r="P1074" s="122"/>
      <c r="Q1074" s="123"/>
      <c r="R1074" s="123"/>
      <c r="S1074" s="123" t="str">
        <f ca="1">IFERROR(__xludf.DUMMYFUNCTION("""COMPUTED_VALUE"""),"Riley Douglas")</f>
        <v>Riley Douglas</v>
      </c>
      <c r="T1074" s="123"/>
    </row>
    <row r="1075" spans="1:20" ht="13.8">
      <c r="A1075" s="118" t="str">
        <f ca="1">IFERROR(__xludf.DUMMYFUNCTION("""COMPUTED_VALUE"""),"LG")</f>
        <v>LG</v>
      </c>
      <c r="B1075" s="119" t="str">
        <f ca="1">IFERROR(__xludf.DUMMYFUNCTION("""COMPUTED_VALUE"""),"Avery Brown")</f>
        <v>Avery Brown</v>
      </c>
      <c r="C1075" s="118">
        <f ca="1">IFERROR(__xludf.DUMMYFUNCTION("""COMPUTED_VALUE"""),12)</f>
        <v>12</v>
      </c>
      <c r="D1075" s="118" t="str">
        <f ca="1">IFERROR(__xludf.DUMMYFUNCTION("""COMPUTED_VALUE"""),"G")</f>
        <v>G</v>
      </c>
      <c r="E1075" s="118" t="str">
        <f ca="1">IFERROR(__xludf.DUMMYFUNCTION("""COMPUTED_VALUE"""),"J")</f>
        <v>J</v>
      </c>
      <c r="F1075" s="118" t="str">
        <f ca="1">IFERROR(__xludf.DUMMYFUNCTION("""COMPUTED_VALUE"""),"I")</f>
        <v>I</v>
      </c>
      <c r="G1075" s="118">
        <f ca="1">IFERROR(__xludf.DUMMYFUNCTION("""COMPUTED_VALUE"""),3)</f>
        <v>3</v>
      </c>
      <c r="H1075" s="118" t="str">
        <f ca="1">IFERROR(__xludf.DUMMYFUNCTION("""COMPUTED_VALUE"""),"LG")</f>
        <v>LG</v>
      </c>
      <c r="I1075" s="118">
        <f ca="1">IFERROR(__xludf.DUMMYFUNCTION("""COMPUTED_VALUE"""),6)</f>
        <v>6</v>
      </c>
      <c r="J1075" s="118">
        <f ca="1">IFERROR(__xludf.DUMMYFUNCTION("""COMPUTED_VALUE"""),0)</f>
        <v>0</v>
      </c>
      <c r="K1075" s="120"/>
      <c r="L1075" s="121"/>
      <c r="M1075" s="120"/>
      <c r="N1075" s="121"/>
      <c r="O1075" s="120"/>
      <c r="P1075" s="122"/>
      <c r="Q1075" s="123"/>
      <c r="R1075" s="123"/>
      <c r="S1075" s="123" t="str">
        <f ca="1">IFERROR(__xludf.DUMMYFUNCTION("""COMPUTED_VALUE"""),"Riley Randall")</f>
        <v>Riley Randall</v>
      </c>
      <c r="T1075" s="123"/>
    </row>
    <row r="1076" spans="1:20" ht="13.8">
      <c r="A1076" s="118" t="str">
        <f ca="1">IFERROR(__xludf.DUMMYFUNCTION("""COMPUTED_VALUE"""),"LG")</f>
        <v>LG</v>
      </c>
      <c r="B1076" s="119" t="str">
        <f ca="1">IFERROR(__xludf.DUMMYFUNCTION("""COMPUTED_VALUE"""),"Claire Gallagher")</f>
        <v>Claire Gallagher</v>
      </c>
      <c r="C1076" s="118">
        <f ca="1">IFERROR(__xludf.DUMMYFUNCTION("""COMPUTED_VALUE"""),11)</f>
        <v>11</v>
      </c>
      <c r="D1076" s="118" t="str">
        <f ca="1">IFERROR(__xludf.DUMMYFUNCTION("""COMPUTED_VALUE"""),"G")</f>
        <v>G</v>
      </c>
      <c r="E1076" s="118" t="str">
        <f ca="1">IFERROR(__xludf.DUMMYFUNCTION("""COMPUTED_VALUE"""),"J")</f>
        <v>J</v>
      </c>
      <c r="F1076" s="118" t="str">
        <f ca="1">IFERROR(__xludf.DUMMYFUNCTION("""COMPUTED_VALUE"""),"I")</f>
        <v>I</v>
      </c>
      <c r="G1076" s="118">
        <f ca="1">IFERROR(__xludf.DUMMYFUNCTION("""COMPUTED_VALUE"""),3)</f>
        <v>3</v>
      </c>
      <c r="H1076" s="118" t="str">
        <f ca="1">IFERROR(__xludf.DUMMYFUNCTION("""COMPUTED_VALUE"""),"LG")</f>
        <v>LG</v>
      </c>
      <c r="I1076" s="118">
        <f ca="1">IFERROR(__xludf.DUMMYFUNCTION("""COMPUTED_VALUE"""),6)</f>
        <v>6</v>
      </c>
      <c r="J1076" s="118">
        <f ca="1">IFERROR(__xludf.DUMMYFUNCTION("""COMPUTED_VALUE"""),0)</f>
        <v>0</v>
      </c>
      <c r="K1076" s="120"/>
      <c r="L1076" s="121"/>
      <c r="M1076" s="120"/>
      <c r="N1076" s="121"/>
      <c r="O1076" s="120"/>
      <c r="P1076" s="122"/>
      <c r="Q1076" s="123"/>
      <c r="R1076" s="123"/>
      <c r="S1076" s="123" t="str">
        <f ca="1">IFERROR(__xludf.DUMMYFUNCTION("""COMPUTED_VALUE"""),"Riya Boini")</f>
        <v>Riya Boini</v>
      </c>
      <c r="T1076" s="123"/>
    </row>
    <row r="1077" spans="1:20" ht="13.8">
      <c r="A1077" s="118" t="str">
        <f ca="1">IFERROR(__xludf.DUMMYFUNCTION("""COMPUTED_VALUE"""),"LG")</f>
        <v>LG</v>
      </c>
      <c r="B1077" s="119" t="str">
        <f ca="1">IFERROR(__xludf.DUMMYFUNCTION("""COMPUTED_VALUE"""),"Evelyn Banko")</f>
        <v>Evelyn Banko</v>
      </c>
      <c r="C1077" s="118">
        <f ca="1">IFERROR(__xludf.DUMMYFUNCTION("""COMPUTED_VALUE"""),11)</f>
        <v>11</v>
      </c>
      <c r="D1077" s="118" t="str">
        <f ca="1">IFERROR(__xludf.DUMMYFUNCTION("""COMPUTED_VALUE"""),"G")</f>
        <v>G</v>
      </c>
      <c r="E1077" s="118" t="str">
        <f ca="1">IFERROR(__xludf.DUMMYFUNCTION("""COMPUTED_VALUE"""),"J")</f>
        <v>J</v>
      </c>
      <c r="F1077" s="118" t="str">
        <f ca="1">IFERROR(__xludf.DUMMYFUNCTION("""COMPUTED_VALUE"""),"I")</f>
        <v>I</v>
      </c>
      <c r="G1077" s="118">
        <f ca="1">IFERROR(__xludf.DUMMYFUNCTION("""COMPUTED_VALUE"""),3)</f>
        <v>3</v>
      </c>
      <c r="H1077" s="118" t="str">
        <f ca="1">IFERROR(__xludf.DUMMYFUNCTION("""COMPUTED_VALUE"""),"LG")</f>
        <v>LG</v>
      </c>
      <c r="I1077" s="118">
        <f ca="1">IFERROR(__xludf.DUMMYFUNCTION("""COMPUTED_VALUE"""),6)</f>
        <v>6</v>
      </c>
      <c r="J1077" s="118">
        <f ca="1">IFERROR(__xludf.DUMMYFUNCTION("""COMPUTED_VALUE"""),0)</f>
        <v>0</v>
      </c>
      <c r="K1077" s="120"/>
      <c r="L1077" s="121"/>
      <c r="M1077" s="120"/>
      <c r="N1077" s="121"/>
      <c r="O1077" s="120"/>
      <c r="P1077" s="122"/>
      <c r="Q1077" s="123"/>
      <c r="R1077" s="123"/>
      <c r="S1077" s="123" t="str">
        <f ca="1">IFERROR(__xludf.DUMMYFUNCTION("""COMPUTED_VALUE"""),"Riyah McKimmy")</f>
        <v>Riyah McKimmy</v>
      </c>
      <c r="T1077" s="123"/>
    </row>
    <row r="1078" spans="1:20" ht="13.8">
      <c r="A1078" s="118" t="str">
        <f ca="1">IFERROR(__xludf.DUMMYFUNCTION("""COMPUTED_VALUE"""),"LG")</f>
        <v>LG</v>
      </c>
      <c r="B1078" s="119" t="str">
        <f ca="1">IFERROR(__xludf.DUMMYFUNCTION("""COMPUTED_VALUE"""),"Graham Nicholson")</f>
        <v>Graham Nicholson</v>
      </c>
      <c r="C1078" s="118">
        <f ca="1">IFERROR(__xludf.DUMMYFUNCTION("""COMPUTED_VALUE"""),11)</f>
        <v>11</v>
      </c>
      <c r="D1078" s="118" t="str">
        <f ca="1">IFERROR(__xludf.DUMMYFUNCTION("""COMPUTED_VALUE"""),"G")</f>
        <v>G</v>
      </c>
      <c r="E1078" s="118" t="str">
        <f ca="1">IFERROR(__xludf.DUMMYFUNCTION("""COMPUTED_VALUE"""),"J")</f>
        <v>J</v>
      </c>
      <c r="F1078" s="118" t="str">
        <f ca="1">IFERROR(__xludf.DUMMYFUNCTION("""COMPUTED_VALUE"""),"I")</f>
        <v>I</v>
      </c>
      <c r="G1078" s="118">
        <f ca="1">IFERROR(__xludf.DUMMYFUNCTION("""COMPUTED_VALUE"""),3)</f>
        <v>3</v>
      </c>
      <c r="H1078" s="118" t="str">
        <f ca="1">IFERROR(__xludf.DUMMYFUNCTION("""COMPUTED_VALUE"""),"LG")</f>
        <v>LG</v>
      </c>
      <c r="I1078" s="118">
        <f ca="1">IFERROR(__xludf.DUMMYFUNCTION("""COMPUTED_VALUE"""),6)</f>
        <v>6</v>
      </c>
      <c r="J1078" s="118">
        <f ca="1">IFERROR(__xludf.DUMMYFUNCTION("""COMPUTED_VALUE"""),5)</f>
        <v>5</v>
      </c>
      <c r="K1078" s="120">
        <f ca="1">IFERROR(__xludf.DUMMYFUNCTION("""COMPUTED_VALUE"""),94.1)</f>
        <v>94.1</v>
      </c>
      <c r="L1078" s="121"/>
      <c r="M1078" s="120">
        <f ca="1">IFERROR(__xludf.DUMMYFUNCTION("""COMPUTED_VALUE"""),-128.85)</f>
        <v>-128.85</v>
      </c>
      <c r="N1078" s="121"/>
      <c r="O1078" s="120">
        <f ca="1">IFERROR(__xludf.DUMMYFUNCTION("""COMPUTED_VALUE"""),91.05)</f>
        <v>91.05</v>
      </c>
      <c r="P1078" s="122"/>
      <c r="Q1078" s="123"/>
      <c r="R1078" s="123"/>
      <c r="S1078" s="123" t="str">
        <f ca="1">IFERROR(__xludf.DUMMYFUNCTION("""COMPUTED_VALUE"""),"Rosalie Fitzgerald")</f>
        <v>Rosalie Fitzgerald</v>
      </c>
      <c r="T1078" s="123"/>
    </row>
    <row r="1079" spans="1:20" ht="13.8">
      <c r="A1079" s="118" t="str">
        <f ca="1">IFERROR(__xludf.DUMMYFUNCTION("""COMPUTED_VALUE"""),"LG")</f>
        <v>LG</v>
      </c>
      <c r="B1079" s="119" t="str">
        <f ca="1">IFERROR(__xludf.DUMMYFUNCTION("""COMPUTED_VALUE"""),"Hannah Dho")</f>
        <v>Hannah Dho</v>
      </c>
      <c r="C1079" s="118">
        <f ca="1">IFERROR(__xludf.DUMMYFUNCTION("""COMPUTED_VALUE"""),12)</f>
        <v>12</v>
      </c>
      <c r="D1079" s="118" t="str">
        <f ca="1">IFERROR(__xludf.DUMMYFUNCTION("""COMPUTED_VALUE"""),"G")</f>
        <v>G</v>
      </c>
      <c r="E1079" s="118" t="str">
        <f ca="1">IFERROR(__xludf.DUMMYFUNCTION("""COMPUTED_VALUE"""),"J")</f>
        <v>J</v>
      </c>
      <c r="F1079" s="118" t="str">
        <f ca="1">IFERROR(__xludf.DUMMYFUNCTION("""COMPUTED_VALUE"""),"I")</f>
        <v>I</v>
      </c>
      <c r="G1079" s="118">
        <f ca="1">IFERROR(__xludf.DUMMYFUNCTION("""COMPUTED_VALUE"""),3)</f>
        <v>3</v>
      </c>
      <c r="H1079" s="118" t="str">
        <f ca="1">IFERROR(__xludf.DUMMYFUNCTION("""COMPUTED_VALUE"""),"LG")</f>
        <v>LG</v>
      </c>
      <c r="I1079" s="118">
        <f ca="1">IFERROR(__xludf.DUMMYFUNCTION("""COMPUTED_VALUE"""),6)</f>
        <v>6</v>
      </c>
      <c r="J1079" s="118">
        <f ca="1">IFERROR(__xludf.DUMMYFUNCTION("""COMPUTED_VALUE"""),0)</f>
        <v>0</v>
      </c>
      <c r="K1079" s="120"/>
      <c r="L1079" s="121"/>
      <c r="M1079" s="120"/>
      <c r="N1079" s="121"/>
      <c r="O1079" s="120"/>
      <c r="P1079" s="122"/>
      <c r="Q1079" s="123"/>
      <c r="R1079" s="123"/>
      <c r="S1079" s="123" t="str">
        <f ca="1">IFERROR(__xludf.DUMMYFUNCTION("""COMPUTED_VALUE"""),"Rosalie Thornton")</f>
        <v>Rosalie Thornton</v>
      </c>
      <c r="T1079" s="123"/>
    </row>
    <row r="1080" spans="1:20" ht="13.8">
      <c r="A1080" s="118" t="str">
        <f ca="1">IFERROR(__xludf.DUMMYFUNCTION("""COMPUTED_VALUE"""),"LG")</f>
        <v>LG</v>
      </c>
      <c r="B1080" s="119" t="str">
        <f ca="1">IFERROR(__xludf.DUMMYFUNCTION("""COMPUTED_VALUE"""),"Jheeni Shah")</f>
        <v>Jheeni Shah</v>
      </c>
      <c r="C1080" s="118">
        <f ca="1">IFERROR(__xludf.DUMMYFUNCTION("""COMPUTED_VALUE"""),11)</f>
        <v>11</v>
      </c>
      <c r="D1080" s="118" t="str">
        <f ca="1">IFERROR(__xludf.DUMMYFUNCTION("""COMPUTED_VALUE"""),"G")</f>
        <v>G</v>
      </c>
      <c r="E1080" s="118" t="str">
        <f ca="1">IFERROR(__xludf.DUMMYFUNCTION("""COMPUTED_VALUE"""),"J")</f>
        <v>J</v>
      </c>
      <c r="F1080" s="118" t="str">
        <f ca="1">IFERROR(__xludf.DUMMYFUNCTION("""COMPUTED_VALUE"""),"I")</f>
        <v>I</v>
      </c>
      <c r="G1080" s="118">
        <f ca="1">IFERROR(__xludf.DUMMYFUNCTION("""COMPUTED_VALUE"""),3)</f>
        <v>3</v>
      </c>
      <c r="H1080" s="118" t="str">
        <f ca="1">IFERROR(__xludf.DUMMYFUNCTION("""COMPUTED_VALUE"""),"LG")</f>
        <v>LG</v>
      </c>
      <c r="I1080" s="118">
        <f ca="1">IFERROR(__xludf.DUMMYFUNCTION("""COMPUTED_VALUE"""),6)</f>
        <v>6</v>
      </c>
      <c r="J1080" s="118">
        <f ca="1">IFERROR(__xludf.DUMMYFUNCTION("""COMPUTED_VALUE"""),0)</f>
        <v>0</v>
      </c>
      <c r="K1080" s="120"/>
      <c r="L1080" s="121"/>
      <c r="M1080" s="120"/>
      <c r="N1080" s="121"/>
      <c r="O1080" s="120"/>
      <c r="P1080" s="122"/>
      <c r="Q1080" s="123"/>
      <c r="R1080" s="123"/>
      <c r="S1080" s="123" t="str">
        <f ca="1">IFERROR(__xludf.DUMMYFUNCTION("""COMPUTED_VALUE"""),"Rose Chang")</f>
        <v>Rose Chang</v>
      </c>
      <c r="T1080" s="123"/>
    </row>
    <row r="1081" spans="1:20" ht="13.8">
      <c r="A1081" s="118" t="str">
        <f ca="1">IFERROR(__xludf.DUMMYFUNCTION("""COMPUTED_VALUE"""),"LG")</f>
        <v>LG</v>
      </c>
      <c r="B1081" s="119" t="str">
        <f ca="1">IFERROR(__xludf.DUMMYFUNCTION("""COMPUTED_VALUE"""),"Lelia Dodd")</f>
        <v>Lelia Dodd</v>
      </c>
      <c r="C1081" s="118">
        <f ca="1">IFERROR(__xludf.DUMMYFUNCTION("""COMPUTED_VALUE"""),12)</f>
        <v>12</v>
      </c>
      <c r="D1081" s="118" t="str">
        <f ca="1">IFERROR(__xludf.DUMMYFUNCTION("""COMPUTED_VALUE"""),"G")</f>
        <v>G</v>
      </c>
      <c r="E1081" s="118" t="str">
        <f ca="1">IFERROR(__xludf.DUMMYFUNCTION("""COMPUTED_VALUE"""),"J")</f>
        <v>J</v>
      </c>
      <c r="F1081" s="118" t="str">
        <f ca="1">IFERROR(__xludf.DUMMYFUNCTION("""COMPUTED_VALUE"""),"I")</f>
        <v>I</v>
      </c>
      <c r="G1081" s="118">
        <f ca="1">IFERROR(__xludf.DUMMYFUNCTION("""COMPUTED_VALUE"""),3)</f>
        <v>3</v>
      </c>
      <c r="H1081" s="118" t="str">
        <f ca="1">IFERROR(__xludf.DUMMYFUNCTION("""COMPUTED_VALUE"""),"LG")</f>
        <v>LG</v>
      </c>
      <c r="I1081" s="118">
        <f ca="1">IFERROR(__xludf.DUMMYFUNCTION("""COMPUTED_VALUE"""),6)</f>
        <v>6</v>
      </c>
      <c r="J1081" s="118">
        <f ca="1">IFERROR(__xludf.DUMMYFUNCTION("""COMPUTED_VALUE"""),3)</f>
        <v>3</v>
      </c>
      <c r="K1081" s="120">
        <f ca="1">IFERROR(__xludf.DUMMYFUNCTION("""COMPUTED_VALUE"""),83.85)</f>
        <v>83.85</v>
      </c>
      <c r="L1081" s="121"/>
      <c r="M1081" s="120">
        <f ca="1">IFERROR(__xludf.DUMMYFUNCTION("""COMPUTED_VALUE"""),83.85)</f>
        <v>83.85</v>
      </c>
      <c r="N1081" s="121"/>
      <c r="O1081" s="120"/>
      <c r="P1081" s="122"/>
      <c r="Q1081" s="123"/>
      <c r="R1081" s="123"/>
      <c r="S1081" s="123" t="str">
        <f ca="1">IFERROR(__xludf.DUMMYFUNCTION("""COMPUTED_VALUE"""),"Rosie Han")</f>
        <v>Rosie Han</v>
      </c>
      <c r="T1081" s="123"/>
    </row>
    <row r="1082" spans="1:20" ht="13.8">
      <c r="A1082" s="118" t="str">
        <f ca="1">IFERROR(__xludf.DUMMYFUNCTION("""COMPUTED_VALUE"""),"LG")</f>
        <v>LG</v>
      </c>
      <c r="B1082" s="119" t="str">
        <f ca="1">IFERROR(__xludf.DUMMYFUNCTION("""COMPUTED_VALUE"""),"Thea Conole")</f>
        <v>Thea Conole</v>
      </c>
      <c r="C1082" s="118">
        <f ca="1">IFERROR(__xludf.DUMMYFUNCTION("""COMPUTED_VALUE"""),12)</f>
        <v>12</v>
      </c>
      <c r="D1082" s="118" t="str">
        <f ca="1">IFERROR(__xludf.DUMMYFUNCTION("""COMPUTED_VALUE"""),"G")</f>
        <v>G</v>
      </c>
      <c r="E1082" s="118" t="str">
        <f ca="1">IFERROR(__xludf.DUMMYFUNCTION("""COMPUTED_VALUE"""),"J")</f>
        <v>J</v>
      </c>
      <c r="F1082" s="118" t="str">
        <f ca="1">IFERROR(__xludf.DUMMYFUNCTION("""COMPUTED_VALUE"""),"I")</f>
        <v>I</v>
      </c>
      <c r="G1082" s="118">
        <f ca="1">IFERROR(__xludf.DUMMYFUNCTION("""COMPUTED_VALUE"""),3)</f>
        <v>3</v>
      </c>
      <c r="H1082" s="118" t="str">
        <f ca="1">IFERROR(__xludf.DUMMYFUNCTION("""COMPUTED_VALUE"""),"LG")</f>
        <v>LG</v>
      </c>
      <c r="I1082" s="118">
        <f ca="1">IFERROR(__xludf.DUMMYFUNCTION("""COMPUTED_VALUE"""),6)</f>
        <v>6</v>
      </c>
      <c r="J1082" s="118">
        <f ca="1">IFERROR(__xludf.DUMMYFUNCTION("""COMPUTED_VALUE"""),4)</f>
        <v>4</v>
      </c>
      <c r="K1082" s="120">
        <f ca="1">IFERROR(__xludf.DUMMYFUNCTION("""COMPUTED_VALUE"""),90.5)</f>
        <v>90.5</v>
      </c>
      <c r="L1082" s="121"/>
      <c r="M1082" s="120">
        <f ca="1">IFERROR(__xludf.DUMMYFUNCTION("""COMPUTED_VALUE"""),81.85)</f>
        <v>81.849999999999994</v>
      </c>
      <c r="N1082" s="121"/>
      <c r="O1082" s="120">
        <f ca="1">IFERROR(__xludf.DUMMYFUNCTION("""COMPUTED_VALUE"""),90.5)</f>
        <v>90.5</v>
      </c>
      <c r="P1082" s="122"/>
      <c r="Q1082" s="123"/>
      <c r="R1082" s="123"/>
      <c r="S1082" s="123" t="str">
        <f ca="1">IFERROR(__xludf.DUMMYFUNCTION("""COMPUTED_VALUE"""),"Rosie Richardson")</f>
        <v>Rosie Richardson</v>
      </c>
      <c r="T1082" s="123"/>
    </row>
    <row r="1083" spans="1:20" ht="13.8">
      <c r="A1083" s="118" t="str">
        <f ca="1">IFERROR(__xludf.DUMMYFUNCTION("""COMPUTED_VALUE"""),"LG")</f>
        <v>LG</v>
      </c>
      <c r="B1083" s="119" t="str">
        <f ca="1">IFERROR(__xludf.DUMMYFUNCTION("""COMPUTED_VALUE"""),"Wren McCann")</f>
        <v>Wren McCann</v>
      </c>
      <c r="C1083" s="118">
        <f ca="1">IFERROR(__xludf.DUMMYFUNCTION("""COMPUTED_VALUE"""),11)</f>
        <v>11</v>
      </c>
      <c r="D1083" s="118" t="str">
        <f ca="1">IFERROR(__xludf.DUMMYFUNCTION("""COMPUTED_VALUE"""),"G")</f>
        <v>G</v>
      </c>
      <c r="E1083" s="118" t="str">
        <f ca="1">IFERROR(__xludf.DUMMYFUNCTION("""COMPUTED_VALUE"""),"J")</f>
        <v>J</v>
      </c>
      <c r="F1083" s="118" t="str">
        <f ca="1">IFERROR(__xludf.DUMMYFUNCTION("""COMPUTED_VALUE"""),"I")</f>
        <v>I</v>
      </c>
      <c r="G1083" s="118">
        <f ca="1">IFERROR(__xludf.DUMMYFUNCTION("""COMPUTED_VALUE"""),3)</f>
        <v>3</v>
      </c>
      <c r="H1083" s="118" t="str">
        <f ca="1">IFERROR(__xludf.DUMMYFUNCTION("""COMPUTED_VALUE"""),"LG")</f>
        <v>LG</v>
      </c>
      <c r="I1083" s="118">
        <f ca="1">IFERROR(__xludf.DUMMYFUNCTION("""COMPUTED_VALUE"""),6)</f>
        <v>6</v>
      </c>
      <c r="J1083" s="118">
        <f ca="1">IFERROR(__xludf.DUMMYFUNCTION("""COMPUTED_VALUE"""),0)</f>
        <v>0</v>
      </c>
      <c r="K1083" s="120"/>
      <c r="L1083" s="121"/>
      <c r="M1083" s="120"/>
      <c r="N1083" s="121"/>
      <c r="O1083" s="120"/>
      <c r="P1083" s="122"/>
      <c r="Q1083" s="123"/>
      <c r="R1083" s="123"/>
      <c r="S1083" s="123" t="str">
        <f ca="1">IFERROR(__xludf.DUMMYFUNCTION("""COMPUTED_VALUE"""),"Rowan Threadgill")</f>
        <v>Rowan Threadgill</v>
      </c>
      <c r="T1083" s="123"/>
    </row>
    <row r="1084" spans="1:20" ht="13.8">
      <c r="A1084" s="118" t="str">
        <f ca="1">IFERROR(__xludf.DUMMYFUNCTION("""COMPUTED_VALUE"""),"LG")</f>
        <v>LG</v>
      </c>
      <c r="B1084" s="119" t="str">
        <f ca="1">IFERROR(__xludf.DUMMYFUNCTION("""COMPUTED_VALUE"""),"Keaton Allard")</f>
        <v>Keaton Allard</v>
      </c>
      <c r="C1084" s="118">
        <f ca="1">IFERROR(__xludf.DUMMYFUNCTION("""COMPUTED_VALUE"""),11)</f>
        <v>11</v>
      </c>
      <c r="D1084" s="118" t="str">
        <f ca="1">IFERROR(__xludf.DUMMYFUNCTION("""COMPUTED_VALUE"""),"B")</f>
        <v>B</v>
      </c>
      <c r="E1084" s="118" t="str">
        <f ca="1">IFERROR(__xludf.DUMMYFUNCTION("""COMPUTED_VALUE"""),"J")</f>
        <v>J</v>
      </c>
      <c r="F1084" s="118" t="str">
        <f ca="1">IFERROR(__xludf.DUMMYFUNCTION("""COMPUTED_VALUE"""),"I")</f>
        <v>I</v>
      </c>
      <c r="G1084" s="118">
        <f ca="1">IFERROR(__xludf.DUMMYFUNCTION("""COMPUTED_VALUE"""),3)</f>
        <v>3</v>
      </c>
      <c r="H1084" s="118" t="str">
        <f ca="1">IFERROR(__xludf.DUMMYFUNCTION("""COMPUTED_VALUE"""),"LG")</f>
        <v>LG</v>
      </c>
      <c r="I1084" s="118">
        <f ca="1">IFERROR(__xludf.DUMMYFUNCTION("""COMPUTED_VALUE"""),7)</f>
        <v>7</v>
      </c>
      <c r="J1084" s="118">
        <f ca="1">IFERROR(__xludf.DUMMYFUNCTION("""COMPUTED_VALUE"""),5)</f>
        <v>5</v>
      </c>
      <c r="K1084" s="120">
        <f ca="1">IFERROR(__xludf.DUMMYFUNCTION("""COMPUTED_VALUE"""),98.2)</f>
        <v>98.2</v>
      </c>
      <c r="L1084" s="121"/>
      <c r="M1084" s="120">
        <f ca="1">IFERROR(__xludf.DUMMYFUNCTION("""COMPUTED_VALUE"""),98.2)</f>
        <v>98.2</v>
      </c>
      <c r="N1084" s="121"/>
      <c r="O1084" s="120">
        <f ca="1">IFERROR(__xludf.DUMMYFUNCTION("""COMPUTED_VALUE"""),89.4)</f>
        <v>89.4</v>
      </c>
      <c r="P1084" s="122"/>
      <c r="Q1084" s="123"/>
      <c r="R1084" s="123"/>
      <c r="S1084" s="123" t="str">
        <f ca="1">IFERROR(__xludf.DUMMYFUNCTION("""COMPUTED_VALUE"""),"Roya Calkins")</f>
        <v>Roya Calkins</v>
      </c>
      <c r="T1084" s="123"/>
    </row>
    <row r="1085" spans="1:20" ht="13.8">
      <c r="A1085" s="118" t="str">
        <f ca="1">IFERROR(__xludf.DUMMYFUNCTION("""COMPUTED_VALUE"""),"LG")</f>
        <v>LG</v>
      </c>
      <c r="B1085" s="119" t="str">
        <f ca="1">IFERROR(__xludf.DUMMYFUNCTION("""COMPUTED_VALUE"""),"Landon Wade")</f>
        <v>Landon Wade</v>
      </c>
      <c r="C1085" s="118">
        <f ca="1">IFERROR(__xludf.DUMMYFUNCTION("""COMPUTED_VALUE"""),11)</f>
        <v>11</v>
      </c>
      <c r="D1085" s="118" t="str">
        <f ca="1">IFERROR(__xludf.DUMMYFUNCTION("""COMPUTED_VALUE"""),"B")</f>
        <v>B</v>
      </c>
      <c r="E1085" s="118" t="str">
        <f ca="1">IFERROR(__xludf.DUMMYFUNCTION("""COMPUTED_VALUE"""),"J")</f>
        <v>J</v>
      </c>
      <c r="F1085" s="118" t="str">
        <f ca="1">IFERROR(__xludf.DUMMYFUNCTION("""COMPUTED_VALUE"""),"I")</f>
        <v>I</v>
      </c>
      <c r="G1085" s="118">
        <f ca="1">IFERROR(__xludf.DUMMYFUNCTION("""COMPUTED_VALUE"""),3)</f>
        <v>3</v>
      </c>
      <c r="H1085" s="118" t="str">
        <f ca="1">IFERROR(__xludf.DUMMYFUNCTION("""COMPUTED_VALUE"""),"LG")</f>
        <v>LG</v>
      </c>
      <c r="I1085" s="118">
        <f ca="1">IFERROR(__xludf.DUMMYFUNCTION("""COMPUTED_VALUE"""),7)</f>
        <v>7</v>
      </c>
      <c r="J1085" s="118">
        <f ca="1">IFERROR(__xludf.DUMMYFUNCTION("""COMPUTED_VALUE"""),0)</f>
        <v>0</v>
      </c>
      <c r="K1085" s="120"/>
      <c r="L1085" s="121"/>
      <c r="M1085" s="120"/>
      <c r="N1085" s="121"/>
      <c r="O1085" s="120"/>
      <c r="P1085" s="122"/>
      <c r="Q1085" s="123"/>
      <c r="R1085" s="123"/>
      <c r="S1085" s="123" t="str">
        <f ca="1">IFERROR(__xludf.DUMMYFUNCTION("""COMPUTED_VALUE"""),"Ruby Conole")</f>
        <v>Ruby Conole</v>
      </c>
      <c r="T1085" s="123"/>
    </row>
    <row r="1086" spans="1:20" ht="13.8">
      <c r="A1086" s="118" t="str">
        <f ca="1">IFERROR(__xludf.DUMMYFUNCTION("""COMPUTED_VALUE"""),"LG")</f>
        <v>LG</v>
      </c>
      <c r="B1086" s="119" t="str">
        <f ca="1">IFERROR(__xludf.DUMMYFUNCTION("""COMPUTED_VALUE"""),"Noah Buckman")</f>
        <v>Noah Buckman</v>
      </c>
      <c r="C1086" s="118">
        <f ca="1">IFERROR(__xludf.DUMMYFUNCTION("""COMPUTED_VALUE"""),11)</f>
        <v>11</v>
      </c>
      <c r="D1086" s="118" t="str">
        <f ca="1">IFERROR(__xludf.DUMMYFUNCTION("""COMPUTED_VALUE"""),"B")</f>
        <v>B</v>
      </c>
      <c r="E1086" s="118" t="str">
        <f ca="1">IFERROR(__xludf.DUMMYFUNCTION("""COMPUTED_VALUE"""),"J")</f>
        <v>J</v>
      </c>
      <c r="F1086" s="118" t="str">
        <f ca="1">IFERROR(__xludf.DUMMYFUNCTION("""COMPUTED_VALUE"""),"I")</f>
        <v>I</v>
      </c>
      <c r="G1086" s="118">
        <f ca="1">IFERROR(__xludf.DUMMYFUNCTION("""COMPUTED_VALUE"""),3)</f>
        <v>3</v>
      </c>
      <c r="H1086" s="118" t="str">
        <f ca="1">IFERROR(__xludf.DUMMYFUNCTION("""COMPUTED_VALUE"""),"LG")</f>
        <v>LG</v>
      </c>
      <c r="I1086" s="118">
        <f ca="1">IFERROR(__xludf.DUMMYFUNCTION("""COMPUTED_VALUE"""),7)</f>
        <v>7</v>
      </c>
      <c r="J1086" s="118">
        <f ca="1">IFERROR(__xludf.DUMMYFUNCTION("""COMPUTED_VALUE"""),3)</f>
        <v>3</v>
      </c>
      <c r="K1086" s="120">
        <f ca="1">IFERROR(__xludf.DUMMYFUNCTION("""COMPUTED_VALUE"""),60.85)</f>
        <v>60.85</v>
      </c>
      <c r="L1086" s="121"/>
      <c r="M1086" s="120"/>
      <c r="N1086" s="121"/>
      <c r="O1086" s="120"/>
      <c r="P1086" s="122"/>
      <c r="Q1086" s="123"/>
      <c r="R1086" s="123"/>
      <c r="S1086" s="123" t="str">
        <f ca="1">IFERROR(__xludf.DUMMYFUNCTION("""COMPUTED_VALUE"""),"Ruby Johnston")</f>
        <v>Ruby Johnston</v>
      </c>
      <c r="T1086" s="123"/>
    </row>
    <row r="1087" spans="1:20" ht="13.8">
      <c r="A1087" s="118" t="str">
        <f ca="1">IFERROR(__xludf.DUMMYFUNCTION("""COMPUTED_VALUE"""),"LG")</f>
        <v>LG</v>
      </c>
      <c r="B1087" s="119" t="str">
        <f ca="1">IFERROR(__xludf.DUMMYFUNCTION("""COMPUTED_VALUE"""),"Park Hoffmann")</f>
        <v>Park Hoffmann</v>
      </c>
      <c r="C1087" s="118">
        <f ca="1">IFERROR(__xludf.DUMMYFUNCTION("""COMPUTED_VALUE"""),11)</f>
        <v>11</v>
      </c>
      <c r="D1087" s="118" t="str">
        <f ca="1">IFERROR(__xludf.DUMMYFUNCTION("""COMPUTED_VALUE"""),"B")</f>
        <v>B</v>
      </c>
      <c r="E1087" s="118" t="str">
        <f ca="1">IFERROR(__xludf.DUMMYFUNCTION("""COMPUTED_VALUE"""),"J")</f>
        <v>J</v>
      </c>
      <c r="F1087" s="118" t="str">
        <f ca="1">IFERROR(__xludf.DUMMYFUNCTION("""COMPUTED_VALUE"""),"I")</f>
        <v>I</v>
      </c>
      <c r="G1087" s="118">
        <f ca="1">IFERROR(__xludf.DUMMYFUNCTION("""COMPUTED_VALUE"""),3)</f>
        <v>3</v>
      </c>
      <c r="H1087" s="118" t="str">
        <f ca="1">IFERROR(__xludf.DUMMYFUNCTION("""COMPUTED_VALUE"""),"LG")</f>
        <v>LG</v>
      </c>
      <c r="I1087" s="118">
        <f ca="1">IFERROR(__xludf.DUMMYFUNCTION("""COMPUTED_VALUE"""),7)</f>
        <v>7</v>
      </c>
      <c r="J1087" s="118">
        <f ca="1">IFERROR(__xludf.DUMMYFUNCTION("""COMPUTED_VALUE"""),4)</f>
        <v>4</v>
      </c>
      <c r="K1087" s="120">
        <f ca="1">IFERROR(__xludf.DUMMYFUNCTION("""COMPUTED_VALUE"""),77.35)</f>
        <v>77.349999999999994</v>
      </c>
      <c r="L1087" s="121"/>
      <c r="M1087" s="120">
        <f ca="1">IFERROR(__xludf.DUMMYFUNCTION("""COMPUTED_VALUE"""),73.2)</f>
        <v>73.2</v>
      </c>
      <c r="N1087" s="121"/>
      <c r="O1087" s="120">
        <f ca="1">IFERROR(__xludf.DUMMYFUNCTION("""COMPUTED_VALUE"""),70.65)</f>
        <v>70.650000000000006</v>
      </c>
      <c r="P1087" s="122"/>
      <c r="Q1087" s="123"/>
      <c r="R1087" s="123"/>
      <c r="S1087" s="123" t="str">
        <f ca="1">IFERROR(__xludf.DUMMYFUNCTION("""COMPUTED_VALUE"""),"Ruby Spannagel")</f>
        <v>Ruby Spannagel</v>
      </c>
      <c r="T1087" s="123"/>
    </row>
    <row r="1088" spans="1:20" ht="13.8">
      <c r="A1088" s="118" t="str">
        <f ca="1">IFERROR(__xludf.DUMMYFUNCTION("""COMPUTED_VALUE"""),"LG")</f>
        <v>LG</v>
      </c>
      <c r="B1088" s="119" t="str">
        <f ca="1">IFERROR(__xludf.DUMMYFUNCTION("""COMPUTED_VALUE"""),"Reid Yeh")</f>
        <v>Reid Yeh</v>
      </c>
      <c r="C1088" s="118">
        <f ca="1">IFERROR(__xludf.DUMMYFUNCTION("""COMPUTED_VALUE"""),12)</f>
        <v>12</v>
      </c>
      <c r="D1088" s="118" t="str">
        <f ca="1">IFERROR(__xludf.DUMMYFUNCTION("""COMPUTED_VALUE"""),"B")</f>
        <v>B</v>
      </c>
      <c r="E1088" s="118" t="str">
        <f ca="1">IFERROR(__xludf.DUMMYFUNCTION("""COMPUTED_VALUE"""),"J")</f>
        <v>J</v>
      </c>
      <c r="F1088" s="118" t="str">
        <f ca="1">IFERROR(__xludf.DUMMYFUNCTION("""COMPUTED_VALUE"""),"I")</f>
        <v>I</v>
      </c>
      <c r="G1088" s="118">
        <f ca="1">IFERROR(__xludf.DUMMYFUNCTION("""COMPUTED_VALUE"""),3)</f>
        <v>3</v>
      </c>
      <c r="H1088" s="118" t="str">
        <f ca="1">IFERROR(__xludf.DUMMYFUNCTION("""COMPUTED_VALUE"""),"LG")</f>
        <v>LG</v>
      </c>
      <c r="I1088" s="118">
        <f ca="1">IFERROR(__xludf.DUMMYFUNCTION("""COMPUTED_VALUE"""),7)</f>
        <v>7</v>
      </c>
      <c r="J1088" s="118">
        <f ca="1">IFERROR(__xludf.DUMMYFUNCTION("""COMPUTED_VALUE"""),4)</f>
        <v>4</v>
      </c>
      <c r="K1088" s="120">
        <f ca="1">IFERROR(__xludf.DUMMYFUNCTION("""COMPUTED_VALUE"""),72.95)</f>
        <v>72.95</v>
      </c>
      <c r="L1088" s="121"/>
      <c r="M1088" s="120">
        <f ca="1">IFERROR(__xludf.DUMMYFUNCTION("""COMPUTED_VALUE"""),70.55)</f>
        <v>70.55</v>
      </c>
      <c r="N1088" s="121"/>
      <c r="O1088" s="120">
        <f ca="1">IFERROR(__xludf.DUMMYFUNCTION("""COMPUTED_VALUE"""),72.95)</f>
        <v>72.95</v>
      </c>
      <c r="P1088" s="122"/>
      <c r="Q1088" s="123"/>
      <c r="R1088" s="123"/>
      <c r="S1088" s="123" t="str">
        <f ca="1">IFERROR(__xludf.DUMMYFUNCTION("""COMPUTED_VALUE"""),"Ruthie Gaffney")</f>
        <v>Ruthie Gaffney</v>
      </c>
      <c r="T1088" s="123"/>
    </row>
    <row r="1089" spans="1:20" ht="13.8">
      <c r="A1089" s="118" t="str">
        <f ca="1">IFERROR(__xludf.DUMMYFUNCTION("""COMPUTED_VALUE"""),"LG")</f>
        <v>LG</v>
      </c>
      <c r="B1089" s="119" t="str">
        <f ca="1">IFERROR(__xludf.DUMMYFUNCTION("""COMPUTED_VALUE"""),"Vince Kidder")</f>
        <v>Vince Kidder</v>
      </c>
      <c r="C1089" s="118">
        <f ca="1">IFERROR(__xludf.DUMMYFUNCTION("""COMPUTED_VALUE"""),11)</f>
        <v>11</v>
      </c>
      <c r="D1089" s="118" t="str">
        <f ca="1">IFERROR(__xludf.DUMMYFUNCTION("""COMPUTED_VALUE"""),"B")</f>
        <v>B</v>
      </c>
      <c r="E1089" s="118" t="str">
        <f ca="1">IFERROR(__xludf.DUMMYFUNCTION("""COMPUTED_VALUE"""),"J")</f>
        <v>J</v>
      </c>
      <c r="F1089" s="118" t="str">
        <f ca="1">IFERROR(__xludf.DUMMYFUNCTION("""COMPUTED_VALUE"""),"I")</f>
        <v>I</v>
      </c>
      <c r="G1089" s="118">
        <f ca="1">IFERROR(__xludf.DUMMYFUNCTION("""COMPUTED_VALUE"""),3)</f>
        <v>3</v>
      </c>
      <c r="H1089" s="118" t="str">
        <f ca="1">IFERROR(__xludf.DUMMYFUNCTION("""COMPUTED_VALUE"""),"LG")</f>
        <v>LG</v>
      </c>
      <c r="I1089" s="118">
        <f ca="1">IFERROR(__xludf.DUMMYFUNCTION("""COMPUTED_VALUE"""),7)</f>
        <v>7</v>
      </c>
      <c r="J1089" s="118">
        <f ca="1">IFERROR(__xludf.DUMMYFUNCTION("""COMPUTED_VALUE"""),1)</f>
        <v>1</v>
      </c>
      <c r="K1089" s="120"/>
      <c r="L1089" s="121"/>
      <c r="M1089" s="120"/>
      <c r="N1089" s="121"/>
      <c r="O1089" s="120"/>
      <c r="P1089" s="122"/>
      <c r="Q1089" s="123"/>
      <c r="R1089" s="123"/>
      <c r="S1089" s="123" t="str">
        <f ca="1">IFERROR(__xludf.DUMMYFUNCTION("""COMPUTED_VALUE"""),"Ruthvi Mamillapalli")</f>
        <v>Ruthvi Mamillapalli</v>
      </c>
      <c r="T1089" s="123"/>
    </row>
    <row r="1090" spans="1:20" ht="13.8">
      <c r="A1090" s="118" t="str">
        <f ca="1">IFERROR(__xludf.DUMMYFUNCTION("""COMPUTED_VALUE"""),"LG")</f>
        <v>LG</v>
      </c>
      <c r="B1090" s="119" t="str">
        <f ca="1">IFERROR(__xludf.DUMMYFUNCTION("""COMPUTED_VALUE"""),"Cora Brock")</f>
        <v>Cora Brock</v>
      </c>
      <c r="C1090" s="118">
        <f ca="1">IFERROR(__xludf.DUMMYFUNCTION("""COMPUTED_VALUE"""),13)</f>
        <v>13</v>
      </c>
      <c r="D1090" s="118" t="str">
        <f ca="1">IFERROR(__xludf.DUMMYFUNCTION("""COMPUTED_VALUE"""),"G")</f>
        <v>G</v>
      </c>
      <c r="E1090" s="118" t="str">
        <f ca="1">IFERROR(__xludf.DUMMYFUNCTION("""COMPUTED_VALUE"""),"I")</f>
        <v>I</v>
      </c>
      <c r="F1090" s="118" t="str">
        <f ca="1">IFERROR(__xludf.DUMMYFUNCTION("""COMPUTED_VALUE"""),"S")</f>
        <v>S</v>
      </c>
      <c r="G1090" s="118">
        <f ca="1">IFERROR(__xludf.DUMMYFUNCTION("""COMPUTED_VALUE"""),3)</f>
        <v>3</v>
      </c>
      <c r="H1090" s="118" t="str">
        <f ca="1">IFERROR(__xludf.DUMMYFUNCTION("""COMPUTED_VALUE"""),"LG")</f>
        <v>LG</v>
      </c>
      <c r="I1090" s="118">
        <f ca="1">IFERROR(__xludf.DUMMYFUNCTION("""COMPUTED_VALUE"""),8)</f>
        <v>8</v>
      </c>
      <c r="J1090" s="118">
        <f ca="1">IFERROR(__xludf.DUMMYFUNCTION("""COMPUTED_VALUE"""),3)</f>
        <v>3</v>
      </c>
      <c r="K1090" s="120">
        <f ca="1">IFERROR(__xludf.DUMMYFUNCTION("""COMPUTED_VALUE"""),113.1)</f>
        <v>113.1</v>
      </c>
      <c r="L1090" s="121"/>
      <c r="M1090" s="120"/>
      <c r="N1090" s="121"/>
      <c r="O1090" s="120">
        <f ca="1">IFERROR(__xludf.DUMMYFUNCTION("""COMPUTED_VALUE"""),113.1)</f>
        <v>113.1</v>
      </c>
      <c r="P1090" s="122"/>
      <c r="Q1090" s="123"/>
      <c r="R1090" s="123"/>
      <c r="S1090" s="123" t="str">
        <f ca="1">IFERROR(__xludf.DUMMYFUNCTION("""COMPUTED_VALUE"""),"Ryan Frazitta")</f>
        <v>Ryan Frazitta</v>
      </c>
      <c r="T1090" s="123"/>
    </row>
    <row r="1091" spans="1:20" ht="13.8">
      <c r="A1091" s="118" t="str">
        <f ca="1">IFERROR(__xludf.DUMMYFUNCTION("""COMPUTED_VALUE"""),"LG")</f>
        <v>LG</v>
      </c>
      <c r="B1091" s="119" t="str">
        <f ca="1">IFERROR(__xludf.DUMMYFUNCTION("""COMPUTED_VALUE"""),"Maddie Allard")</f>
        <v>Maddie Allard</v>
      </c>
      <c r="C1091" s="118">
        <f ca="1">IFERROR(__xludf.DUMMYFUNCTION("""COMPUTED_VALUE"""),14)</f>
        <v>14</v>
      </c>
      <c r="D1091" s="118" t="str">
        <f ca="1">IFERROR(__xludf.DUMMYFUNCTION("""COMPUTED_VALUE"""),"G")</f>
        <v>G</v>
      </c>
      <c r="E1091" s="118" t="str">
        <f ca="1">IFERROR(__xludf.DUMMYFUNCTION("""COMPUTED_VALUE"""),"I")</f>
        <v>I</v>
      </c>
      <c r="F1091" s="118" t="str">
        <f ca="1">IFERROR(__xludf.DUMMYFUNCTION("""COMPUTED_VALUE"""),"S")</f>
        <v>S</v>
      </c>
      <c r="G1091" s="118">
        <f ca="1">IFERROR(__xludf.DUMMYFUNCTION("""COMPUTED_VALUE"""),3)</f>
        <v>3</v>
      </c>
      <c r="H1091" s="118" t="str">
        <f ca="1">IFERROR(__xludf.DUMMYFUNCTION("""COMPUTED_VALUE"""),"LG")</f>
        <v>LG</v>
      </c>
      <c r="I1091" s="118">
        <f ca="1">IFERROR(__xludf.DUMMYFUNCTION("""COMPUTED_VALUE"""),8)</f>
        <v>8</v>
      </c>
      <c r="J1091" s="118">
        <f ca="1">IFERROR(__xludf.DUMMYFUNCTION("""COMPUTED_VALUE"""),1)</f>
        <v>1</v>
      </c>
      <c r="K1091" s="120">
        <f ca="1">IFERROR(__xludf.DUMMYFUNCTION("""COMPUTED_VALUE"""),104.45)</f>
        <v>104.45</v>
      </c>
      <c r="L1091" s="121"/>
      <c r="M1091" s="120">
        <f ca="1">IFERROR(__xludf.DUMMYFUNCTION("""COMPUTED_VALUE"""),104.45)</f>
        <v>104.45</v>
      </c>
      <c r="N1091" s="121"/>
      <c r="O1091" s="120"/>
      <c r="P1091" s="122"/>
      <c r="Q1091" s="123"/>
      <c r="R1091" s="123"/>
      <c r="S1091" s="123" t="str">
        <f ca="1">IFERROR(__xludf.DUMMYFUNCTION("""COMPUTED_VALUE"""),"Ryan King")</f>
        <v>Ryan King</v>
      </c>
      <c r="T1091" s="123"/>
    </row>
    <row r="1092" spans="1:20" ht="13.8">
      <c r="A1092" s="118" t="str">
        <f ca="1">IFERROR(__xludf.DUMMYFUNCTION("""COMPUTED_VALUE"""),"LG")</f>
        <v>LG</v>
      </c>
      <c r="B1092" s="119" t="str">
        <f ca="1">IFERROR(__xludf.DUMMYFUNCTION("""COMPUTED_VALUE"""),"Malin Klousia")</f>
        <v>Malin Klousia</v>
      </c>
      <c r="C1092" s="118">
        <f ca="1">IFERROR(__xludf.DUMMYFUNCTION("""COMPUTED_VALUE"""),13)</f>
        <v>13</v>
      </c>
      <c r="D1092" s="118" t="str">
        <f ca="1">IFERROR(__xludf.DUMMYFUNCTION("""COMPUTED_VALUE"""),"G")</f>
        <v>G</v>
      </c>
      <c r="E1092" s="118" t="str">
        <f ca="1">IFERROR(__xludf.DUMMYFUNCTION("""COMPUTED_VALUE"""),"I")</f>
        <v>I</v>
      </c>
      <c r="F1092" s="118" t="str">
        <f ca="1">IFERROR(__xludf.DUMMYFUNCTION("""COMPUTED_VALUE"""),"S")</f>
        <v>S</v>
      </c>
      <c r="G1092" s="118">
        <f ca="1">IFERROR(__xludf.DUMMYFUNCTION("""COMPUTED_VALUE"""),3)</f>
        <v>3</v>
      </c>
      <c r="H1092" s="118" t="str">
        <f ca="1">IFERROR(__xludf.DUMMYFUNCTION("""COMPUTED_VALUE"""),"LG")</f>
        <v>LG</v>
      </c>
      <c r="I1092" s="118">
        <f ca="1">IFERROR(__xludf.DUMMYFUNCTION("""COMPUTED_VALUE"""),8)</f>
        <v>8</v>
      </c>
      <c r="J1092" s="118">
        <f ca="1">IFERROR(__xludf.DUMMYFUNCTION("""COMPUTED_VALUE"""),0)</f>
        <v>0</v>
      </c>
      <c r="K1092" s="120"/>
      <c r="L1092" s="121"/>
      <c r="M1092" s="120"/>
      <c r="N1092" s="121"/>
      <c r="O1092" s="120"/>
      <c r="P1092" s="122"/>
      <c r="Q1092" s="123"/>
      <c r="R1092" s="123"/>
      <c r="S1092" s="123" t="str">
        <f ca="1">IFERROR(__xludf.DUMMYFUNCTION("""COMPUTED_VALUE"""),"Ryann Rautenbach")</f>
        <v>Ryann Rautenbach</v>
      </c>
      <c r="T1092" s="123"/>
    </row>
    <row r="1093" spans="1:20" ht="13.8">
      <c r="A1093" s="118" t="str">
        <f ca="1">IFERROR(__xludf.DUMMYFUNCTION("""COMPUTED_VALUE"""),"LG")</f>
        <v>LG</v>
      </c>
      <c r="B1093" s="119" t="str">
        <f ca="1">IFERROR(__xludf.DUMMYFUNCTION("""COMPUTED_VALUE"""),"Megan Kovachy")</f>
        <v>Megan Kovachy</v>
      </c>
      <c r="C1093" s="118">
        <f ca="1">IFERROR(__xludf.DUMMYFUNCTION("""COMPUTED_VALUE"""),14)</f>
        <v>14</v>
      </c>
      <c r="D1093" s="118" t="str">
        <f ca="1">IFERROR(__xludf.DUMMYFUNCTION("""COMPUTED_VALUE"""),"G")</f>
        <v>G</v>
      </c>
      <c r="E1093" s="118" t="str">
        <f ca="1">IFERROR(__xludf.DUMMYFUNCTION("""COMPUTED_VALUE"""),"I")</f>
        <v>I</v>
      </c>
      <c r="F1093" s="118" t="str">
        <f ca="1">IFERROR(__xludf.DUMMYFUNCTION("""COMPUTED_VALUE"""),"S")</f>
        <v>S</v>
      </c>
      <c r="G1093" s="118">
        <f ca="1">IFERROR(__xludf.DUMMYFUNCTION("""COMPUTED_VALUE"""),3)</f>
        <v>3</v>
      </c>
      <c r="H1093" s="118" t="str">
        <f ca="1">IFERROR(__xludf.DUMMYFUNCTION("""COMPUTED_VALUE"""),"LG")</f>
        <v>LG</v>
      </c>
      <c r="I1093" s="118">
        <f ca="1">IFERROR(__xludf.DUMMYFUNCTION("""COMPUTED_VALUE"""),8)</f>
        <v>8</v>
      </c>
      <c r="J1093" s="118">
        <f ca="1">IFERROR(__xludf.DUMMYFUNCTION("""COMPUTED_VALUE"""),0)</f>
        <v>0</v>
      </c>
      <c r="K1093" s="120"/>
      <c r="L1093" s="121"/>
      <c r="M1093" s="120"/>
      <c r="N1093" s="121"/>
      <c r="O1093" s="120"/>
      <c r="P1093" s="122"/>
      <c r="Q1093" s="123"/>
      <c r="R1093" s="123"/>
      <c r="S1093" s="123" t="str">
        <f ca="1">IFERROR(__xludf.DUMMYFUNCTION("""COMPUTED_VALUE"""),"Rylan Woods")</f>
        <v>Rylan Woods</v>
      </c>
      <c r="T1093" s="123"/>
    </row>
    <row r="1094" spans="1:20" ht="13.8">
      <c r="A1094" s="118" t="str">
        <f ca="1">IFERROR(__xludf.DUMMYFUNCTION("""COMPUTED_VALUE"""),"LG")</f>
        <v>LG</v>
      </c>
      <c r="B1094" s="119" t="str">
        <f ca="1">IFERROR(__xludf.DUMMYFUNCTION("""COMPUTED_VALUE"""),"Sarah Banko")</f>
        <v>Sarah Banko</v>
      </c>
      <c r="C1094" s="118">
        <f ca="1">IFERROR(__xludf.DUMMYFUNCTION("""COMPUTED_VALUE"""),13)</f>
        <v>13</v>
      </c>
      <c r="D1094" s="118" t="str">
        <f ca="1">IFERROR(__xludf.DUMMYFUNCTION("""COMPUTED_VALUE"""),"G")</f>
        <v>G</v>
      </c>
      <c r="E1094" s="118" t="str">
        <f ca="1">IFERROR(__xludf.DUMMYFUNCTION("""COMPUTED_VALUE"""),"I")</f>
        <v>I</v>
      </c>
      <c r="F1094" s="118" t="str">
        <f ca="1">IFERROR(__xludf.DUMMYFUNCTION("""COMPUTED_VALUE"""),"S")</f>
        <v>S</v>
      </c>
      <c r="G1094" s="118">
        <f ca="1">IFERROR(__xludf.DUMMYFUNCTION("""COMPUTED_VALUE"""),3)</f>
        <v>3</v>
      </c>
      <c r="H1094" s="118" t="str">
        <f ca="1">IFERROR(__xludf.DUMMYFUNCTION("""COMPUTED_VALUE"""),"LG")</f>
        <v>LG</v>
      </c>
      <c r="I1094" s="118">
        <f ca="1">IFERROR(__xludf.DUMMYFUNCTION("""COMPUTED_VALUE"""),8)</f>
        <v>8</v>
      </c>
      <c r="J1094" s="118">
        <f ca="1">IFERROR(__xludf.DUMMYFUNCTION("""COMPUTED_VALUE"""),4)</f>
        <v>4</v>
      </c>
      <c r="K1094" s="120">
        <f ca="1">IFERROR(__xludf.DUMMYFUNCTION("""COMPUTED_VALUE"""),100.9)</f>
        <v>100.9</v>
      </c>
      <c r="L1094" s="121"/>
      <c r="M1094" s="120"/>
      <c r="N1094" s="121"/>
      <c r="O1094" s="120">
        <f ca="1">IFERROR(__xludf.DUMMYFUNCTION("""COMPUTED_VALUE"""),100.9)</f>
        <v>100.9</v>
      </c>
      <c r="P1094" s="122"/>
      <c r="Q1094" s="123"/>
      <c r="R1094" s="123"/>
      <c r="S1094" s="123" t="str">
        <f ca="1">IFERROR(__xludf.DUMMYFUNCTION("""COMPUTED_VALUE"""),"Rylea Vandenbemden")</f>
        <v>Rylea Vandenbemden</v>
      </c>
      <c r="T1094" s="123"/>
    </row>
    <row r="1095" spans="1:20" ht="13.8">
      <c r="A1095" s="118" t="str">
        <f ca="1">IFERROR(__xludf.DUMMYFUNCTION("""COMPUTED_VALUE"""),"LG")</f>
        <v>LG</v>
      </c>
      <c r="B1095" s="119" t="str">
        <f ca="1">IFERROR(__xludf.DUMMYFUNCTION("""COMPUTED_VALUE"""),"Zoe Mar")</f>
        <v>Zoe Mar</v>
      </c>
      <c r="C1095" s="118">
        <f ca="1">IFERROR(__xludf.DUMMYFUNCTION("""COMPUTED_VALUE"""),14)</f>
        <v>14</v>
      </c>
      <c r="D1095" s="118" t="str">
        <f ca="1">IFERROR(__xludf.DUMMYFUNCTION("""COMPUTED_VALUE"""),"G")</f>
        <v>G</v>
      </c>
      <c r="E1095" s="118" t="str">
        <f ca="1">IFERROR(__xludf.DUMMYFUNCTION("""COMPUTED_VALUE"""),"I")</f>
        <v>I</v>
      </c>
      <c r="F1095" s="118" t="str">
        <f ca="1">IFERROR(__xludf.DUMMYFUNCTION("""COMPUTED_VALUE"""),"S")</f>
        <v>S</v>
      </c>
      <c r="G1095" s="118">
        <f ca="1">IFERROR(__xludf.DUMMYFUNCTION("""COMPUTED_VALUE"""),3)</f>
        <v>3</v>
      </c>
      <c r="H1095" s="118" t="str">
        <f ca="1">IFERROR(__xludf.DUMMYFUNCTION("""COMPUTED_VALUE"""),"LG")</f>
        <v>LG</v>
      </c>
      <c r="I1095" s="118">
        <f ca="1">IFERROR(__xludf.DUMMYFUNCTION("""COMPUTED_VALUE"""),8)</f>
        <v>8</v>
      </c>
      <c r="J1095" s="118">
        <f ca="1">IFERROR(__xludf.DUMMYFUNCTION("""COMPUTED_VALUE"""),4)</f>
        <v>4</v>
      </c>
      <c r="K1095" s="120">
        <f ca="1">IFERROR(__xludf.DUMMYFUNCTION("""COMPUTED_VALUE"""),138.15)</f>
        <v>138.15</v>
      </c>
      <c r="L1095" s="121"/>
      <c r="M1095" s="120"/>
      <c r="N1095" s="121"/>
      <c r="O1095" s="120">
        <f ca="1">IFERROR(__xludf.DUMMYFUNCTION("""COMPUTED_VALUE"""),138.15)</f>
        <v>138.15</v>
      </c>
      <c r="P1095" s="122"/>
      <c r="Q1095" s="123"/>
      <c r="R1095" s="123"/>
      <c r="S1095" s="123" t="str">
        <f ca="1">IFERROR(__xludf.DUMMYFUNCTION("""COMPUTED_VALUE"""),"Sabina Khan")</f>
        <v>Sabina Khan</v>
      </c>
      <c r="T1095" s="123"/>
    </row>
    <row r="1096" spans="1:20" ht="13.8">
      <c r="A1096" s="118" t="str">
        <f ca="1">IFERROR(__xludf.DUMMYFUNCTION("""COMPUTED_VALUE"""),"LG")</f>
        <v>LG</v>
      </c>
      <c r="B1096" s="119" t="str">
        <f ca="1">IFERROR(__xludf.DUMMYFUNCTION("""COMPUTED_VALUE"""),"Oliver Engle")</f>
        <v>Oliver Engle</v>
      </c>
      <c r="C1096" s="118">
        <f ca="1">IFERROR(__xludf.DUMMYFUNCTION("""COMPUTED_VALUE"""),13)</f>
        <v>13</v>
      </c>
      <c r="D1096" s="118" t="str">
        <f ca="1">IFERROR(__xludf.DUMMYFUNCTION("""COMPUTED_VALUE"""),"B")</f>
        <v>B</v>
      </c>
      <c r="E1096" s="118" t="str">
        <f ca="1">IFERROR(__xludf.DUMMYFUNCTION("""COMPUTED_VALUE"""),"I")</f>
        <v>I</v>
      </c>
      <c r="F1096" s="118" t="str">
        <f ca="1">IFERROR(__xludf.DUMMYFUNCTION("""COMPUTED_VALUE"""),"S")</f>
        <v>S</v>
      </c>
      <c r="G1096" s="118">
        <f ca="1">IFERROR(__xludf.DUMMYFUNCTION("""COMPUTED_VALUE"""),3)</f>
        <v>3</v>
      </c>
      <c r="H1096" s="118" t="str">
        <f ca="1">IFERROR(__xludf.DUMMYFUNCTION("""COMPUTED_VALUE"""),"LG")</f>
        <v>LG</v>
      </c>
      <c r="I1096" s="118">
        <f ca="1">IFERROR(__xludf.DUMMYFUNCTION("""COMPUTED_VALUE"""),9)</f>
        <v>9</v>
      </c>
      <c r="J1096" s="118">
        <f ca="1">IFERROR(__xludf.DUMMYFUNCTION("""COMPUTED_VALUE"""),0)</f>
        <v>0</v>
      </c>
      <c r="K1096" s="120"/>
      <c r="L1096" s="121"/>
      <c r="M1096" s="120"/>
      <c r="N1096" s="121"/>
      <c r="O1096" s="120"/>
      <c r="P1096" s="122"/>
      <c r="Q1096" s="123"/>
      <c r="R1096" s="123"/>
      <c r="S1096" s="123" t="str">
        <f ca="1">IFERROR(__xludf.DUMMYFUNCTION("""COMPUTED_VALUE"""),"Sabrina Mao")</f>
        <v>Sabrina Mao</v>
      </c>
      <c r="T1096" s="123"/>
    </row>
    <row r="1097" spans="1:20" ht="13.8">
      <c r="A1097" s="118" t="str">
        <f ca="1">IFERROR(__xludf.DUMMYFUNCTION("""COMPUTED_VALUE"""),"LG")</f>
        <v>LG</v>
      </c>
      <c r="B1097" s="119" t="str">
        <f ca="1">IFERROR(__xludf.DUMMYFUNCTION("""COMPUTED_VALUE"""),"Patrick Verasin")</f>
        <v>Patrick Verasin</v>
      </c>
      <c r="C1097" s="118">
        <f ca="1">IFERROR(__xludf.DUMMYFUNCTION("""COMPUTED_VALUE"""),13)</f>
        <v>13</v>
      </c>
      <c r="D1097" s="118" t="str">
        <f ca="1">IFERROR(__xludf.DUMMYFUNCTION("""COMPUTED_VALUE"""),"B")</f>
        <v>B</v>
      </c>
      <c r="E1097" s="118" t="str">
        <f ca="1">IFERROR(__xludf.DUMMYFUNCTION("""COMPUTED_VALUE"""),"I")</f>
        <v>I</v>
      </c>
      <c r="F1097" s="118" t="str">
        <f ca="1">IFERROR(__xludf.DUMMYFUNCTION("""COMPUTED_VALUE"""),"S")</f>
        <v>S</v>
      </c>
      <c r="G1097" s="118">
        <f ca="1">IFERROR(__xludf.DUMMYFUNCTION("""COMPUTED_VALUE"""),3)</f>
        <v>3</v>
      </c>
      <c r="H1097" s="118" t="str">
        <f ca="1">IFERROR(__xludf.DUMMYFUNCTION("""COMPUTED_VALUE"""),"LG")</f>
        <v>LG</v>
      </c>
      <c r="I1097" s="118">
        <f ca="1">IFERROR(__xludf.DUMMYFUNCTION("""COMPUTED_VALUE"""),9)</f>
        <v>9</v>
      </c>
      <c r="J1097" s="118">
        <f ca="1">IFERROR(__xludf.DUMMYFUNCTION("""COMPUTED_VALUE"""),4)</f>
        <v>4</v>
      </c>
      <c r="K1097" s="120">
        <f ca="1">IFERROR(__xludf.DUMMYFUNCTION("""COMPUTED_VALUE"""),114.7)</f>
        <v>114.7</v>
      </c>
      <c r="L1097" s="121"/>
      <c r="M1097" s="120">
        <f ca="1">IFERROR(__xludf.DUMMYFUNCTION("""COMPUTED_VALUE"""),113.65)</f>
        <v>113.65</v>
      </c>
      <c r="N1097" s="121"/>
      <c r="O1097" s="120">
        <f ca="1">IFERROR(__xludf.DUMMYFUNCTION("""COMPUTED_VALUE"""),114.7)</f>
        <v>114.7</v>
      </c>
      <c r="P1097" s="122"/>
      <c r="Q1097" s="123"/>
      <c r="R1097" s="123"/>
      <c r="S1097" s="123" t="str">
        <f ca="1">IFERROR(__xludf.DUMMYFUNCTION("""COMPUTED_VALUE"""),"Sabrina Reilly")</f>
        <v>Sabrina Reilly</v>
      </c>
      <c r="T1097" s="123"/>
    </row>
    <row r="1098" spans="1:20" ht="13.8">
      <c r="A1098" s="118" t="str">
        <f ca="1">IFERROR(__xludf.DUMMYFUNCTION("""COMPUTED_VALUE"""),"LG")</f>
        <v>LG</v>
      </c>
      <c r="B1098" s="119" t="str">
        <f ca="1">IFERROR(__xludf.DUMMYFUNCTION("""COMPUTED_VALUE"""),"Teddy Klousia")</f>
        <v>Teddy Klousia</v>
      </c>
      <c r="C1098" s="118">
        <f ca="1">IFERROR(__xludf.DUMMYFUNCTION("""COMPUTED_VALUE"""),13)</f>
        <v>13</v>
      </c>
      <c r="D1098" s="118" t="str">
        <f ca="1">IFERROR(__xludf.DUMMYFUNCTION("""COMPUTED_VALUE"""),"B")</f>
        <v>B</v>
      </c>
      <c r="E1098" s="118" t="str">
        <f ca="1">IFERROR(__xludf.DUMMYFUNCTION("""COMPUTED_VALUE"""),"I")</f>
        <v>I</v>
      </c>
      <c r="F1098" s="118" t="str">
        <f ca="1">IFERROR(__xludf.DUMMYFUNCTION("""COMPUTED_VALUE"""),"S")</f>
        <v>S</v>
      </c>
      <c r="G1098" s="118">
        <f ca="1">IFERROR(__xludf.DUMMYFUNCTION("""COMPUTED_VALUE"""),3)</f>
        <v>3</v>
      </c>
      <c r="H1098" s="118" t="str">
        <f ca="1">IFERROR(__xludf.DUMMYFUNCTION("""COMPUTED_VALUE"""),"LG")</f>
        <v>LG</v>
      </c>
      <c r="I1098" s="118">
        <f ca="1">IFERROR(__xludf.DUMMYFUNCTION("""COMPUTED_VALUE"""),9)</f>
        <v>9</v>
      </c>
      <c r="J1098" s="118">
        <f ca="1">IFERROR(__xludf.DUMMYFUNCTION("""COMPUTED_VALUE"""),4)</f>
        <v>4</v>
      </c>
      <c r="K1098" s="120">
        <f ca="1">IFERROR(__xludf.DUMMYFUNCTION("""COMPUTED_VALUE"""),120.4)</f>
        <v>120.4</v>
      </c>
      <c r="L1098" s="121"/>
      <c r="M1098" s="120">
        <f ca="1">IFERROR(__xludf.DUMMYFUNCTION("""COMPUTED_VALUE"""),120.4)</f>
        <v>120.4</v>
      </c>
      <c r="N1098" s="121"/>
      <c r="O1098" s="120">
        <f ca="1">IFERROR(__xludf.DUMMYFUNCTION("""COMPUTED_VALUE"""),93)</f>
        <v>93</v>
      </c>
      <c r="P1098" s="122"/>
      <c r="Q1098" s="123"/>
      <c r="R1098" s="123"/>
      <c r="S1098" s="123" t="str">
        <f ca="1">IFERROR(__xludf.DUMMYFUNCTION("""COMPUTED_VALUE"""),"Sadie Fickling")</f>
        <v>Sadie Fickling</v>
      </c>
      <c r="T1098" s="123"/>
    </row>
    <row r="1099" spans="1:20" ht="13.8">
      <c r="A1099" s="118" t="str">
        <f ca="1">IFERROR(__xludf.DUMMYFUNCTION("""COMPUTED_VALUE"""),"LG")</f>
        <v>LG</v>
      </c>
      <c r="B1099" s="119" t="str">
        <f ca="1">IFERROR(__xludf.DUMMYFUNCTION("""COMPUTED_VALUE"""),"Will Davis")</f>
        <v>Will Davis</v>
      </c>
      <c r="C1099" s="118">
        <f ca="1">IFERROR(__xludf.DUMMYFUNCTION("""COMPUTED_VALUE"""),13)</f>
        <v>13</v>
      </c>
      <c r="D1099" s="118" t="str">
        <f ca="1">IFERROR(__xludf.DUMMYFUNCTION("""COMPUTED_VALUE"""),"B")</f>
        <v>B</v>
      </c>
      <c r="E1099" s="118" t="str">
        <f ca="1">IFERROR(__xludf.DUMMYFUNCTION("""COMPUTED_VALUE"""),"I")</f>
        <v>I</v>
      </c>
      <c r="F1099" s="118" t="str">
        <f ca="1">IFERROR(__xludf.DUMMYFUNCTION("""COMPUTED_VALUE"""),"S")</f>
        <v>S</v>
      </c>
      <c r="G1099" s="118">
        <f ca="1">IFERROR(__xludf.DUMMYFUNCTION("""COMPUTED_VALUE"""),3)</f>
        <v>3</v>
      </c>
      <c r="H1099" s="118" t="str">
        <f ca="1">IFERROR(__xludf.DUMMYFUNCTION("""COMPUTED_VALUE"""),"LG")</f>
        <v>LG</v>
      </c>
      <c r="I1099" s="118">
        <f ca="1">IFERROR(__xludf.DUMMYFUNCTION("""COMPUTED_VALUE"""),9)</f>
        <v>9</v>
      </c>
      <c r="J1099" s="118">
        <f ca="1">IFERROR(__xludf.DUMMYFUNCTION("""COMPUTED_VALUE"""),5)</f>
        <v>5</v>
      </c>
      <c r="K1099" s="120">
        <f ca="1">IFERROR(__xludf.DUMMYFUNCTION("""COMPUTED_VALUE"""),122.9)</f>
        <v>122.9</v>
      </c>
      <c r="L1099" s="121"/>
      <c r="M1099" s="120">
        <f ca="1">IFERROR(__xludf.DUMMYFUNCTION("""COMPUTED_VALUE"""),122.9)</f>
        <v>122.9</v>
      </c>
      <c r="N1099" s="121"/>
      <c r="O1099" s="120">
        <f ca="1">IFERROR(__xludf.DUMMYFUNCTION("""COMPUTED_VALUE"""),111.3)</f>
        <v>111.3</v>
      </c>
      <c r="P1099" s="122"/>
      <c r="Q1099" s="123"/>
      <c r="R1099" s="123"/>
      <c r="S1099" s="123" t="str">
        <f ca="1">IFERROR(__xludf.DUMMYFUNCTION("""COMPUTED_VALUE"""),"Sadie Parr")</f>
        <v>Sadie Parr</v>
      </c>
      <c r="T1099" s="123"/>
    </row>
    <row r="1100" spans="1:20" ht="13.8">
      <c r="A1100" s="118" t="str">
        <f ca="1">IFERROR(__xludf.DUMMYFUNCTION("""COMPUTED_VALUE"""),"LG")</f>
        <v>LG</v>
      </c>
      <c r="B1100" s="119" t="str">
        <f ca="1">IFERROR(__xludf.DUMMYFUNCTION("""COMPUTED_VALUE"""),"Avalon Allard")</f>
        <v>Avalon Allard</v>
      </c>
      <c r="C1100" s="118">
        <f ca="1">IFERROR(__xludf.DUMMYFUNCTION("""COMPUTED_VALUE"""),16)</f>
        <v>16</v>
      </c>
      <c r="D1100" s="118" t="str">
        <f ca="1">IFERROR(__xludf.DUMMYFUNCTION("""COMPUTED_VALUE"""),"G")</f>
        <v>G</v>
      </c>
      <c r="E1100" s="118" t="str">
        <f ca="1">IFERROR(__xludf.DUMMYFUNCTION("""COMPUTED_VALUE"""),"S")</f>
        <v>S</v>
      </c>
      <c r="F1100" s="118" t="str">
        <f ca="1">IFERROR(__xludf.DUMMYFUNCTION("""COMPUTED_VALUE"""),"S")</f>
        <v>S</v>
      </c>
      <c r="G1100" s="118">
        <f ca="1">IFERROR(__xludf.DUMMYFUNCTION("""COMPUTED_VALUE"""),3)</f>
        <v>3</v>
      </c>
      <c r="H1100" s="118" t="str">
        <f ca="1">IFERROR(__xludf.DUMMYFUNCTION("""COMPUTED_VALUE"""),"LG")</f>
        <v>LG</v>
      </c>
      <c r="I1100" s="118">
        <f ca="1">IFERROR(__xludf.DUMMYFUNCTION("""COMPUTED_VALUE"""),10)</f>
        <v>10</v>
      </c>
      <c r="J1100" s="118">
        <f ca="1">IFERROR(__xludf.DUMMYFUNCTION("""COMPUTED_VALUE"""),0)</f>
        <v>0</v>
      </c>
      <c r="K1100" s="120"/>
      <c r="L1100" s="121"/>
      <c r="M1100" s="120"/>
      <c r="N1100" s="121"/>
      <c r="O1100" s="120"/>
      <c r="P1100" s="122"/>
      <c r="Q1100" s="123"/>
      <c r="R1100" s="123"/>
      <c r="S1100" s="123" t="str">
        <f ca="1">IFERROR(__xludf.DUMMYFUNCTION("""COMPUTED_VALUE"""),"Sage Smyth")</f>
        <v>Sage Smyth</v>
      </c>
      <c r="T1100" s="123"/>
    </row>
    <row r="1101" spans="1:20" ht="13.8">
      <c r="A1101" s="118" t="str">
        <f ca="1">IFERROR(__xludf.DUMMYFUNCTION("""COMPUTED_VALUE"""),"LG")</f>
        <v>LG</v>
      </c>
      <c r="B1101" s="119" t="str">
        <f ca="1">IFERROR(__xludf.DUMMYFUNCTION("""COMPUTED_VALUE"""),"Madison Cervenak")</f>
        <v>Madison Cervenak</v>
      </c>
      <c r="C1101" s="118">
        <f ca="1">IFERROR(__xludf.DUMMYFUNCTION("""COMPUTED_VALUE"""),18)</f>
        <v>18</v>
      </c>
      <c r="D1101" s="118" t="str">
        <f ca="1">IFERROR(__xludf.DUMMYFUNCTION("""COMPUTED_VALUE"""),"G")</f>
        <v>G</v>
      </c>
      <c r="E1101" s="118" t="str">
        <f ca="1">IFERROR(__xludf.DUMMYFUNCTION("""COMPUTED_VALUE"""),"S")</f>
        <v>S</v>
      </c>
      <c r="F1101" s="118" t="str">
        <f ca="1">IFERROR(__xludf.DUMMYFUNCTION("""COMPUTED_VALUE"""),"S")</f>
        <v>S</v>
      </c>
      <c r="G1101" s="118">
        <f ca="1">IFERROR(__xludf.DUMMYFUNCTION("""COMPUTED_VALUE"""),3)</f>
        <v>3</v>
      </c>
      <c r="H1101" s="118" t="str">
        <f ca="1">IFERROR(__xludf.DUMMYFUNCTION("""COMPUTED_VALUE"""),"LG")</f>
        <v>LG</v>
      </c>
      <c r="I1101" s="118">
        <f ca="1">IFERROR(__xludf.DUMMYFUNCTION("""COMPUTED_VALUE"""),10)</f>
        <v>10</v>
      </c>
      <c r="J1101" s="118">
        <f ca="1">IFERROR(__xludf.DUMMYFUNCTION("""COMPUTED_VALUE"""),5)</f>
        <v>5</v>
      </c>
      <c r="K1101" s="120">
        <f ca="1">IFERROR(__xludf.DUMMYFUNCTION("""COMPUTED_VALUE"""),206.35)</f>
        <v>206.35</v>
      </c>
      <c r="L1101" s="121"/>
      <c r="M1101" s="120">
        <f ca="1">IFERROR(__xludf.DUMMYFUNCTION("""COMPUTED_VALUE"""),206.35)</f>
        <v>206.35</v>
      </c>
      <c r="N1101" s="121"/>
      <c r="O1101" s="120">
        <f ca="1">IFERROR(__xludf.DUMMYFUNCTION("""COMPUTED_VALUE"""),166.35)</f>
        <v>166.35</v>
      </c>
      <c r="P1101" s="122"/>
      <c r="Q1101" s="123"/>
      <c r="R1101" s="123"/>
      <c r="S1101" s="123" t="str">
        <f ca="1">IFERROR(__xludf.DUMMYFUNCTION("""COMPUTED_VALUE"""),"Sam Heller")</f>
        <v>Sam Heller</v>
      </c>
      <c r="T1101" s="123"/>
    </row>
    <row r="1102" spans="1:20" ht="13.8">
      <c r="A1102" s="118" t="str">
        <f ca="1">IFERROR(__xludf.DUMMYFUNCTION("""COMPUTED_VALUE"""),"LG")</f>
        <v>LG</v>
      </c>
      <c r="B1102" s="119" t="str">
        <f ca="1">IFERROR(__xludf.DUMMYFUNCTION("""COMPUTED_VALUE"""),"Reagan Cervenak")</f>
        <v>Reagan Cervenak</v>
      </c>
      <c r="C1102" s="118">
        <f ca="1">IFERROR(__xludf.DUMMYFUNCTION("""COMPUTED_VALUE"""),16)</f>
        <v>16</v>
      </c>
      <c r="D1102" s="118" t="str">
        <f ca="1">IFERROR(__xludf.DUMMYFUNCTION("""COMPUTED_VALUE"""),"G")</f>
        <v>G</v>
      </c>
      <c r="E1102" s="118" t="str">
        <f ca="1">IFERROR(__xludf.DUMMYFUNCTION("""COMPUTED_VALUE"""),"S")</f>
        <v>S</v>
      </c>
      <c r="F1102" s="118" t="str">
        <f ca="1">IFERROR(__xludf.DUMMYFUNCTION("""COMPUTED_VALUE"""),"S")</f>
        <v>S</v>
      </c>
      <c r="G1102" s="118">
        <f ca="1">IFERROR(__xludf.DUMMYFUNCTION("""COMPUTED_VALUE"""),3)</f>
        <v>3</v>
      </c>
      <c r="H1102" s="118" t="str">
        <f ca="1">IFERROR(__xludf.DUMMYFUNCTION("""COMPUTED_VALUE"""),"LG")</f>
        <v>LG</v>
      </c>
      <c r="I1102" s="118">
        <f ca="1">IFERROR(__xludf.DUMMYFUNCTION("""COMPUTED_VALUE"""),10)</f>
        <v>10</v>
      </c>
      <c r="J1102" s="118">
        <f ca="1">IFERROR(__xludf.DUMMYFUNCTION("""COMPUTED_VALUE"""),5)</f>
        <v>5</v>
      </c>
      <c r="K1102" s="120">
        <f ca="1">IFERROR(__xludf.DUMMYFUNCTION("""COMPUTED_VALUE"""),178)</f>
        <v>178</v>
      </c>
      <c r="L1102" s="121"/>
      <c r="M1102" s="120">
        <f ca="1">IFERROR(__xludf.DUMMYFUNCTION("""COMPUTED_VALUE"""),178)</f>
        <v>178</v>
      </c>
      <c r="N1102" s="121"/>
      <c r="O1102" s="120">
        <f ca="1">IFERROR(__xludf.DUMMYFUNCTION("""COMPUTED_VALUE"""),163.25)</f>
        <v>163.25</v>
      </c>
      <c r="P1102" s="122"/>
      <c r="Q1102" s="123"/>
      <c r="R1102" s="123"/>
      <c r="S1102" s="123" t="str">
        <f ca="1">IFERROR(__xludf.DUMMYFUNCTION("""COMPUTED_VALUE"""),"Samantha Apgar")</f>
        <v>Samantha Apgar</v>
      </c>
      <c r="T1102" s="123"/>
    </row>
    <row r="1103" spans="1:20" ht="13.8">
      <c r="A1103" s="118" t="str">
        <f ca="1">IFERROR(__xludf.DUMMYFUNCTION("""COMPUTED_VALUE"""),"LG")</f>
        <v>LG</v>
      </c>
      <c r="B1103" s="119" t="str">
        <f ca="1">IFERROR(__xludf.DUMMYFUNCTION("""COMPUTED_VALUE"""),"Alex Way")</f>
        <v>Alex Way</v>
      </c>
      <c r="C1103" s="118">
        <f ca="1">IFERROR(__xludf.DUMMYFUNCTION("""COMPUTED_VALUE"""),17)</f>
        <v>17</v>
      </c>
      <c r="D1103" s="118" t="str">
        <f ca="1">IFERROR(__xludf.DUMMYFUNCTION("""COMPUTED_VALUE"""),"B")</f>
        <v>B</v>
      </c>
      <c r="E1103" s="118" t="str">
        <f ca="1">IFERROR(__xludf.DUMMYFUNCTION("""COMPUTED_VALUE"""),"S")</f>
        <v>S</v>
      </c>
      <c r="F1103" s="118" t="str">
        <f ca="1">IFERROR(__xludf.DUMMYFUNCTION("""COMPUTED_VALUE"""),"S")</f>
        <v>S</v>
      </c>
      <c r="G1103" s="118">
        <f ca="1">IFERROR(__xludf.DUMMYFUNCTION("""COMPUTED_VALUE"""),3)</f>
        <v>3</v>
      </c>
      <c r="H1103" s="118" t="str">
        <f ca="1">IFERROR(__xludf.DUMMYFUNCTION("""COMPUTED_VALUE"""),"LG")</f>
        <v>LG</v>
      </c>
      <c r="I1103" s="118">
        <f ca="1">IFERROR(__xludf.DUMMYFUNCTION("""COMPUTED_VALUE"""),11)</f>
        <v>11</v>
      </c>
      <c r="J1103" s="118">
        <f ca="1">IFERROR(__xludf.DUMMYFUNCTION("""COMPUTED_VALUE"""),5)</f>
        <v>5</v>
      </c>
      <c r="K1103" s="120">
        <f ca="1">IFERROR(__xludf.DUMMYFUNCTION("""COMPUTED_VALUE"""),281.55)</f>
        <v>281.55</v>
      </c>
      <c r="L1103" s="121"/>
      <c r="M1103" s="120">
        <f ca="1">IFERROR(__xludf.DUMMYFUNCTION("""COMPUTED_VALUE"""),281.55)</f>
        <v>281.55</v>
      </c>
      <c r="N1103" s="121"/>
      <c r="O1103" s="120">
        <f ca="1">IFERROR(__xludf.DUMMYFUNCTION("""COMPUTED_VALUE"""),233.2)</f>
        <v>233.2</v>
      </c>
      <c r="P1103" s="122"/>
      <c r="Q1103" s="123"/>
      <c r="R1103" s="123"/>
      <c r="S1103" s="123" t="str">
        <f ca="1">IFERROR(__xludf.DUMMYFUNCTION("""COMPUTED_VALUE"""),"Samantha Donnelly")</f>
        <v>Samantha Donnelly</v>
      </c>
      <c r="T1103" s="123"/>
    </row>
    <row r="1104" spans="1:20" ht="13.8">
      <c r="A1104" s="118" t="str">
        <f ca="1">IFERROR(__xludf.DUMMYFUNCTION("""COMPUTED_VALUE"""),"LG")</f>
        <v>LG</v>
      </c>
      <c r="B1104" s="119" t="str">
        <f ca="1">IFERROR(__xludf.DUMMYFUNCTION("""COMPUTED_VALUE"""),"Edan Thornton")</f>
        <v>Edan Thornton</v>
      </c>
      <c r="C1104" s="118">
        <f ca="1">IFERROR(__xludf.DUMMYFUNCTION("""COMPUTED_VALUE"""),15)</f>
        <v>15</v>
      </c>
      <c r="D1104" s="118" t="str">
        <f ca="1">IFERROR(__xludf.DUMMYFUNCTION("""COMPUTED_VALUE"""),"B")</f>
        <v>B</v>
      </c>
      <c r="E1104" s="118" t="str">
        <f ca="1">IFERROR(__xludf.DUMMYFUNCTION("""COMPUTED_VALUE"""),"S")</f>
        <v>S</v>
      </c>
      <c r="F1104" s="118" t="str">
        <f ca="1">IFERROR(__xludf.DUMMYFUNCTION("""COMPUTED_VALUE"""),"S")</f>
        <v>S</v>
      </c>
      <c r="G1104" s="118">
        <f ca="1">IFERROR(__xludf.DUMMYFUNCTION("""COMPUTED_VALUE"""),3)</f>
        <v>3</v>
      </c>
      <c r="H1104" s="118" t="str">
        <f ca="1">IFERROR(__xludf.DUMMYFUNCTION("""COMPUTED_VALUE"""),"LG")</f>
        <v>LG</v>
      </c>
      <c r="I1104" s="118">
        <f ca="1">IFERROR(__xludf.DUMMYFUNCTION("""COMPUTED_VALUE"""),11)</f>
        <v>11</v>
      </c>
      <c r="J1104" s="118">
        <f ca="1">IFERROR(__xludf.DUMMYFUNCTION("""COMPUTED_VALUE"""),4)</f>
        <v>4</v>
      </c>
      <c r="K1104" s="120">
        <f ca="1">IFERROR(__xludf.DUMMYFUNCTION("""COMPUTED_VALUE"""),159.95)</f>
        <v>159.94999999999999</v>
      </c>
      <c r="L1104" s="121"/>
      <c r="M1104" s="120">
        <f ca="1">IFERROR(__xludf.DUMMYFUNCTION("""COMPUTED_VALUE"""),159.95)</f>
        <v>159.94999999999999</v>
      </c>
      <c r="N1104" s="121"/>
      <c r="O1104" s="120">
        <f ca="1">IFERROR(__xludf.DUMMYFUNCTION("""COMPUTED_VALUE"""),134.65)</f>
        <v>134.65</v>
      </c>
      <c r="P1104" s="122"/>
      <c r="Q1104" s="123"/>
      <c r="R1104" s="123"/>
      <c r="S1104" s="123" t="str">
        <f ca="1">IFERROR(__xludf.DUMMYFUNCTION("""COMPUTED_VALUE"""),"Samantha Eldred")</f>
        <v>Samantha Eldred</v>
      </c>
      <c r="T1104" s="123"/>
    </row>
    <row r="1105" spans="1:20" ht="13.8">
      <c r="A1105" s="118" t="str">
        <f ca="1">IFERROR(__xludf.DUMMYFUNCTION("""COMPUTED_VALUE"""),"LG")</f>
        <v>LG</v>
      </c>
      <c r="B1105" s="119" t="str">
        <f ca="1">IFERROR(__xludf.DUMMYFUNCTION("""COMPUTED_VALUE"""),"Kellen Colevas")</f>
        <v>Kellen Colevas</v>
      </c>
      <c r="C1105" s="118">
        <f ca="1">IFERROR(__xludf.DUMMYFUNCTION("""COMPUTED_VALUE"""),16)</f>
        <v>16</v>
      </c>
      <c r="D1105" s="118" t="str">
        <f ca="1">IFERROR(__xludf.DUMMYFUNCTION("""COMPUTED_VALUE"""),"B")</f>
        <v>B</v>
      </c>
      <c r="E1105" s="118" t="str">
        <f ca="1">IFERROR(__xludf.DUMMYFUNCTION("""COMPUTED_VALUE"""),"S")</f>
        <v>S</v>
      </c>
      <c r="F1105" s="118" t="str">
        <f ca="1">IFERROR(__xludf.DUMMYFUNCTION("""COMPUTED_VALUE"""),"S")</f>
        <v>S</v>
      </c>
      <c r="G1105" s="118">
        <f ca="1">IFERROR(__xludf.DUMMYFUNCTION("""COMPUTED_VALUE"""),3)</f>
        <v>3</v>
      </c>
      <c r="H1105" s="118" t="str">
        <f ca="1">IFERROR(__xludf.DUMMYFUNCTION("""COMPUTED_VALUE"""),"LG")</f>
        <v>LG</v>
      </c>
      <c r="I1105" s="118">
        <f ca="1">IFERROR(__xludf.DUMMYFUNCTION("""COMPUTED_VALUE"""),11)</f>
        <v>11</v>
      </c>
      <c r="J1105" s="118">
        <f ca="1">IFERROR(__xludf.DUMMYFUNCTION("""COMPUTED_VALUE"""),5)</f>
        <v>5</v>
      </c>
      <c r="K1105" s="120">
        <f ca="1">IFERROR(__xludf.DUMMYFUNCTION("""COMPUTED_VALUE"""),238.4)</f>
        <v>238.4</v>
      </c>
      <c r="L1105" s="121"/>
      <c r="M1105" s="120">
        <f ca="1">IFERROR(__xludf.DUMMYFUNCTION("""COMPUTED_VALUE"""),238.4)</f>
        <v>238.4</v>
      </c>
      <c r="N1105" s="121"/>
      <c r="O1105" s="120">
        <f ca="1">IFERROR(__xludf.DUMMYFUNCTION("""COMPUTED_VALUE"""),210.55)</f>
        <v>210.55</v>
      </c>
      <c r="P1105" s="122"/>
      <c r="Q1105" s="123"/>
      <c r="R1105" s="123"/>
      <c r="S1105" s="123" t="str">
        <f ca="1">IFERROR(__xludf.DUMMYFUNCTION("""COMPUTED_VALUE"""),"Samantha Hobbs")</f>
        <v>Samantha Hobbs</v>
      </c>
      <c r="T1105" s="123"/>
    </row>
    <row r="1106" spans="1:20" ht="13.8">
      <c r="A1106" s="118" t="str">
        <f ca="1">IFERROR(__xludf.DUMMYFUNCTION("""COMPUTED_VALUE"""),"LG")</f>
        <v>LG</v>
      </c>
      <c r="B1106" s="119" t="str">
        <f ca="1">IFERROR(__xludf.DUMMYFUNCTION("""COMPUTED_VALUE"""),"Kevin Colevas")</f>
        <v>Kevin Colevas</v>
      </c>
      <c r="C1106" s="118">
        <f ca="1">IFERROR(__xludf.DUMMYFUNCTION("""COMPUTED_VALUE"""),16)</f>
        <v>16</v>
      </c>
      <c r="D1106" s="118" t="str">
        <f ca="1">IFERROR(__xludf.DUMMYFUNCTION("""COMPUTED_VALUE"""),"B")</f>
        <v>B</v>
      </c>
      <c r="E1106" s="118" t="str">
        <f ca="1">IFERROR(__xludf.DUMMYFUNCTION("""COMPUTED_VALUE"""),"S")</f>
        <v>S</v>
      </c>
      <c r="F1106" s="118" t="str">
        <f ca="1">IFERROR(__xludf.DUMMYFUNCTION("""COMPUTED_VALUE"""),"S")</f>
        <v>S</v>
      </c>
      <c r="G1106" s="118">
        <f ca="1">IFERROR(__xludf.DUMMYFUNCTION("""COMPUTED_VALUE"""),3)</f>
        <v>3</v>
      </c>
      <c r="H1106" s="118" t="str">
        <f ca="1">IFERROR(__xludf.DUMMYFUNCTION("""COMPUTED_VALUE"""),"LG")</f>
        <v>LG</v>
      </c>
      <c r="I1106" s="118">
        <f ca="1">IFERROR(__xludf.DUMMYFUNCTION("""COMPUTED_VALUE"""),11)</f>
        <v>11</v>
      </c>
      <c r="J1106" s="118">
        <f ca="1">IFERROR(__xludf.DUMMYFUNCTION("""COMPUTED_VALUE"""),3)</f>
        <v>3</v>
      </c>
      <c r="K1106" s="120">
        <f ca="1">IFERROR(__xludf.DUMMYFUNCTION("""COMPUTED_VALUE"""),149.55)</f>
        <v>149.55000000000001</v>
      </c>
      <c r="L1106" s="121"/>
      <c r="M1106" s="120"/>
      <c r="N1106" s="121"/>
      <c r="O1106" s="120">
        <f ca="1">IFERROR(__xludf.DUMMYFUNCTION("""COMPUTED_VALUE"""),149.55)</f>
        <v>149.55000000000001</v>
      </c>
      <c r="P1106" s="122"/>
      <c r="Q1106" s="123"/>
      <c r="R1106" s="123"/>
      <c r="S1106" s="123" t="str">
        <f ca="1">IFERROR(__xludf.DUMMYFUNCTION("""COMPUTED_VALUE"""),"Samantha Kluger")</f>
        <v>Samantha Kluger</v>
      </c>
      <c r="T1106" s="123"/>
    </row>
    <row r="1107" spans="1:20" ht="13.8">
      <c r="A1107" s="118" t="str">
        <f ca="1">IFERROR(__xludf.DUMMYFUNCTION("""COMPUTED_VALUE"""),"LV")</f>
        <v>LV</v>
      </c>
      <c r="B1107" s="119" t="str">
        <f ca="1">IFERROR(__xludf.DUMMYFUNCTION("""COMPUTED_VALUE"""),"Addy Andresen")</f>
        <v>Addy Andresen</v>
      </c>
      <c r="C1107" s="118">
        <f ca="1">IFERROR(__xludf.DUMMYFUNCTION("""COMPUTED_VALUE"""),8)</f>
        <v>8</v>
      </c>
      <c r="D1107" s="118" t="str">
        <f ca="1">IFERROR(__xludf.DUMMYFUNCTION("""COMPUTED_VALUE"""),"G")</f>
        <v>G</v>
      </c>
      <c r="E1107" s="118" t="str">
        <f ca="1">IFERROR(__xludf.DUMMYFUNCTION("""COMPUTED_VALUE"""),"F")</f>
        <v>F</v>
      </c>
      <c r="F1107" s="118" t="str">
        <f ca="1">IFERROR(__xludf.DUMMYFUNCTION("""COMPUTED_VALUE"""),"J")</f>
        <v>J</v>
      </c>
      <c r="G1107" s="118">
        <f ca="1">IFERROR(__xludf.DUMMYFUNCTION("""COMPUTED_VALUE"""),5)</f>
        <v>5</v>
      </c>
      <c r="H1107" s="118" t="str">
        <f ca="1">IFERROR(__xludf.DUMMYFUNCTION("""COMPUTED_VALUE"""),"LV")</f>
        <v>LV</v>
      </c>
      <c r="I1107" s="118">
        <f ca="1">IFERROR(__xludf.DUMMYFUNCTION("""COMPUTED_VALUE"""),4)</f>
        <v>4</v>
      </c>
      <c r="J1107" s="118">
        <f ca="1">IFERROR(__xludf.DUMMYFUNCTION("""COMPUTED_VALUE"""),5)</f>
        <v>5</v>
      </c>
      <c r="K1107" s="120">
        <f ca="1">IFERROR(__xludf.DUMMYFUNCTION("""COMPUTED_VALUE"""),59.75)</f>
        <v>59.75</v>
      </c>
      <c r="L1107" s="121"/>
      <c r="M1107" s="120">
        <f ca="1">IFERROR(__xludf.DUMMYFUNCTION("""COMPUTED_VALUE"""),38.15)</f>
        <v>38.15</v>
      </c>
      <c r="N1107" s="121"/>
      <c r="O1107" s="120">
        <f ca="1">IFERROR(__xludf.DUMMYFUNCTION("""COMPUTED_VALUE"""),59.75)</f>
        <v>59.75</v>
      </c>
      <c r="P1107" s="122"/>
      <c r="Q1107" s="123"/>
      <c r="R1107" s="123"/>
      <c r="S1107" s="123" t="str">
        <f ca="1">IFERROR(__xludf.DUMMYFUNCTION("""COMPUTED_VALUE"""),"Samantha Lanthier")</f>
        <v>Samantha Lanthier</v>
      </c>
      <c r="T1107" s="123"/>
    </row>
    <row r="1108" spans="1:20" ht="13.8">
      <c r="A1108" s="118" t="str">
        <f ca="1">IFERROR(__xludf.DUMMYFUNCTION("""COMPUTED_VALUE"""),"LV")</f>
        <v>LV</v>
      </c>
      <c r="B1108" s="119" t="str">
        <f ca="1">IFERROR(__xludf.DUMMYFUNCTION("""COMPUTED_VALUE"""),"Anabel Bezdieck")</f>
        <v>Anabel Bezdieck</v>
      </c>
      <c r="C1108" s="118">
        <f ca="1">IFERROR(__xludf.DUMMYFUNCTION("""COMPUTED_VALUE"""),7)</f>
        <v>7</v>
      </c>
      <c r="D1108" s="118" t="str">
        <f ca="1">IFERROR(__xludf.DUMMYFUNCTION("""COMPUTED_VALUE"""),"G")</f>
        <v>G</v>
      </c>
      <c r="E1108" s="118" t="str">
        <f ca="1">IFERROR(__xludf.DUMMYFUNCTION("""COMPUTED_VALUE"""),"F")</f>
        <v>F</v>
      </c>
      <c r="F1108" s="118" t="str">
        <f ca="1">IFERROR(__xludf.DUMMYFUNCTION("""COMPUTED_VALUE"""),"J")</f>
        <v>J</v>
      </c>
      <c r="G1108" s="118">
        <f ca="1">IFERROR(__xludf.DUMMYFUNCTION("""COMPUTED_VALUE"""),5)</f>
        <v>5</v>
      </c>
      <c r="H1108" s="118" t="str">
        <f ca="1">IFERROR(__xludf.DUMMYFUNCTION("""COMPUTED_VALUE"""),"LV")</f>
        <v>LV</v>
      </c>
      <c r="I1108" s="118">
        <f ca="1">IFERROR(__xludf.DUMMYFUNCTION("""COMPUTED_VALUE"""),4)</f>
        <v>4</v>
      </c>
      <c r="J1108" s="118">
        <f ca="1">IFERROR(__xludf.DUMMYFUNCTION("""COMPUTED_VALUE"""),1)</f>
        <v>1</v>
      </c>
      <c r="K1108" s="120">
        <f ca="1">IFERROR(__xludf.DUMMYFUNCTION("""COMPUTED_VALUE"""),10.5)</f>
        <v>10.5</v>
      </c>
      <c r="L1108" s="121"/>
      <c r="M1108" s="120"/>
      <c r="N1108" s="121"/>
      <c r="O1108" s="120"/>
      <c r="P1108" s="122"/>
      <c r="Q1108" s="123"/>
      <c r="R1108" s="123"/>
      <c r="S1108" s="123" t="str">
        <f ca="1">IFERROR(__xludf.DUMMYFUNCTION("""COMPUTED_VALUE"""),"Sammy Jarvis")</f>
        <v>Sammy Jarvis</v>
      </c>
      <c r="T1108" s="123"/>
    </row>
    <row r="1109" spans="1:20" ht="13.8">
      <c r="A1109" s="118" t="str">
        <f ca="1">IFERROR(__xludf.DUMMYFUNCTION("""COMPUTED_VALUE"""),"LV")</f>
        <v>LV</v>
      </c>
      <c r="B1109" s="119" t="str">
        <f ca="1">IFERROR(__xludf.DUMMYFUNCTION("""COMPUTED_VALUE"""),"Isla Newsad")</f>
        <v>Isla Newsad</v>
      </c>
      <c r="C1109" s="118">
        <f ca="1">IFERROR(__xludf.DUMMYFUNCTION("""COMPUTED_VALUE"""),10)</f>
        <v>10</v>
      </c>
      <c r="D1109" s="118" t="str">
        <f ca="1">IFERROR(__xludf.DUMMYFUNCTION("""COMPUTED_VALUE"""),"G")</f>
        <v>G</v>
      </c>
      <c r="E1109" s="118" t="str">
        <f ca="1">IFERROR(__xludf.DUMMYFUNCTION("""COMPUTED_VALUE"""),"F")</f>
        <v>F</v>
      </c>
      <c r="F1109" s="118" t="str">
        <f ca="1">IFERROR(__xludf.DUMMYFUNCTION("""COMPUTED_VALUE"""),"J")</f>
        <v>J</v>
      </c>
      <c r="G1109" s="118">
        <f ca="1">IFERROR(__xludf.DUMMYFUNCTION("""COMPUTED_VALUE"""),5)</f>
        <v>5</v>
      </c>
      <c r="H1109" s="118" t="str">
        <f ca="1">IFERROR(__xludf.DUMMYFUNCTION("""COMPUTED_VALUE"""),"LV")</f>
        <v>LV</v>
      </c>
      <c r="I1109" s="118">
        <f ca="1">IFERROR(__xludf.DUMMYFUNCTION("""COMPUTED_VALUE"""),4)</f>
        <v>4</v>
      </c>
      <c r="J1109" s="118">
        <f ca="1">IFERROR(__xludf.DUMMYFUNCTION("""COMPUTED_VALUE"""),4)</f>
        <v>4</v>
      </c>
      <c r="K1109" s="120">
        <f ca="1">IFERROR(__xludf.DUMMYFUNCTION("""COMPUTED_VALUE"""),64.5)</f>
        <v>64.5</v>
      </c>
      <c r="L1109" s="121"/>
      <c r="M1109" s="120">
        <f ca="1">IFERROR(__xludf.DUMMYFUNCTION("""COMPUTED_VALUE"""),63.7)</f>
        <v>63.7</v>
      </c>
      <c r="N1109" s="121"/>
      <c r="O1109" s="120">
        <f ca="1">IFERROR(__xludf.DUMMYFUNCTION("""COMPUTED_VALUE"""),61.2)</f>
        <v>61.2</v>
      </c>
      <c r="P1109" s="122"/>
      <c r="Q1109" s="123"/>
      <c r="R1109" s="123"/>
      <c r="S1109" s="123" t="str">
        <f ca="1">IFERROR(__xludf.DUMMYFUNCTION("""COMPUTED_VALUE"""),"Sandra Kay")</f>
        <v>Sandra Kay</v>
      </c>
      <c r="T1109" s="123"/>
    </row>
    <row r="1110" spans="1:20" ht="13.8">
      <c r="A1110" s="118" t="str">
        <f ca="1">IFERROR(__xludf.DUMMYFUNCTION("""COMPUTED_VALUE"""),"LV")</f>
        <v>LV</v>
      </c>
      <c r="B1110" s="119" t="str">
        <f ca="1">IFERROR(__xludf.DUMMYFUNCTION("""COMPUTED_VALUE"""),"Josie Newsad")</f>
        <v>Josie Newsad</v>
      </c>
      <c r="C1110" s="118">
        <f ca="1">IFERROR(__xludf.DUMMYFUNCTION("""COMPUTED_VALUE"""),6)</f>
        <v>6</v>
      </c>
      <c r="D1110" s="118" t="str">
        <f ca="1">IFERROR(__xludf.DUMMYFUNCTION("""COMPUTED_VALUE"""),"G")</f>
        <v>G</v>
      </c>
      <c r="E1110" s="118" t="str">
        <f ca="1">IFERROR(__xludf.DUMMYFUNCTION("""COMPUTED_VALUE"""),"F")</f>
        <v>F</v>
      </c>
      <c r="F1110" s="118" t="str">
        <f ca="1">IFERROR(__xludf.DUMMYFUNCTION("""COMPUTED_VALUE"""),"J")</f>
        <v>J</v>
      </c>
      <c r="G1110" s="118">
        <f ca="1">IFERROR(__xludf.DUMMYFUNCTION("""COMPUTED_VALUE"""),5)</f>
        <v>5</v>
      </c>
      <c r="H1110" s="118" t="str">
        <f ca="1">IFERROR(__xludf.DUMMYFUNCTION("""COMPUTED_VALUE"""),"LV")</f>
        <v>LV</v>
      </c>
      <c r="I1110" s="118">
        <f ca="1">IFERROR(__xludf.DUMMYFUNCTION("""COMPUTED_VALUE"""),4)</f>
        <v>4</v>
      </c>
      <c r="J1110" s="118">
        <f ca="1">IFERROR(__xludf.DUMMYFUNCTION("""COMPUTED_VALUE"""),4)</f>
        <v>4</v>
      </c>
      <c r="K1110" s="120">
        <f ca="1">IFERROR(__xludf.DUMMYFUNCTION("""COMPUTED_VALUE"""),36.55)</f>
        <v>36.549999999999997</v>
      </c>
      <c r="L1110" s="121"/>
      <c r="M1110" s="120">
        <f ca="1">IFERROR(__xludf.DUMMYFUNCTION("""COMPUTED_VALUE"""),7.5)</f>
        <v>7.5</v>
      </c>
      <c r="N1110" s="121"/>
      <c r="O1110" s="120">
        <f ca="1">IFERROR(__xludf.DUMMYFUNCTION("""COMPUTED_VALUE"""),18.75)</f>
        <v>18.75</v>
      </c>
      <c r="P1110" s="122"/>
      <c r="Q1110" s="123"/>
      <c r="R1110" s="123"/>
      <c r="S1110" s="123" t="str">
        <f ca="1">IFERROR(__xludf.DUMMYFUNCTION("""COMPUTED_VALUE"""),"Sara Curry-Briggs")</f>
        <v>Sara Curry-Briggs</v>
      </c>
      <c r="T1110" s="123"/>
    </row>
    <row r="1111" spans="1:20" ht="13.8">
      <c r="A1111" s="118" t="str">
        <f ca="1">IFERROR(__xludf.DUMMYFUNCTION("""COMPUTED_VALUE"""),"LV")</f>
        <v>LV</v>
      </c>
      <c r="B1111" s="119" t="str">
        <f ca="1">IFERROR(__xludf.DUMMYFUNCTION("""COMPUTED_VALUE"""),"Lydia Andac-Jones")</f>
        <v>Lydia Andac-Jones</v>
      </c>
      <c r="C1111" s="118">
        <f ca="1">IFERROR(__xludf.DUMMYFUNCTION("""COMPUTED_VALUE"""),8)</f>
        <v>8</v>
      </c>
      <c r="D1111" s="118" t="str">
        <f ca="1">IFERROR(__xludf.DUMMYFUNCTION("""COMPUTED_VALUE"""),"G")</f>
        <v>G</v>
      </c>
      <c r="E1111" s="118" t="str">
        <f ca="1">IFERROR(__xludf.DUMMYFUNCTION("""COMPUTED_VALUE"""),"F")</f>
        <v>F</v>
      </c>
      <c r="F1111" s="118" t="str">
        <f ca="1">IFERROR(__xludf.DUMMYFUNCTION("""COMPUTED_VALUE"""),"J")</f>
        <v>J</v>
      </c>
      <c r="G1111" s="118">
        <f ca="1">IFERROR(__xludf.DUMMYFUNCTION("""COMPUTED_VALUE"""),5)</f>
        <v>5</v>
      </c>
      <c r="H1111" s="118" t="str">
        <f ca="1">IFERROR(__xludf.DUMMYFUNCTION("""COMPUTED_VALUE"""),"LV")</f>
        <v>LV</v>
      </c>
      <c r="I1111" s="118">
        <f ca="1">IFERROR(__xludf.DUMMYFUNCTION("""COMPUTED_VALUE"""),4)</f>
        <v>4</v>
      </c>
      <c r="J1111" s="118">
        <f ca="1">IFERROR(__xludf.DUMMYFUNCTION("""COMPUTED_VALUE"""),4)</f>
        <v>4</v>
      </c>
      <c r="K1111" s="120">
        <f ca="1">IFERROR(__xludf.DUMMYFUNCTION("""COMPUTED_VALUE"""),15)</f>
        <v>15</v>
      </c>
      <c r="L1111" s="121"/>
      <c r="M1111" s="120"/>
      <c r="N1111" s="121"/>
      <c r="O1111" s="120">
        <f ca="1">IFERROR(__xludf.DUMMYFUNCTION("""COMPUTED_VALUE"""),15)</f>
        <v>15</v>
      </c>
      <c r="P1111" s="122"/>
      <c r="Q1111" s="123"/>
      <c r="R1111" s="123"/>
      <c r="S1111" s="123" t="str">
        <f ca="1">IFERROR(__xludf.DUMMYFUNCTION("""COMPUTED_VALUE"""),"Sarah Avery")</f>
        <v>Sarah Avery</v>
      </c>
      <c r="T1111" s="123"/>
    </row>
    <row r="1112" spans="1:20" ht="13.8">
      <c r="A1112" s="118" t="str">
        <f ca="1">IFERROR(__xludf.DUMMYFUNCTION("""COMPUTED_VALUE"""),"LV")</f>
        <v>LV</v>
      </c>
      <c r="B1112" s="119" t="str">
        <f ca="1">IFERROR(__xludf.DUMMYFUNCTION("""COMPUTED_VALUE"""),"Maddie Fucci")</f>
        <v>Maddie Fucci</v>
      </c>
      <c r="C1112" s="118">
        <f ca="1">IFERROR(__xludf.DUMMYFUNCTION("""COMPUTED_VALUE"""),10)</f>
        <v>10</v>
      </c>
      <c r="D1112" s="118" t="str">
        <f ca="1">IFERROR(__xludf.DUMMYFUNCTION("""COMPUTED_VALUE"""),"G")</f>
        <v>G</v>
      </c>
      <c r="E1112" s="118" t="str">
        <f ca="1">IFERROR(__xludf.DUMMYFUNCTION("""COMPUTED_VALUE"""),"F")</f>
        <v>F</v>
      </c>
      <c r="F1112" s="118" t="str">
        <f ca="1">IFERROR(__xludf.DUMMYFUNCTION("""COMPUTED_VALUE"""),"J")</f>
        <v>J</v>
      </c>
      <c r="G1112" s="118">
        <f ca="1">IFERROR(__xludf.DUMMYFUNCTION("""COMPUTED_VALUE"""),5)</f>
        <v>5</v>
      </c>
      <c r="H1112" s="118" t="str">
        <f ca="1">IFERROR(__xludf.DUMMYFUNCTION("""COMPUTED_VALUE"""),"LV")</f>
        <v>LV</v>
      </c>
      <c r="I1112" s="118">
        <f ca="1">IFERROR(__xludf.DUMMYFUNCTION("""COMPUTED_VALUE"""),4)</f>
        <v>4</v>
      </c>
      <c r="J1112" s="118">
        <f ca="1">IFERROR(__xludf.DUMMYFUNCTION("""COMPUTED_VALUE"""),3)</f>
        <v>3</v>
      </c>
      <c r="K1112" s="120">
        <f ca="1">IFERROR(__xludf.DUMMYFUNCTION("""COMPUTED_VALUE"""),31.1)</f>
        <v>31.1</v>
      </c>
      <c r="L1112" s="121"/>
      <c r="M1112" s="120"/>
      <c r="N1112" s="121"/>
      <c r="O1112" s="120">
        <f ca="1">IFERROR(__xludf.DUMMYFUNCTION("""COMPUTED_VALUE"""),31.1)</f>
        <v>31.1</v>
      </c>
      <c r="P1112" s="122"/>
      <c r="Q1112" s="123"/>
      <c r="R1112" s="123"/>
      <c r="S1112" s="123" t="str">
        <f ca="1">IFERROR(__xludf.DUMMYFUNCTION("""COMPUTED_VALUE"""),"Sarah Banko")</f>
        <v>Sarah Banko</v>
      </c>
      <c r="T1112" s="123"/>
    </row>
    <row r="1113" spans="1:20" ht="13.8">
      <c r="A1113" s="118" t="str">
        <f ca="1">IFERROR(__xludf.DUMMYFUNCTION("""COMPUTED_VALUE"""),"LV")</f>
        <v>LV</v>
      </c>
      <c r="B1113" s="119" t="str">
        <f ca="1">IFERROR(__xludf.DUMMYFUNCTION("""COMPUTED_VALUE"""),"Sadie Fickling")</f>
        <v>Sadie Fickling</v>
      </c>
      <c r="C1113" s="118">
        <f ca="1">IFERROR(__xludf.DUMMYFUNCTION("""COMPUTED_VALUE"""),8)</f>
        <v>8</v>
      </c>
      <c r="D1113" s="118" t="str">
        <f ca="1">IFERROR(__xludf.DUMMYFUNCTION("""COMPUTED_VALUE"""),"G")</f>
        <v>G</v>
      </c>
      <c r="E1113" s="118" t="str">
        <f ca="1">IFERROR(__xludf.DUMMYFUNCTION("""COMPUTED_VALUE"""),"F")</f>
        <v>F</v>
      </c>
      <c r="F1113" s="118" t="str">
        <f ca="1">IFERROR(__xludf.DUMMYFUNCTION("""COMPUTED_VALUE"""),"J")</f>
        <v>J</v>
      </c>
      <c r="G1113" s="118">
        <f ca="1">IFERROR(__xludf.DUMMYFUNCTION("""COMPUTED_VALUE"""),5)</f>
        <v>5</v>
      </c>
      <c r="H1113" s="118" t="str">
        <f ca="1">IFERROR(__xludf.DUMMYFUNCTION("""COMPUTED_VALUE"""),"LV")</f>
        <v>LV</v>
      </c>
      <c r="I1113" s="118">
        <f ca="1">IFERROR(__xludf.DUMMYFUNCTION("""COMPUTED_VALUE"""),4)</f>
        <v>4</v>
      </c>
      <c r="J1113" s="118">
        <f ca="1">IFERROR(__xludf.DUMMYFUNCTION("""COMPUTED_VALUE"""),2)</f>
        <v>2</v>
      </c>
      <c r="K1113" s="120">
        <f ca="1">IFERROR(__xludf.DUMMYFUNCTION("""COMPUTED_VALUE"""),24)</f>
        <v>24</v>
      </c>
      <c r="L1113" s="121"/>
      <c r="M1113" s="120"/>
      <c r="N1113" s="121"/>
      <c r="O1113" s="120">
        <f ca="1">IFERROR(__xludf.DUMMYFUNCTION("""COMPUTED_VALUE"""),24)</f>
        <v>24</v>
      </c>
      <c r="P1113" s="122"/>
      <c r="Q1113" s="123"/>
      <c r="R1113" s="123"/>
      <c r="S1113" s="123" t="str">
        <f ca="1">IFERROR(__xludf.DUMMYFUNCTION("""COMPUTED_VALUE"""),"Sarah Beach")</f>
        <v>Sarah Beach</v>
      </c>
      <c r="T1113" s="123"/>
    </row>
    <row r="1114" spans="1:20" ht="13.8">
      <c r="A1114" s="118" t="str">
        <f ca="1">IFERROR(__xludf.DUMMYFUNCTION("""COMPUTED_VALUE"""),"LV")</f>
        <v>LV</v>
      </c>
      <c r="B1114" s="119" t="str">
        <f ca="1">IFERROR(__xludf.DUMMYFUNCTION("""COMPUTED_VALUE"""),"John Tarr")</f>
        <v>John Tarr</v>
      </c>
      <c r="C1114" s="118">
        <f ca="1">IFERROR(__xludf.DUMMYFUNCTION("""COMPUTED_VALUE"""),10)</f>
        <v>10</v>
      </c>
      <c r="D1114" s="118" t="str">
        <f ca="1">IFERROR(__xludf.DUMMYFUNCTION("""COMPUTED_VALUE"""),"B")</f>
        <v>B</v>
      </c>
      <c r="E1114" s="118" t="str">
        <f ca="1">IFERROR(__xludf.DUMMYFUNCTION("""COMPUTED_VALUE"""),"F")</f>
        <v>F</v>
      </c>
      <c r="F1114" s="118" t="str">
        <f ca="1">IFERROR(__xludf.DUMMYFUNCTION("""COMPUTED_VALUE"""),"J")</f>
        <v>J</v>
      </c>
      <c r="G1114" s="118">
        <f ca="1">IFERROR(__xludf.DUMMYFUNCTION("""COMPUTED_VALUE"""),5)</f>
        <v>5</v>
      </c>
      <c r="H1114" s="118" t="str">
        <f ca="1">IFERROR(__xludf.DUMMYFUNCTION("""COMPUTED_VALUE"""),"LV")</f>
        <v>LV</v>
      </c>
      <c r="I1114" s="118">
        <f ca="1">IFERROR(__xludf.DUMMYFUNCTION("""COMPUTED_VALUE"""),5)</f>
        <v>5</v>
      </c>
      <c r="J1114" s="118">
        <f ca="1">IFERROR(__xludf.DUMMYFUNCTION("""COMPUTED_VALUE"""),5)</f>
        <v>5</v>
      </c>
      <c r="K1114" s="120">
        <f ca="1">IFERROR(__xludf.DUMMYFUNCTION("""COMPUTED_VALUE"""),62.55)</f>
        <v>62.55</v>
      </c>
      <c r="L1114" s="121"/>
      <c r="M1114" s="120">
        <f ca="1">IFERROR(__xludf.DUMMYFUNCTION("""COMPUTED_VALUE"""),35.3)</f>
        <v>35.299999999999997</v>
      </c>
      <c r="N1114" s="121"/>
      <c r="O1114" s="120">
        <f ca="1">IFERROR(__xludf.DUMMYFUNCTION("""COMPUTED_VALUE"""),42.9)</f>
        <v>42.9</v>
      </c>
      <c r="P1114" s="122"/>
      <c r="Q1114" s="123"/>
      <c r="R1114" s="123"/>
      <c r="S1114" s="123" t="str">
        <f ca="1">IFERROR(__xludf.DUMMYFUNCTION("""COMPUTED_VALUE"""),"Sarah Fickling")</f>
        <v>Sarah Fickling</v>
      </c>
      <c r="T1114" s="123"/>
    </row>
    <row r="1115" spans="1:20" ht="13.8">
      <c r="A1115" s="118" t="str">
        <f ca="1">IFERROR(__xludf.DUMMYFUNCTION("""COMPUTED_VALUE"""),"LV")</f>
        <v>LV</v>
      </c>
      <c r="B1115" s="119" t="str">
        <f ca="1">IFERROR(__xludf.DUMMYFUNCTION("""COMPUTED_VALUE"""),"Deena Epstein")</f>
        <v>Deena Epstein</v>
      </c>
      <c r="C1115" s="118">
        <f ca="1">IFERROR(__xludf.DUMMYFUNCTION("""COMPUTED_VALUE"""),12)</f>
        <v>12</v>
      </c>
      <c r="D1115" s="118" t="str">
        <f ca="1">IFERROR(__xludf.DUMMYFUNCTION("""COMPUTED_VALUE"""),"G")</f>
        <v>G</v>
      </c>
      <c r="E1115" s="118" t="str">
        <f ca="1">IFERROR(__xludf.DUMMYFUNCTION("""COMPUTED_VALUE"""),"J")</f>
        <v>J</v>
      </c>
      <c r="F1115" s="118" t="str">
        <f ca="1">IFERROR(__xludf.DUMMYFUNCTION("""COMPUTED_VALUE"""),"I")</f>
        <v>I</v>
      </c>
      <c r="G1115" s="118">
        <f ca="1">IFERROR(__xludf.DUMMYFUNCTION("""COMPUTED_VALUE"""),5)</f>
        <v>5</v>
      </c>
      <c r="H1115" s="118" t="str">
        <f ca="1">IFERROR(__xludf.DUMMYFUNCTION("""COMPUTED_VALUE"""),"LV")</f>
        <v>LV</v>
      </c>
      <c r="I1115" s="118">
        <f ca="1">IFERROR(__xludf.DUMMYFUNCTION("""COMPUTED_VALUE"""),6)</f>
        <v>6</v>
      </c>
      <c r="J1115" s="118">
        <f ca="1">IFERROR(__xludf.DUMMYFUNCTION("""COMPUTED_VALUE"""),3)</f>
        <v>3</v>
      </c>
      <c r="K1115" s="120">
        <f ca="1">IFERROR(__xludf.DUMMYFUNCTION("""COMPUTED_VALUE"""),63.85)</f>
        <v>63.85</v>
      </c>
      <c r="L1115" s="121"/>
      <c r="M1115" s="120">
        <f ca="1">IFERROR(__xludf.DUMMYFUNCTION("""COMPUTED_VALUE"""),55.4)</f>
        <v>55.4</v>
      </c>
      <c r="N1115" s="121"/>
      <c r="O1115" s="120">
        <f ca="1">IFERROR(__xludf.DUMMYFUNCTION("""COMPUTED_VALUE"""),63.85)</f>
        <v>63.85</v>
      </c>
      <c r="P1115" s="122"/>
      <c r="Q1115" s="123"/>
      <c r="R1115" s="123"/>
      <c r="S1115" s="123" t="str">
        <f ca="1">IFERROR(__xludf.DUMMYFUNCTION("""COMPUTED_VALUE"""),"Sarah Lazarus")</f>
        <v>Sarah Lazarus</v>
      </c>
      <c r="T1115" s="123"/>
    </row>
    <row r="1116" spans="1:20" ht="13.8">
      <c r="A1116" s="118" t="str">
        <f ca="1">IFERROR(__xludf.DUMMYFUNCTION("""COMPUTED_VALUE"""),"LV")</f>
        <v>LV</v>
      </c>
      <c r="B1116" s="119" t="str">
        <f ca="1">IFERROR(__xludf.DUMMYFUNCTION("""COMPUTED_VALUE"""),"Lacey Slone")</f>
        <v>Lacey Slone</v>
      </c>
      <c r="C1116" s="118">
        <f ca="1">IFERROR(__xludf.DUMMYFUNCTION("""COMPUTED_VALUE"""),12)</f>
        <v>12</v>
      </c>
      <c r="D1116" s="118" t="str">
        <f ca="1">IFERROR(__xludf.DUMMYFUNCTION("""COMPUTED_VALUE"""),"G")</f>
        <v>G</v>
      </c>
      <c r="E1116" s="118" t="str">
        <f ca="1">IFERROR(__xludf.DUMMYFUNCTION("""COMPUTED_VALUE"""),"J")</f>
        <v>J</v>
      </c>
      <c r="F1116" s="118" t="str">
        <f ca="1">IFERROR(__xludf.DUMMYFUNCTION("""COMPUTED_VALUE"""),"I")</f>
        <v>I</v>
      </c>
      <c r="G1116" s="118">
        <f ca="1">IFERROR(__xludf.DUMMYFUNCTION("""COMPUTED_VALUE"""),5)</f>
        <v>5</v>
      </c>
      <c r="H1116" s="118" t="str">
        <f ca="1">IFERROR(__xludf.DUMMYFUNCTION("""COMPUTED_VALUE"""),"LV")</f>
        <v>LV</v>
      </c>
      <c r="I1116" s="118">
        <f ca="1">IFERROR(__xludf.DUMMYFUNCTION("""COMPUTED_VALUE"""),6)</f>
        <v>6</v>
      </c>
      <c r="J1116" s="118">
        <f ca="1">IFERROR(__xludf.DUMMYFUNCTION("""COMPUTED_VALUE"""),4)</f>
        <v>4</v>
      </c>
      <c r="K1116" s="120">
        <f ca="1">IFERROR(__xludf.DUMMYFUNCTION("""COMPUTED_VALUE"""),108.5)</f>
        <v>108.5</v>
      </c>
      <c r="L1116" s="121"/>
      <c r="M1116" s="120">
        <f ca="1">IFERROR(__xludf.DUMMYFUNCTION("""COMPUTED_VALUE"""),82.7)</f>
        <v>82.7</v>
      </c>
      <c r="N1116" s="121"/>
      <c r="O1116" s="120">
        <f ca="1">IFERROR(__xludf.DUMMYFUNCTION("""COMPUTED_VALUE"""),90.5)</f>
        <v>90.5</v>
      </c>
      <c r="P1116" s="122"/>
      <c r="Q1116" s="123"/>
      <c r="R1116" s="123"/>
      <c r="S1116" s="123" t="str">
        <f ca="1">IFERROR(__xludf.DUMMYFUNCTION("""COMPUTED_VALUE"""),"Sarah Manson")</f>
        <v>Sarah Manson</v>
      </c>
      <c r="T1116" s="123"/>
    </row>
    <row r="1117" spans="1:20" ht="13.8">
      <c r="A1117" s="118" t="str">
        <f ca="1">IFERROR(__xludf.DUMMYFUNCTION("""COMPUTED_VALUE"""),"LV")</f>
        <v>LV</v>
      </c>
      <c r="B1117" s="119" t="str">
        <f ca="1">IFERROR(__xludf.DUMMYFUNCTION("""COMPUTED_VALUE"""),"Mimei Minato")</f>
        <v>Mimei Minato</v>
      </c>
      <c r="C1117" s="118">
        <f ca="1">IFERROR(__xludf.DUMMYFUNCTION("""COMPUTED_VALUE"""),12)</f>
        <v>12</v>
      </c>
      <c r="D1117" s="118" t="str">
        <f ca="1">IFERROR(__xludf.DUMMYFUNCTION("""COMPUTED_VALUE"""),"G")</f>
        <v>G</v>
      </c>
      <c r="E1117" s="118" t="str">
        <f ca="1">IFERROR(__xludf.DUMMYFUNCTION("""COMPUTED_VALUE"""),"J")</f>
        <v>J</v>
      </c>
      <c r="F1117" s="118" t="str">
        <f ca="1">IFERROR(__xludf.DUMMYFUNCTION("""COMPUTED_VALUE"""),"I")</f>
        <v>I</v>
      </c>
      <c r="G1117" s="118">
        <f ca="1">IFERROR(__xludf.DUMMYFUNCTION("""COMPUTED_VALUE"""),5)</f>
        <v>5</v>
      </c>
      <c r="H1117" s="118" t="str">
        <f ca="1">IFERROR(__xludf.DUMMYFUNCTION("""COMPUTED_VALUE"""),"LV")</f>
        <v>LV</v>
      </c>
      <c r="I1117" s="118">
        <f ca="1">IFERROR(__xludf.DUMMYFUNCTION("""COMPUTED_VALUE"""),6)</f>
        <v>6</v>
      </c>
      <c r="J1117" s="118">
        <f ca="1">IFERROR(__xludf.DUMMYFUNCTION("""COMPUTED_VALUE"""),4)</f>
        <v>4</v>
      </c>
      <c r="K1117" s="120">
        <f ca="1">IFERROR(__xludf.DUMMYFUNCTION("""COMPUTED_VALUE"""),80.5)</f>
        <v>80.5</v>
      </c>
      <c r="L1117" s="121"/>
      <c r="M1117" s="120">
        <f ca="1">IFERROR(__xludf.DUMMYFUNCTION("""COMPUTED_VALUE"""),71.45)</f>
        <v>71.45</v>
      </c>
      <c r="N1117" s="121"/>
      <c r="O1117" s="120">
        <f ca="1">IFERROR(__xludf.DUMMYFUNCTION("""COMPUTED_VALUE"""),80.2)</f>
        <v>80.2</v>
      </c>
      <c r="P1117" s="122"/>
      <c r="Q1117" s="123"/>
      <c r="R1117" s="123"/>
      <c r="S1117" s="123" t="str">
        <f ca="1">IFERROR(__xludf.DUMMYFUNCTION("""COMPUTED_VALUE"""),"Sarah Rose")</f>
        <v>Sarah Rose</v>
      </c>
      <c r="T1117" s="123"/>
    </row>
    <row r="1118" spans="1:20" ht="13.8">
      <c r="A1118" s="118" t="str">
        <f ca="1">IFERROR(__xludf.DUMMYFUNCTION("""COMPUTED_VALUE"""),"LV")</f>
        <v>LV</v>
      </c>
      <c r="B1118" s="119" t="str">
        <f ca="1">IFERROR(__xludf.DUMMYFUNCTION("""COMPUTED_VALUE"""),"Reese Andresen")</f>
        <v>Reese Andresen</v>
      </c>
      <c r="C1118" s="118">
        <f ca="1">IFERROR(__xludf.DUMMYFUNCTION("""COMPUTED_VALUE"""),11)</f>
        <v>11</v>
      </c>
      <c r="D1118" s="118" t="str">
        <f ca="1">IFERROR(__xludf.DUMMYFUNCTION("""COMPUTED_VALUE"""),"G")</f>
        <v>G</v>
      </c>
      <c r="E1118" s="118" t="str">
        <f ca="1">IFERROR(__xludf.DUMMYFUNCTION("""COMPUTED_VALUE"""),"J")</f>
        <v>J</v>
      </c>
      <c r="F1118" s="118" t="str">
        <f ca="1">IFERROR(__xludf.DUMMYFUNCTION("""COMPUTED_VALUE"""),"I")</f>
        <v>I</v>
      </c>
      <c r="G1118" s="118">
        <f ca="1">IFERROR(__xludf.DUMMYFUNCTION("""COMPUTED_VALUE"""),5)</f>
        <v>5</v>
      </c>
      <c r="H1118" s="118" t="str">
        <f ca="1">IFERROR(__xludf.DUMMYFUNCTION("""COMPUTED_VALUE"""),"LV")</f>
        <v>LV</v>
      </c>
      <c r="I1118" s="118">
        <f ca="1">IFERROR(__xludf.DUMMYFUNCTION("""COMPUTED_VALUE"""),6)</f>
        <v>6</v>
      </c>
      <c r="J1118" s="118">
        <f ca="1">IFERROR(__xludf.DUMMYFUNCTION("""COMPUTED_VALUE"""),5)</f>
        <v>5</v>
      </c>
      <c r="K1118" s="120">
        <f ca="1">IFERROR(__xludf.DUMMYFUNCTION("""COMPUTED_VALUE"""),91.95)</f>
        <v>91.95</v>
      </c>
      <c r="L1118" s="121"/>
      <c r="M1118" s="120">
        <f ca="1">IFERROR(__xludf.DUMMYFUNCTION("""COMPUTED_VALUE"""),63.35)</f>
        <v>63.35</v>
      </c>
      <c r="N1118" s="121"/>
      <c r="O1118" s="120">
        <f ca="1">IFERROR(__xludf.DUMMYFUNCTION("""COMPUTED_VALUE"""),91.9)</f>
        <v>91.9</v>
      </c>
      <c r="P1118" s="122"/>
      <c r="Q1118" s="123"/>
      <c r="R1118" s="123"/>
      <c r="S1118" s="123" t="str">
        <f ca="1">IFERROR(__xludf.DUMMYFUNCTION("""COMPUTED_VALUE"""),"Sasha Demestihas")</f>
        <v>Sasha Demestihas</v>
      </c>
      <c r="T1118" s="123"/>
    </row>
    <row r="1119" spans="1:20" ht="13.8">
      <c r="A1119" s="118" t="str">
        <f ca="1">IFERROR(__xludf.DUMMYFUNCTION("""COMPUTED_VALUE"""),"LV")</f>
        <v>LV</v>
      </c>
      <c r="B1119" s="119" t="str">
        <f ca="1">IFERROR(__xludf.DUMMYFUNCTION("""COMPUTED_VALUE"""),"Sarah Fickling")</f>
        <v>Sarah Fickling</v>
      </c>
      <c r="C1119" s="118">
        <f ca="1">IFERROR(__xludf.DUMMYFUNCTION("""COMPUTED_VALUE"""),12)</f>
        <v>12</v>
      </c>
      <c r="D1119" s="118" t="str">
        <f ca="1">IFERROR(__xludf.DUMMYFUNCTION("""COMPUTED_VALUE"""),"G")</f>
        <v>G</v>
      </c>
      <c r="E1119" s="118" t="str">
        <f ca="1">IFERROR(__xludf.DUMMYFUNCTION("""COMPUTED_VALUE"""),"J")</f>
        <v>J</v>
      </c>
      <c r="F1119" s="118" t="str">
        <f ca="1">IFERROR(__xludf.DUMMYFUNCTION("""COMPUTED_VALUE"""),"I")</f>
        <v>I</v>
      </c>
      <c r="G1119" s="118">
        <f ca="1">IFERROR(__xludf.DUMMYFUNCTION("""COMPUTED_VALUE"""),5)</f>
        <v>5</v>
      </c>
      <c r="H1119" s="118" t="str">
        <f ca="1">IFERROR(__xludf.DUMMYFUNCTION("""COMPUTED_VALUE"""),"LV")</f>
        <v>LV</v>
      </c>
      <c r="I1119" s="118">
        <f ca="1">IFERROR(__xludf.DUMMYFUNCTION("""COMPUTED_VALUE"""),6)</f>
        <v>6</v>
      </c>
      <c r="J1119" s="118">
        <f ca="1">IFERROR(__xludf.DUMMYFUNCTION("""COMPUTED_VALUE"""),4)</f>
        <v>4</v>
      </c>
      <c r="K1119" s="120">
        <f ca="1">IFERROR(__xludf.DUMMYFUNCTION("""COMPUTED_VALUE"""),91.85)</f>
        <v>91.85</v>
      </c>
      <c r="L1119" s="121"/>
      <c r="M1119" s="120">
        <f ca="1">IFERROR(__xludf.DUMMYFUNCTION("""COMPUTED_VALUE"""),82.1)</f>
        <v>82.1</v>
      </c>
      <c r="N1119" s="121"/>
      <c r="O1119" s="120">
        <f ca="1">IFERROR(__xludf.DUMMYFUNCTION("""COMPUTED_VALUE"""),91.15)</f>
        <v>91.15</v>
      </c>
      <c r="P1119" s="122"/>
      <c r="Q1119" s="123"/>
      <c r="R1119" s="123"/>
      <c r="S1119" s="123" t="str">
        <f ca="1">IFERROR(__xludf.DUMMYFUNCTION("""COMPUTED_VALUE"""),"Sasha Ridgway")</f>
        <v>Sasha Ridgway</v>
      </c>
      <c r="T1119" s="123"/>
    </row>
    <row r="1120" spans="1:20" ht="13.8">
      <c r="A1120" s="118" t="str">
        <f ca="1">IFERROR(__xludf.DUMMYFUNCTION("""COMPUTED_VALUE"""),"LV")</f>
        <v>LV</v>
      </c>
      <c r="B1120" s="119" t="str">
        <f ca="1">IFERROR(__xludf.DUMMYFUNCTION("""COMPUTED_VALUE"""),"Aniket Agarwal")</f>
        <v>Aniket Agarwal</v>
      </c>
      <c r="C1120" s="118">
        <f ca="1">IFERROR(__xludf.DUMMYFUNCTION("""COMPUTED_VALUE"""),12)</f>
        <v>12</v>
      </c>
      <c r="D1120" s="118" t="str">
        <f ca="1">IFERROR(__xludf.DUMMYFUNCTION("""COMPUTED_VALUE"""),"B")</f>
        <v>B</v>
      </c>
      <c r="E1120" s="118" t="str">
        <f ca="1">IFERROR(__xludf.DUMMYFUNCTION("""COMPUTED_VALUE"""),"J")</f>
        <v>J</v>
      </c>
      <c r="F1120" s="118" t="str">
        <f ca="1">IFERROR(__xludf.DUMMYFUNCTION("""COMPUTED_VALUE"""),"I")</f>
        <v>I</v>
      </c>
      <c r="G1120" s="118">
        <f ca="1">IFERROR(__xludf.DUMMYFUNCTION("""COMPUTED_VALUE"""),5)</f>
        <v>5</v>
      </c>
      <c r="H1120" s="118" t="str">
        <f ca="1">IFERROR(__xludf.DUMMYFUNCTION("""COMPUTED_VALUE"""),"LV")</f>
        <v>LV</v>
      </c>
      <c r="I1120" s="118">
        <f ca="1">IFERROR(__xludf.DUMMYFUNCTION("""COMPUTED_VALUE"""),7)</f>
        <v>7</v>
      </c>
      <c r="J1120" s="118">
        <f ca="1">IFERROR(__xludf.DUMMYFUNCTION("""COMPUTED_VALUE"""),2)</f>
        <v>2</v>
      </c>
      <c r="K1120" s="120">
        <f ca="1">IFERROR(__xludf.DUMMYFUNCTION("""COMPUTED_VALUE"""),79.1)</f>
        <v>79.099999999999994</v>
      </c>
      <c r="L1120" s="121"/>
      <c r="M1120" s="120">
        <f ca="1">IFERROR(__xludf.DUMMYFUNCTION("""COMPUTED_VALUE"""),62.5)</f>
        <v>62.5</v>
      </c>
      <c r="N1120" s="121"/>
      <c r="O1120" s="120"/>
      <c r="P1120" s="122"/>
      <c r="Q1120" s="123"/>
      <c r="R1120" s="123"/>
      <c r="S1120" s="123" t="str">
        <f ca="1">IFERROR(__xludf.DUMMYFUNCTION("""COMPUTED_VALUE"""),"Sasha Wimpey")</f>
        <v>Sasha Wimpey</v>
      </c>
      <c r="T1120" s="123"/>
    </row>
    <row r="1121" spans="1:20" ht="13.8">
      <c r="A1121" s="118" t="str">
        <f ca="1">IFERROR(__xludf.DUMMYFUNCTION("""COMPUTED_VALUE"""),"LV")</f>
        <v>LV</v>
      </c>
      <c r="B1121" s="119" t="str">
        <f ca="1">IFERROR(__xludf.DUMMYFUNCTION("""COMPUTED_VALUE"""),"Teddy Alarie")</f>
        <v>Teddy Alarie</v>
      </c>
      <c r="C1121" s="118">
        <f ca="1">IFERROR(__xludf.DUMMYFUNCTION("""COMPUTED_VALUE"""),11)</f>
        <v>11</v>
      </c>
      <c r="D1121" s="118" t="str">
        <f ca="1">IFERROR(__xludf.DUMMYFUNCTION("""COMPUTED_VALUE"""),"B")</f>
        <v>B</v>
      </c>
      <c r="E1121" s="118" t="str">
        <f ca="1">IFERROR(__xludf.DUMMYFUNCTION("""COMPUTED_VALUE"""),"J")</f>
        <v>J</v>
      </c>
      <c r="F1121" s="118" t="str">
        <f ca="1">IFERROR(__xludf.DUMMYFUNCTION("""COMPUTED_VALUE"""),"I")</f>
        <v>I</v>
      </c>
      <c r="G1121" s="118">
        <f ca="1">IFERROR(__xludf.DUMMYFUNCTION("""COMPUTED_VALUE"""),5)</f>
        <v>5</v>
      </c>
      <c r="H1121" s="118" t="str">
        <f ca="1">IFERROR(__xludf.DUMMYFUNCTION("""COMPUTED_VALUE"""),"LV")</f>
        <v>LV</v>
      </c>
      <c r="I1121" s="118">
        <f ca="1">IFERROR(__xludf.DUMMYFUNCTION("""COMPUTED_VALUE"""),7)</f>
        <v>7</v>
      </c>
      <c r="J1121" s="118">
        <f ca="1">IFERROR(__xludf.DUMMYFUNCTION("""COMPUTED_VALUE"""),3)</f>
        <v>3</v>
      </c>
      <c r="K1121" s="120">
        <f ca="1">IFERROR(__xludf.DUMMYFUNCTION("""COMPUTED_VALUE"""),63.95)</f>
        <v>63.95</v>
      </c>
      <c r="L1121" s="121"/>
      <c r="M1121" s="120"/>
      <c r="N1121" s="121"/>
      <c r="O1121" s="120">
        <f ca="1">IFERROR(__xludf.DUMMYFUNCTION("""COMPUTED_VALUE"""),54.3)</f>
        <v>54.3</v>
      </c>
      <c r="P1121" s="122"/>
      <c r="Q1121" s="123"/>
      <c r="R1121" s="123"/>
      <c r="S1121" s="123" t="str">
        <f ca="1">IFERROR(__xludf.DUMMYFUNCTION("""COMPUTED_VALUE"""),"Savannah Barry")</f>
        <v>Savannah Barry</v>
      </c>
      <c r="T1121" s="123"/>
    </row>
    <row r="1122" spans="1:20" ht="13.8">
      <c r="A1122" s="118" t="str">
        <f ca="1">IFERROR(__xludf.DUMMYFUNCTION("""COMPUTED_VALUE"""),"LV")</f>
        <v>LV</v>
      </c>
      <c r="B1122" s="119" t="str">
        <f ca="1">IFERROR(__xludf.DUMMYFUNCTION("""COMPUTED_VALUE"""),"Claire Andresen")</f>
        <v>Claire Andresen</v>
      </c>
      <c r="C1122" s="118">
        <f ca="1">IFERROR(__xludf.DUMMYFUNCTION("""COMPUTED_VALUE"""),13)</f>
        <v>13</v>
      </c>
      <c r="D1122" s="118" t="str">
        <f ca="1">IFERROR(__xludf.DUMMYFUNCTION("""COMPUTED_VALUE"""),"G")</f>
        <v>G</v>
      </c>
      <c r="E1122" s="118" t="str">
        <f ca="1">IFERROR(__xludf.DUMMYFUNCTION("""COMPUTED_VALUE"""),"I")</f>
        <v>I</v>
      </c>
      <c r="F1122" s="118" t="str">
        <f ca="1">IFERROR(__xludf.DUMMYFUNCTION("""COMPUTED_VALUE"""),"S")</f>
        <v>S</v>
      </c>
      <c r="G1122" s="118">
        <f ca="1">IFERROR(__xludf.DUMMYFUNCTION("""COMPUTED_VALUE"""),5)</f>
        <v>5</v>
      </c>
      <c r="H1122" s="118" t="str">
        <f ca="1">IFERROR(__xludf.DUMMYFUNCTION("""COMPUTED_VALUE"""),"LV")</f>
        <v>LV</v>
      </c>
      <c r="I1122" s="118">
        <f ca="1">IFERROR(__xludf.DUMMYFUNCTION("""COMPUTED_VALUE"""),8)</f>
        <v>8</v>
      </c>
      <c r="J1122" s="118">
        <f ca="1">IFERROR(__xludf.DUMMYFUNCTION("""COMPUTED_VALUE"""),4)</f>
        <v>4</v>
      </c>
      <c r="K1122" s="120">
        <f ca="1">IFERROR(__xludf.DUMMYFUNCTION("""COMPUTED_VALUE"""),149.35)</f>
        <v>149.35</v>
      </c>
      <c r="L1122" s="121"/>
      <c r="M1122" s="120"/>
      <c r="N1122" s="121"/>
      <c r="O1122" s="120">
        <f ca="1">IFERROR(__xludf.DUMMYFUNCTION("""COMPUTED_VALUE"""),108.4)</f>
        <v>108.4</v>
      </c>
      <c r="P1122" s="122"/>
      <c r="Q1122" s="123"/>
      <c r="R1122" s="123"/>
      <c r="S1122" s="123" t="str">
        <f ca="1">IFERROR(__xludf.DUMMYFUNCTION("""COMPUTED_VALUE"""),"Savannah Goodale")</f>
        <v>Savannah Goodale</v>
      </c>
      <c r="T1122" s="123"/>
    </row>
    <row r="1123" spans="1:20" ht="13.8">
      <c r="A1123" s="118" t="str">
        <f ca="1">IFERROR(__xludf.DUMMYFUNCTION("""COMPUTED_VALUE"""),"LV")</f>
        <v>LV</v>
      </c>
      <c r="B1123" s="119" t="str">
        <f ca="1">IFERROR(__xludf.DUMMYFUNCTION("""COMPUTED_VALUE"""),"Isabelle Koenig")</f>
        <v>Isabelle Koenig</v>
      </c>
      <c r="C1123" s="118">
        <f ca="1">IFERROR(__xludf.DUMMYFUNCTION("""COMPUTED_VALUE"""),13)</f>
        <v>13</v>
      </c>
      <c r="D1123" s="118" t="str">
        <f ca="1">IFERROR(__xludf.DUMMYFUNCTION("""COMPUTED_VALUE"""),"G")</f>
        <v>G</v>
      </c>
      <c r="E1123" s="118" t="str">
        <f ca="1">IFERROR(__xludf.DUMMYFUNCTION("""COMPUTED_VALUE"""),"I")</f>
        <v>I</v>
      </c>
      <c r="F1123" s="118" t="str">
        <f ca="1">IFERROR(__xludf.DUMMYFUNCTION("""COMPUTED_VALUE"""),"S")</f>
        <v>S</v>
      </c>
      <c r="G1123" s="118">
        <f ca="1">IFERROR(__xludf.DUMMYFUNCTION("""COMPUTED_VALUE"""),5)</f>
        <v>5</v>
      </c>
      <c r="H1123" s="118" t="str">
        <f ca="1">IFERROR(__xludf.DUMMYFUNCTION("""COMPUTED_VALUE"""),"LV")</f>
        <v>LV</v>
      </c>
      <c r="I1123" s="118">
        <f ca="1">IFERROR(__xludf.DUMMYFUNCTION("""COMPUTED_VALUE"""),8)</f>
        <v>8</v>
      </c>
      <c r="J1123" s="118">
        <f ca="1">IFERROR(__xludf.DUMMYFUNCTION("""COMPUTED_VALUE"""),5)</f>
        <v>5</v>
      </c>
      <c r="K1123" s="120">
        <f ca="1">IFERROR(__xludf.DUMMYFUNCTION("""COMPUTED_VALUE"""),108.05)</f>
        <v>108.05</v>
      </c>
      <c r="L1123" s="121"/>
      <c r="M1123" s="120">
        <f ca="1">IFERROR(__xludf.DUMMYFUNCTION("""COMPUTED_VALUE"""),107.65)</f>
        <v>107.65</v>
      </c>
      <c r="N1123" s="121"/>
      <c r="O1123" s="120">
        <f ca="1">IFERROR(__xludf.DUMMYFUNCTION("""COMPUTED_VALUE"""),99.9)</f>
        <v>99.9</v>
      </c>
      <c r="P1123" s="122"/>
      <c r="Q1123" s="123"/>
      <c r="R1123" s="123"/>
      <c r="S1123" s="123" t="str">
        <f ca="1">IFERROR(__xludf.DUMMYFUNCTION("""COMPUTED_VALUE"""),"Savannah Lehman")</f>
        <v>Savannah Lehman</v>
      </c>
      <c r="T1123" s="123"/>
    </row>
    <row r="1124" spans="1:20" ht="13.8">
      <c r="A1124" s="118" t="str">
        <f ca="1">IFERROR(__xludf.DUMMYFUNCTION("""COMPUTED_VALUE"""),"LV")</f>
        <v>LV</v>
      </c>
      <c r="B1124" s="119" t="str">
        <f ca="1">IFERROR(__xludf.DUMMYFUNCTION("""COMPUTED_VALUE"""),"Melinda Alarie")</f>
        <v>Melinda Alarie</v>
      </c>
      <c r="C1124" s="118">
        <f ca="1">IFERROR(__xludf.DUMMYFUNCTION("""COMPUTED_VALUE"""),13)</f>
        <v>13</v>
      </c>
      <c r="D1124" s="118" t="str">
        <f ca="1">IFERROR(__xludf.DUMMYFUNCTION("""COMPUTED_VALUE"""),"G")</f>
        <v>G</v>
      </c>
      <c r="E1124" s="118" t="str">
        <f ca="1">IFERROR(__xludf.DUMMYFUNCTION("""COMPUTED_VALUE"""),"I")</f>
        <v>I</v>
      </c>
      <c r="F1124" s="118" t="str">
        <f ca="1">IFERROR(__xludf.DUMMYFUNCTION("""COMPUTED_VALUE"""),"S")</f>
        <v>S</v>
      </c>
      <c r="G1124" s="118">
        <f ca="1">IFERROR(__xludf.DUMMYFUNCTION("""COMPUTED_VALUE"""),5)</f>
        <v>5</v>
      </c>
      <c r="H1124" s="118" t="str">
        <f ca="1">IFERROR(__xludf.DUMMYFUNCTION("""COMPUTED_VALUE"""),"LV")</f>
        <v>LV</v>
      </c>
      <c r="I1124" s="118">
        <f ca="1">IFERROR(__xludf.DUMMYFUNCTION("""COMPUTED_VALUE"""),8)</f>
        <v>8</v>
      </c>
      <c r="J1124" s="118">
        <f ca="1">IFERROR(__xludf.DUMMYFUNCTION("""COMPUTED_VALUE"""),2)</f>
        <v>2</v>
      </c>
      <c r="K1124" s="120">
        <f ca="1">IFERROR(__xludf.DUMMYFUNCTION("""COMPUTED_VALUE"""),110.85)</f>
        <v>110.85</v>
      </c>
      <c r="L1124" s="121"/>
      <c r="M1124" s="120"/>
      <c r="N1124" s="121"/>
      <c r="O1124" s="120">
        <f ca="1">IFERROR(__xludf.DUMMYFUNCTION("""COMPUTED_VALUE"""),94)</f>
        <v>94</v>
      </c>
      <c r="P1124" s="122"/>
      <c r="Q1124" s="123"/>
      <c r="R1124" s="123"/>
      <c r="S1124" s="123" t="str">
        <f ca="1">IFERROR(__xludf.DUMMYFUNCTION("""COMPUTED_VALUE"""),"Savannah Moore")</f>
        <v>Savannah Moore</v>
      </c>
      <c r="T1124" s="123"/>
    </row>
    <row r="1125" spans="1:20" ht="13.8">
      <c r="A1125" s="118" t="str">
        <f ca="1">IFERROR(__xludf.DUMMYFUNCTION("""COMPUTED_VALUE"""),"LV")</f>
        <v>LV</v>
      </c>
      <c r="B1125" s="119" t="str">
        <f ca="1">IFERROR(__xludf.DUMMYFUNCTION("""COMPUTED_VALUE"""),"Adam Lash")</f>
        <v>Adam Lash</v>
      </c>
      <c r="C1125" s="118">
        <f ca="1">IFERROR(__xludf.DUMMYFUNCTION("""COMPUTED_VALUE"""),14)</f>
        <v>14</v>
      </c>
      <c r="D1125" s="118" t="str">
        <f ca="1">IFERROR(__xludf.DUMMYFUNCTION("""COMPUTED_VALUE"""),"B")</f>
        <v>B</v>
      </c>
      <c r="E1125" s="118" t="str">
        <f ca="1">IFERROR(__xludf.DUMMYFUNCTION("""COMPUTED_VALUE"""),"I")</f>
        <v>I</v>
      </c>
      <c r="F1125" s="118" t="str">
        <f ca="1">IFERROR(__xludf.DUMMYFUNCTION("""COMPUTED_VALUE"""),"S")</f>
        <v>S</v>
      </c>
      <c r="G1125" s="118">
        <f ca="1">IFERROR(__xludf.DUMMYFUNCTION("""COMPUTED_VALUE"""),5)</f>
        <v>5</v>
      </c>
      <c r="H1125" s="118" t="str">
        <f ca="1">IFERROR(__xludf.DUMMYFUNCTION("""COMPUTED_VALUE"""),"LV")</f>
        <v>LV</v>
      </c>
      <c r="I1125" s="118">
        <f ca="1">IFERROR(__xludf.DUMMYFUNCTION("""COMPUTED_VALUE"""),9)</f>
        <v>9</v>
      </c>
      <c r="J1125" s="118">
        <f ca="1">IFERROR(__xludf.DUMMYFUNCTION("""COMPUTED_VALUE"""),5)</f>
        <v>5</v>
      </c>
      <c r="K1125" s="120">
        <f ca="1">IFERROR(__xludf.DUMMYFUNCTION("""COMPUTED_VALUE"""),122.7)</f>
        <v>122.7</v>
      </c>
      <c r="L1125" s="121"/>
      <c r="M1125" s="120">
        <f ca="1">IFERROR(__xludf.DUMMYFUNCTION("""COMPUTED_VALUE"""),122.7)</f>
        <v>122.7</v>
      </c>
      <c r="N1125" s="121"/>
      <c r="O1125" s="120">
        <f ca="1">IFERROR(__xludf.DUMMYFUNCTION("""COMPUTED_VALUE"""),118.4)</f>
        <v>118.4</v>
      </c>
      <c r="P1125" s="122"/>
      <c r="Q1125" s="123"/>
      <c r="R1125" s="123"/>
      <c r="S1125" s="123" t="str">
        <f ca="1">IFERROR(__xludf.DUMMYFUNCTION("""COMPUTED_VALUE"""),"Sawyer Palmby")</f>
        <v>Sawyer Palmby</v>
      </c>
      <c r="T1125" s="123"/>
    </row>
    <row r="1126" spans="1:20" ht="13.8">
      <c r="A1126" s="118" t="str">
        <f ca="1">IFERROR(__xludf.DUMMYFUNCTION("""COMPUTED_VALUE"""),"LV")</f>
        <v>LV</v>
      </c>
      <c r="B1126" s="119" t="str">
        <f ca="1">IFERROR(__xludf.DUMMYFUNCTION("""COMPUTED_VALUE"""),"Ethan Hubbard")</f>
        <v>Ethan Hubbard</v>
      </c>
      <c r="C1126" s="118">
        <f ca="1">IFERROR(__xludf.DUMMYFUNCTION("""COMPUTED_VALUE"""),14)</f>
        <v>14</v>
      </c>
      <c r="D1126" s="118" t="str">
        <f ca="1">IFERROR(__xludf.DUMMYFUNCTION("""COMPUTED_VALUE"""),"B")</f>
        <v>B</v>
      </c>
      <c r="E1126" s="118" t="str">
        <f ca="1">IFERROR(__xludf.DUMMYFUNCTION("""COMPUTED_VALUE"""),"I")</f>
        <v>I</v>
      </c>
      <c r="F1126" s="118" t="str">
        <f ca="1">IFERROR(__xludf.DUMMYFUNCTION("""COMPUTED_VALUE"""),"S")</f>
        <v>S</v>
      </c>
      <c r="G1126" s="118">
        <f ca="1">IFERROR(__xludf.DUMMYFUNCTION("""COMPUTED_VALUE"""),5)</f>
        <v>5</v>
      </c>
      <c r="H1126" s="118" t="str">
        <f ca="1">IFERROR(__xludf.DUMMYFUNCTION("""COMPUTED_VALUE"""),"LV")</f>
        <v>LV</v>
      </c>
      <c r="I1126" s="118">
        <f ca="1">IFERROR(__xludf.DUMMYFUNCTION("""COMPUTED_VALUE"""),9)</f>
        <v>9</v>
      </c>
      <c r="J1126" s="118">
        <f ca="1">IFERROR(__xludf.DUMMYFUNCTION("""COMPUTED_VALUE"""),4)</f>
        <v>4</v>
      </c>
      <c r="K1126" s="120">
        <f ca="1">IFERROR(__xludf.DUMMYFUNCTION("""COMPUTED_VALUE"""),147.9)</f>
        <v>147.9</v>
      </c>
      <c r="L1126" s="121"/>
      <c r="M1126" s="120">
        <f ca="1">IFERROR(__xludf.DUMMYFUNCTION("""COMPUTED_VALUE"""),118.3)</f>
        <v>118.3</v>
      </c>
      <c r="N1126" s="121"/>
      <c r="O1126" s="120"/>
      <c r="P1126" s="122"/>
      <c r="Q1126" s="123"/>
      <c r="R1126" s="123"/>
      <c r="S1126" s="123" t="str">
        <f ca="1">IFERROR(__xludf.DUMMYFUNCTION("""COMPUTED_VALUE"""),"Sawyer Rascona")</f>
        <v>Sawyer Rascona</v>
      </c>
      <c r="T1126" s="123"/>
    </row>
    <row r="1127" spans="1:20" ht="13.8">
      <c r="A1127" s="118" t="str">
        <f ca="1">IFERROR(__xludf.DUMMYFUNCTION("""COMPUTED_VALUE"""),"LV")</f>
        <v>LV</v>
      </c>
      <c r="B1127" s="119" t="str">
        <f ca="1">IFERROR(__xludf.DUMMYFUNCTION("""COMPUTED_VALUE"""),"Gunner Larson")</f>
        <v>Gunner Larson</v>
      </c>
      <c r="C1127" s="118">
        <f ca="1">IFERROR(__xludf.DUMMYFUNCTION("""COMPUTED_VALUE"""),13)</f>
        <v>13</v>
      </c>
      <c r="D1127" s="118" t="str">
        <f ca="1">IFERROR(__xludf.DUMMYFUNCTION("""COMPUTED_VALUE"""),"B")</f>
        <v>B</v>
      </c>
      <c r="E1127" s="118" t="str">
        <f ca="1">IFERROR(__xludf.DUMMYFUNCTION("""COMPUTED_VALUE"""),"I")</f>
        <v>I</v>
      </c>
      <c r="F1127" s="118" t="str">
        <f ca="1">IFERROR(__xludf.DUMMYFUNCTION("""COMPUTED_VALUE"""),"S")</f>
        <v>S</v>
      </c>
      <c r="G1127" s="118">
        <f ca="1">IFERROR(__xludf.DUMMYFUNCTION("""COMPUTED_VALUE"""),5)</f>
        <v>5</v>
      </c>
      <c r="H1127" s="118" t="str">
        <f ca="1">IFERROR(__xludf.DUMMYFUNCTION("""COMPUTED_VALUE"""),"LV")</f>
        <v>LV</v>
      </c>
      <c r="I1127" s="118">
        <f ca="1">IFERROR(__xludf.DUMMYFUNCTION("""COMPUTED_VALUE"""),9)</f>
        <v>9</v>
      </c>
      <c r="J1127" s="118">
        <f ca="1">IFERROR(__xludf.DUMMYFUNCTION("""COMPUTED_VALUE"""),4)</f>
        <v>4</v>
      </c>
      <c r="K1127" s="120">
        <f ca="1">IFERROR(__xludf.DUMMYFUNCTION("""COMPUTED_VALUE"""),132)</f>
        <v>132</v>
      </c>
      <c r="L1127" s="121"/>
      <c r="M1127" s="120">
        <f ca="1">IFERROR(__xludf.DUMMYFUNCTION("""COMPUTED_VALUE"""),116.25)</f>
        <v>116.25</v>
      </c>
      <c r="N1127" s="121"/>
      <c r="O1127" s="120"/>
      <c r="P1127" s="122"/>
      <c r="Q1127" s="123"/>
      <c r="R1127" s="123"/>
      <c r="S1127" s="123" t="str">
        <f ca="1">IFERROR(__xludf.DUMMYFUNCTION("""COMPUTED_VALUE"""),"Scarlet Johnson")</f>
        <v>Scarlet Johnson</v>
      </c>
      <c r="T1127" s="123"/>
    </row>
    <row r="1128" spans="1:20" ht="13.8">
      <c r="A1128" s="118" t="str">
        <f ca="1">IFERROR(__xludf.DUMMYFUNCTION("""COMPUTED_VALUE"""),"LV")</f>
        <v>LV</v>
      </c>
      <c r="B1128" s="119" t="str">
        <f ca="1">IFERROR(__xludf.DUMMYFUNCTION("""COMPUTED_VALUE"""),"Beatrice Sultanaeva")</f>
        <v>Beatrice Sultanaeva</v>
      </c>
      <c r="C1128" s="118">
        <f ca="1">IFERROR(__xludf.DUMMYFUNCTION("""COMPUTED_VALUE"""),15)</f>
        <v>15</v>
      </c>
      <c r="D1128" s="118" t="str">
        <f ca="1">IFERROR(__xludf.DUMMYFUNCTION("""COMPUTED_VALUE"""),"G")</f>
        <v>G</v>
      </c>
      <c r="E1128" s="118" t="str">
        <f ca="1">IFERROR(__xludf.DUMMYFUNCTION("""COMPUTED_VALUE"""),"S")</f>
        <v>S</v>
      </c>
      <c r="F1128" s="118" t="str">
        <f ca="1">IFERROR(__xludf.DUMMYFUNCTION("""COMPUTED_VALUE"""),"S")</f>
        <v>S</v>
      </c>
      <c r="G1128" s="118">
        <f ca="1">IFERROR(__xludf.DUMMYFUNCTION("""COMPUTED_VALUE"""),5)</f>
        <v>5</v>
      </c>
      <c r="H1128" s="118" t="str">
        <f ca="1">IFERROR(__xludf.DUMMYFUNCTION("""COMPUTED_VALUE"""),"LV")</f>
        <v>LV</v>
      </c>
      <c r="I1128" s="118">
        <f ca="1">IFERROR(__xludf.DUMMYFUNCTION("""COMPUTED_VALUE"""),10)</f>
        <v>10</v>
      </c>
      <c r="J1128" s="118">
        <f ca="1">IFERROR(__xludf.DUMMYFUNCTION("""COMPUTED_VALUE"""),5)</f>
        <v>5</v>
      </c>
      <c r="K1128" s="120">
        <f ca="1">IFERROR(__xludf.DUMMYFUNCTION("""COMPUTED_VALUE"""),232.3)</f>
        <v>232.3</v>
      </c>
      <c r="L1128" s="121"/>
      <c r="M1128" s="120">
        <f ca="1">IFERROR(__xludf.DUMMYFUNCTION("""COMPUTED_VALUE"""),215.3)</f>
        <v>215.3</v>
      </c>
      <c r="N1128" s="121"/>
      <c r="O1128" s="120">
        <f ca="1">IFERROR(__xludf.DUMMYFUNCTION("""COMPUTED_VALUE"""),225)</f>
        <v>225</v>
      </c>
      <c r="P1128" s="122"/>
      <c r="Q1128" s="123"/>
      <c r="R1128" s="123"/>
      <c r="S1128" s="123" t="str">
        <f ca="1">IFERROR(__xludf.DUMMYFUNCTION("""COMPUTED_VALUE"""),"Scarlett Mintzer")</f>
        <v>Scarlett Mintzer</v>
      </c>
      <c r="T1128" s="123"/>
    </row>
    <row r="1129" spans="1:20" ht="13.8">
      <c r="A1129" s="118" t="str">
        <f ca="1">IFERROR(__xludf.DUMMYFUNCTION("""COMPUTED_VALUE"""),"LV")</f>
        <v>LV</v>
      </c>
      <c r="B1129" s="119" t="str">
        <f ca="1">IFERROR(__xludf.DUMMYFUNCTION("""COMPUTED_VALUE"""),"Lora Berkeley Macaranas")</f>
        <v>Lora Berkeley Macaranas</v>
      </c>
      <c r="C1129" s="118">
        <f ca="1">IFERROR(__xludf.DUMMYFUNCTION("""COMPUTED_VALUE"""),17)</f>
        <v>17</v>
      </c>
      <c r="D1129" s="118" t="str">
        <f ca="1">IFERROR(__xludf.DUMMYFUNCTION("""COMPUTED_VALUE"""),"G")</f>
        <v>G</v>
      </c>
      <c r="E1129" s="118" t="str">
        <f ca="1">IFERROR(__xludf.DUMMYFUNCTION("""COMPUTED_VALUE"""),"S")</f>
        <v>S</v>
      </c>
      <c r="F1129" s="118" t="str">
        <f ca="1">IFERROR(__xludf.DUMMYFUNCTION("""COMPUTED_VALUE"""),"S")</f>
        <v>S</v>
      </c>
      <c r="G1129" s="118">
        <f ca="1">IFERROR(__xludf.DUMMYFUNCTION("""COMPUTED_VALUE"""),5)</f>
        <v>5</v>
      </c>
      <c r="H1129" s="118" t="str">
        <f ca="1">IFERROR(__xludf.DUMMYFUNCTION("""COMPUTED_VALUE"""),"LV")</f>
        <v>LV</v>
      </c>
      <c r="I1129" s="118">
        <f ca="1">IFERROR(__xludf.DUMMYFUNCTION("""COMPUTED_VALUE"""),10)</f>
        <v>10</v>
      </c>
      <c r="J1129" s="118">
        <f ca="1">IFERROR(__xludf.DUMMYFUNCTION("""COMPUTED_VALUE"""),1)</f>
        <v>1</v>
      </c>
      <c r="K1129" s="120"/>
      <c r="L1129" s="121"/>
      <c r="M1129" s="120"/>
      <c r="N1129" s="121"/>
      <c r="O1129" s="120"/>
      <c r="P1129" s="122"/>
      <c r="Q1129" s="123"/>
      <c r="R1129" s="123"/>
      <c r="S1129" s="123" t="str">
        <f ca="1">IFERROR(__xludf.DUMMYFUNCTION("""COMPUTED_VALUE"""),"Scarlett Waltrup")</f>
        <v>Scarlett Waltrup</v>
      </c>
      <c r="T1129" s="123"/>
    </row>
    <row r="1130" spans="1:20" ht="13.8">
      <c r="A1130" s="118" t="str">
        <f ca="1">IFERROR(__xludf.DUMMYFUNCTION("""COMPUTED_VALUE"""),"LV")</f>
        <v>LV</v>
      </c>
      <c r="B1130" s="119" t="str">
        <f ca="1">IFERROR(__xludf.DUMMYFUNCTION("""COMPUTED_VALUE"""),"Ryan Mitchell")</f>
        <v>Ryan Mitchell</v>
      </c>
      <c r="C1130" s="118">
        <f ca="1">IFERROR(__xludf.DUMMYFUNCTION("""COMPUTED_VALUE"""),18)</f>
        <v>18</v>
      </c>
      <c r="D1130" s="118" t="str">
        <f ca="1">IFERROR(__xludf.DUMMYFUNCTION("""COMPUTED_VALUE"""),"B")</f>
        <v>B</v>
      </c>
      <c r="E1130" s="118" t="str">
        <f ca="1">IFERROR(__xludf.DUMMYFUNCTION("""COMPUTED_VALUE"""),"S")</f>
        <v>S</v>
      </c>
      <c r="F1130" s="118" t="str">
        <f ca="1">IFERROR(__xludf.DUMMYFUNCTION("""COMPUTED_VALUE"""),"S")</f>
        <v>S</v>
      </c>
      <c r="G1130" s="118">
        <f ca="1">IFERROR(__xludf.DUMMYFUNCTION("""COMPUTED_VALUE"""),5)</f>
        <v>5</v>
      </c>
      <c r="H1130" s="118" t="str">
        <f ca="1">IFERROR(__xludf.DUMMYFUNCTION("""COMPUTED_VALUE"""),"LV")</f>
        <v>LV</v>
      </c>
      <c r="I1130" s="118">
        <f ca="1">IFERROR(__xludf.DUMMYFUNCTION("""COMPUTED_VALUE"""),11)</f>
        <v>11</v>
      </c>
      <c r="J1130" s="118">
        <f ca="1">IFERROR(__xludf.DUMMYFUNCTION("""COMPUTED_VALUE"""),5)</f>
        <v>5</v>
      </c>
      <c r="K1130" s="120">
        <f ca="1">IFERROR(__xludf.DUMMYFUNCTION("""COMPUTED_VALUE"""),270.4)</f>
        <v>270.39999999999998</v>
      </c>
      <c r="L1130" s="121"/>
      <c r="M1130" s="120">
        <f ca="1">IFERROR(__xludf.DUMMYFUNCTION("""COMPUTED_VALUE"""),258.95)</f>
        <v>258.95</v>
      </c>
      <c r="N1130" s="121"/>
      <c r="O1130" s="120">
        <f ca="1">IFERROR(__xludf.DUMMYFUNCTION("""COMPUTED_VALUE"""),241.35)</f>
        <v>241.35</v>
      </c>
      <c r="P1130" s="122"/>
      <c r="Q1130" s="123"/>
      <c r="R1130" s="123"/>
      <c r="S1130" s="123" t="str">
        <f ca="1">IFERROR(__xludf.DUMMYFUNCTION("""COMPUTED_VALUE"""),"Scout Freeman")</f>
        <v>Scout Freeman</v>
      </c>
      <c r="T1130" s="123"/>
    </row>
    <row r="1131" spans="1:20" ht="13.8">
      <c r="A1131" s="118" t="str">
        <f ca="1">IFERROR(__xludf.DUMMYFUNCTION("""COMPUTED_VALUE"""),"LV")</f>
        <v>LV</v>
      </c>
      <c r="B1131" s="119" t="str">
        <f ca="1">IFERROR(__xludf.DUMMYFUNCTION("""COMPUTED_VALUE"""),"Shawn Hubbard")</f>
        <v>Shawn Hubbard</v>
      </c>
      <c r="C1131" s="118">
        <f ca="1">IFERROR(__xludf.DUMMYFUNCTION("""COMPUTED_VALUE"""),17)</f>
        <v>17</v>
      </c>
      <c r="D1131" s="118" t="str">
        <f ca="1">IFERROR(__xludf.DUMMYFUNCTION("""COMPUTED_VALUE"""),"B")</f>
        <v>B</v>
      </c>
      <c r="E1131" s="118" t="str">
        <f ca="1">IFERROR(__xludf.DUMMYFUNCTION("""COMPUTED_VALUE"""),"S")</f>
        <v>S</v>
      </c>
      <c r="F1131" s="118" t="str">
        <f ca="1">IFERROR(__xludf.DUMMYFUNCTION("""COMPUTED_VALUE"""),"S")</f>
        <v>S</v>
      </c>
      <c r="G1131" s="118">
        <f ca="1">IFERROR(__xludf.DUMMYFUNCTION("""COMPUTED_VALUE"""),5)</f>
        <v>5</v>
      </c>
      <c r="H1131" s="118" t="str">
        <f ca="1">IFERROR(__xludf.DUMMYFUNCTION("""COMPUTED_VALUE"""),"LV")</f>
        <v>LV</v>
      </c>
      <c r="I1131" s="118">
        <f ca="1">IFERROR(__xludf.DUMMYFUNCTION("""COMPUTED_VALUE"""),11)</f>
        <v>11</v>
      </c>
      <c r="J1131" s="118">
        <f ca="1">IFERROR(__xludf.DUMMYFUNCTION("""COMPUTED_VALUE"""),3)</f>
        <v>3</v>
      </c>
      <c r="K1131" s="120">
        <f ca="1">IFERROR(__xludf.DUMMYFUNCTION("""COMPUTED_VALUE"""),205.9)</f>
        <v>205.9</v>
      </c>
      <c r="L1131" s="121"/>
      <c r="M1131" s="120">
        <f ca="1">IFERROR(__xludf.DUMMYFUNCTION("""COMPUTED_VALUE"""),188.35)</f>
        <v>188.35</v>
      </c>
      <c r="N1131" s="121"/>
      <c r="O1131" s="120"/>
      <c r="P1131" s="122"/>
      <c r="Q1131" s="123"/>
      <c r="R1131" s="123"/>
      <c r="S1131" s="123" t="str">
        <f ca="1">IFERROR(__xludf.DUMMYFUNCTION("""COMPUTED_VALUE"""),"Seraphina Davison")</f>
        <v>Seraphina Davison</v>
      </c>
      <c r="T1131" s="123"/>
    </row>
    <row r="1132" spans="1:20" ht="13.8">
      <c r="A1132" s="118" t="str">
        <f ca="1">IFERROR(__xludf.DUMMYFUNCTION("""COMPUTED_VALUE"""),"M")</f>
        <v>M</v>
      </c>
      <c r="B1132" s="119" t="str">
        <f ca="1">IFERROR(__xludf.DUMMYFUNCTION("""COMPUTED_VALUE"""),"Anastasia Wendle")</f>
        <v>Anastasia Wendle</v>
      </c>
      <c r="C1132" s="118">
        <f ca="1">IFERROR(__xludf.DUMMYFUNCTION("""COMPUTED_VALUE"""),10)</f>
        <v>10</v>
      </c>
      <c r="D1132" s="118" t="str">
        <f ca="1">IFERROR(__xludf.DUMMYFUNCTION("""COMPUTED_VALUE"""),"G")</f>
        <v>G</v>
      </c>
      <c r="E1132" s="118" t="str">
        <f ca="1">IFERROR(__xludf.DUMMYFUNCTION("""COMPUTED_VALUE"""),"F")</f>
        <v>F</v>
      </c>
      <c r="F1132" s="118" t="str">
        <f ca="1">IFERROR(__xludf.DUMMYFUNCTION("""COMPUTED_VALUE"""),"J")</f>
        <v>J</v>
      </c>
      <c r="G1132" s="118">
        <f ca="1">IFERROR(__xludf.DUMMYFUNCTION("""COMPUTED_VALUE"""),6)</f>
        <v>6</v>
      </c>
      <c r="H1132" s="118" t="str">
        <f ca="1">IFERROR(__xludf.DUMMYFUNCTION("""COMPUTED_VALUE"""),"M")</f>
        <v>M</v>
      </c>
      <c r="I1132" s="118">
        <f ca="1">IFERROR(__xludf.DUMMYFUNCTION("""COMPUTED_VALUE"""),4)</f>
        <v>4</v>
      </c>
      <c r="J1132" s="118">
        <f ca="1">IFERROR(__xludf.DUMMYFUNCTION("""COMPUTED_VALUE"""),3)</f>
        <v>3</v>
      </c>
      <c r="K1132" s="120">
        <f ca="1">IFERROR(__xludf.DUMMYFUNCTION("""COMPUTED_VALUE"""),37.65)</f>
        <v>37.65</v>
      </c>
      <c r="L1132" s="121"/>
      <c r="M1132" s="120"/>
      <c r="N1132" s="121"/>
      <c r="O1132" s="120"/>
      <c r="P1132" s="122"/>
      <c r="Q1132" s="123"/>
      <c r="R1132" s="123"/>
      <c r="S1132" s="123" t="str">
        <f ca="1">IFERROR(__xludf.DUMMYFUNCTION("""COMPUTED_VALUE"""),"Serra Yildiz")</f>
        <v>Serra Yildiz</v>
      </c>
      <c r="T1132" s="123"/>
    </row>
    <row r="1133" spans="1:20" ht="13.8">
      <c r="A1133" s="118" t="str">
        <f ca="1">IFERROR(__xludf.DUMMYFUNCTION("""COMPUTED_VALUE"""),"M")</f>
        <v>M</v>
      </c>
      <c r="B1133" s="119" t="str">
        <f ca="1">IFERROR(__xludf.DUMMYFUNCTION("""COMPUTED_VALUE"""),"Annabel Rider")</f>
        <v>Annabel Rider</v>
      </c>
      <c r="C1133" s="118">
        <f ca="1">IFERROR(__xludf.DUMMYFUNCTION("""COMPUTED_VALUE"""),10)</f>
        <v>10</v>
      </c>
      <c r="D1133" s="118" t="str">
        <f ca="1">IFERROR(__xludf.DUMMYFUNCTION("""COMPUTED_VALUE"""),"G")</f>
        <v>G</v>
      </c>
      <c r="E1133" s="118" t="str">
        <f ca="1">IFERROR(__xludf.DUMMYFUNCTION("""COMPUTED_VALUE"""),"F")</f>
        <v>F</v>
      </c>
      <c r="F1133" s="118" t="str">
        <f ca="1">IFERROR(__xludf.DUMMYFUNCTION("""COMPUTED_VALUE"""),"J")</f>
        <v>J</v>
      </c>
      <c r="G1133" s="118">
        <f ca="1">IFERROR(__xludf.DUMMYFUNCTION("""COMPUTED_VALUE"""),6)</f>
        <v>6</v>
      </c>
      <c r="H1133" s="118" t="str">
        <f ca="1">IFERROR(__xludf.DUMMYFUNCTION("""COMPUTED_VALUE"""),"M")</f>
        <v>M</v>
      </c>
      <c r="I1133" s="118">
        <f ca="1">IFERROR(__xludf.DUMMYFUNCTION("""COMPUTED_VALUE"""),4)</f>
        <v>4</v>
      </c>
      <c r="J1133" s="118">
        <f ca="1">IFERROR(__xludf.DUMMYFUNCTION("""COMPUTED_VALUE"""),5)</f>
        <v>5</v>
      </c>
      <c r="K1133" s="120">
        <f ca="1">IFERROR(__xludf.DUMMYFUNCTION("""COMPUTED_VALUE"""),48.9)</f>
        <v>48.9</v>
      </c>
      <c r="L1133" s="121"/>
      <c r="M1133" s="120">
        <f ca="1">IFERROR(__xludf.DUMMYFUNCTION("""COMPUTED_VALUE"""),35.5)</f>
        <v>35.5</v>
      </c>
      <c r="N1133" s="121"/>
      <c r="O1133" s="120">
        <f ca="1">IFERROR(__xludf.DUMMYFUNCTION("""COMPUTED_VALUE"""),31.4)</f>
        <v>31.4</v>
      </c>
      <c r="P1133" s="122"/>
      <c r="Q1133" s="123"/>
      <c r="R1133" s="123"/>
      <c r="S1133" s="123" t="str">
        <f ca="1">IFERROR(__xludf.DUMMYFUNCTION("""COMPUTED_VALUE"""),"Shannon Stegmaier")</f>
        <v>Shannon Stegmaier</v>
      </c>
      <c r="T1133" s="123"/>
    </row>
    <row r="1134" spans="1:20" ht="13.8">
      <c r="A1134" s="118" t="str">
        <f ca="1">IFERROR(__xludf.DUMMYFUNCTION("""COMPUTED_VALUE"""),"M")</f>
        <v>M</v>
      </c>
      <c r="B1134" s="119" t="str">
        <f ca="1">IFERROR(__xludf.DUMMYFUNCTION("""COMPUTED_VALUE"""),"Cateleia Chu")</f>
        <v>Cateleia Chu</v>
      </c>
      <c r="C1134" s="118">
        <f ca="1">IFERROR(__xludf.DUMMYFUNCTION("""COMPUTED_VALUE"""),6)</f>
        <v>6</v>
      </c>
      <c r="D1134" s="118" t="str">
        <f ca="1">IFERROR(__xludf.DUMMYFUNCTION("""COMPUTED_VALUE"""),"G")</f>
        <v>G</v>
      </c>
      <c r="E1134" s="118" t="str">
        <f ca="1">IFERROR(__xludf.DUMMYFUNCTION("""COMPUTED_VALUE"""),"F")</f>
        <v>F</v>
      </c>
      <c r="F1134" s="118" t="str">
        <f ca="1">IFERROR(__xludf.DUMMYFUNCTION("""COMPUTED_VALUE"""),"J")</f>
        <v>J</v>
      </c>
      <c r="G1134" s="118">
        <f ca="1">IFERROR(__xludf.DUMMYFUNCTION("""COMPUTED_VALUE"""),6)</f>
        <v>6</v>
      </c>
      <c r="H1134" s="118" t="str">
        <f ca="1">IFERROR(__xludf.DUMMYFUNCTION("""COMPUTED_VALUE"""),"M")</f>
        <v>M</v>
      </c>
      <c r="I1134" s="118">
        <f ca="1">IFERROR(__xludf.DUMMYFUNCTION("""COMPUTED_VALUE"""),4)</f>
        <v>4</v>
      </c>
      <c r="J1134" s="118">
        <f ca="1">IFERROR(__xludf.DUMMYFUNCTION("""COMPUTED_VALUE"""),2)</f>
        <v>2</v>
      </c>
      <c r="K1134" s="120">
        <f ca="1">IFERROR(__xludf.DUMMYFUNCTION("""COMPUTED_VALUE"""),12.75)</f>
        <v>12.75</v>
      </c>
      <c r="L1134" s="121"/>
      <c r="M1134" s="120"/>
      <c r="N1134" s="121"/>
      <c r="O1134" s="120"/>
      <c r="P1134" s="122"/>
      <c r="Q1134" s="123"/>
      <c r="R1134" s="123"/>
      <c r="S1134" s="123" t="str">
        <f ca="1">IFERROR(__xludf.DUMMYFUNCTION("""COMPUTED_VALUE"""),"Shea Erickson")</f>
        <v>Shea Erickson</v>
      </c>
      <c r="T1134" s="123"/>
    </row>
    <row r="1135" spans="1:20" ht="13.8">
      <c r="A1135" s="118" t="str">
        <f ca="1">IFERROR(__xludf.DUMMYFUNCTION("""COMPUTED_VALUE"""),"M")</f>
        <v>M</v>
      </c>
      <c r="B1135" s="119" t="str">
        <f ca="1">IFERROR(__xludf.DUMMYFUNCTION("""COMPUTED_VALUE"""),"Erin Dougherty")</f>
        <v>Erin Dougherty</v>
      </c>
      <c r="C1135" s="118">
        <f ca="1">IFERROR(__xludf.DUMMYFUNCTION("""COMPUTED_VALUE"""),10)</f>
        <v>10</v>
      </c>
      <c r="D1135" s="118" t="str">
        <f ca="1">IFERROR(__xludf.DUMMYFUNCTION("""COMPUTED_VALUE"""),"G")</f>
        <v>G</v>
      </c>
      <c r="E1135" s="118" t="str">
        <f ca="1">IFERROR(__xludf.DUMMYFUNCTION("""COMPUTED_VALUE"""),"F")</f>
        <v>F</v>
      </c>
      <c r="F1135" s="118" t="str">
        <f ca="1">IFERROR(__xludf.DUMMYFUNCTION("""COMPUTED_VALUE"""),"J")</f>
        <v>J</v>
      </c>
      <c r="G1135" s="118">
        <f ca="1">IFERROR(__xludf.DUMMYFUNCTION("""COMPUTED_VALUE"""),6)</f>
        <v>6</v>
      </c>
      <c r="H1135" s="118" t="str">
        <f ca="1">IFERROR(__xludf.DUMMYFUNCTION("""COMPUTED_VALUE"""),"M")</f>
        <v>M</v>
      </c>
      <c r="I1135" s="118">
        <f ca="1">IFERROR(__xludf.DUMMYFUNCTION("""COMPUTED_VALUE"""),4)</f>
        <v>4</v>
      </c>
      <c r="J1135" s="118">
        <f ca="1">IFERROR(__xludf.DUMMYFUNCTION("""COMPUTED_VALUE"""),0)</f>
        <v>0</v>
      </c>
      <c r="K1135" s="120"/>
      <c r="L1135" s="121"/>
      <c r="M1135" s="120"/>
      <c r="N1135" s="121"/>
      <c r="O1135" s="120"/>
      <c r="P1135" s="122"/>
      <c r="Q1135" s="123"/>
      <c r="R1135" s="123"/>
      <c r="S1135" s="123" t="str">
        <f ca="1">IFERROR(__xludf.DUMMYFUNCTION("""COMPUTED_VALUE"""),"Shea McCarthy")</f>
        <v>Shea McCarthy</v>
      </c>
      <c r="T1135" s="123"/>
    </row>
    <row r="1136" spans="1:20" ht="13.8">
      <c r="A1136" s="118" t="str">
        <f ca="1">IFERROR(__xludf.DUMMYFUNCTION("""COMPUTED_VALUE"""),"M")</f>
        <v>M</v>
      </c>
      <c r="B1136" s="119" t="str">
        <f ca="1">IFERROR(__xludf.DUMMYFUNCTION("""COMPUTED_VALUE"""),"Erin Pinchas")</f>
        <v>Erin Pinchas</v>
      </c>
      <c r="C1136" s="118">
        <f ca="1">IFERROR(__xludf.DUMMYFUNCTION("""COMPUTED_VALUE"""),10)</f>
        <v>10</v>
      </c>
      <c r="D1136" s="118" t="str">
        <f ca="1">IFERROR(__xludf.DUMMYFUNCTION("""COMPUTED_VALUE"""),"G")</f>
        <v>G</v>
      </c>
      <c r="E1136" s="118" t="str">
        <f ca="1">IFERROR(__xludf.DUMMYFUNCTION("""COMPUTED_VALUE"""),"F")</f>
        <v>F</v>
      </c>
      <c r="F1136" s="118" t="str">
        <f ca="1">IFERROR(__xludf.DUMMYFUNCTION("""COMPUTED_VALUE"""),"J")</f>
        <v>J</v>
      </c>
      <c r="G1136" s="118">
        <f ca="1">IFERROR(__xludf.DUMMYFUNCTION("""COMPUTED_VALUE"""),6)</f>
        <v>6</v>
      </c>
      <c r="H1136" s="118" t="str">
        <f ca="1">IFERROR(__xludf.DUMMYFUNCTION("""COMPUTED_VALUE"""),"M")</f>
        <v>M</v>
      </c>
      <c r="I1136" s="118">
        <f ca="1">IFERROR(__xludf.DUMMYFUNCTION("""COMPUTED_VALUE"""),4)</f>
        <v>4</v>
      </c>
      <c r="J1136" s="118">
        <f ca="1">IFERROR(__xludf.DUMMYFUNCTION("""COMPUTED_VALUE"""),2)</f>
        <v>2</v>
      </c>
      <c r="K1136" s="120">
        <f ca="1">IFERROR(__xludf.DUMMYFUNCTION("""COMPUTED_VALUE"""),58.95)</f>
        <v>58.95</v>
      </c>
      <c r="L1136" s="121"/>
      <c r="M1136" s="120">
        <f ca="1">IFERROR(__xludf.DUMMYFUNCTION("""COMPUTED_VALUE"""),58.5)</f>
        <v>58.5</v>
      </c>
      <c r="N1136" s="121"/>
      <c r="O1136" s="120"/>
      <c r="P1136" s="122"/>
      <c r="Q1136" s="123"/>
      <c r="R1136" s="123"/>
      <c r="S1136" s="123" t="str">
        <f ca="1">IFERROR(__xludf.DUMMYFUNCTION("""COMPUTED_VALUE"""),"Shirin Abadian")</f>
        <v>Shirin Abadian</v>
      </c>
      <c r="T1136" s="123"/>
    </row>
    <row r="1137" spans="1:20" ht="13.8">
      <c r="A1137" s="118" t="str">
        <f ca="1">IFERROR(__xludf.DUMMYFUNCTION("""COMPUTED_VALUE"""),"M")</f>
        <v>M</v>
      </c>
      <c r="B1137" s="119" t="str">
        <f ca="1">IFERROR(__xludf.DUMMYFUNCTION("""COMPUTED_VALUE"""),"Isabel Benavides")</f>
        <v>Isabel Benavides</v>
      </c>
      <c r="C1137" s="118">
        <f ca="1">IFERROR(__xludf.DUMMYFUNCTION("""COMPUTED_VALUE"""),7)</f>
        <v>7</v>
      </c>
      <c r="D1137" s="118" t="str">
        <f ca="1">IFERROR(__xludf.DUMMYFUNCTION("""COMPUTED_VALUE"""),"G")</f>
        <v>G</v>
      </c>
      <c r="E1137" s="118" t="str">
        <f ca="1">IFERROR(__xludf.DUMMYFUNCTION("""COMPUTED_VALUE"""),"F")</f>
        <v>F</v>
      </c>
      <c r="F1137" s="118" t="str">
        <f ca="1">IFERROR(__xludf.DUMMYFUNCTION("""COMPUTED_VALUE"""),"J")</f>
        <v>J</v>
      </c>
      <c r="G1137" s="118">
        <f ca="1">IFERROR(__xludf.DUMMYFUNCTION("""COMPUTED_VALUE"""),6)</f>
        <v>6</v>
      </c>
      <c r="H1137" s="118" t="str">
        <f ca="1">IFERROR(__xludf.DUMMYFUNCTION("""COMPUTED_VALUE"""),"M")</f>
        <v>M</v>
      </c>
      <c r="I1137" s="118">
        <f ca="1">IFERROR(__xludf.DUMMYFUNCTION("""COMPUTED_VALUE"""),4)</f>
        <v>4</v>
      </c>
      <c r="J1137" s="118">
        <f ca="1">IFERROR(__xludf.DUMMYFUNCTION("""COMPUTED_VALUE"""),3)</f>
        <v>3</v>
      </c>
      <c r="K1137" s="120">
        <f ca="1">IFERROR(__xludf.DUMMYFUNCTION("""COMPUTED_VALUE"""),20.75)</f>
        <v>20.75</v>
      </c>
      <c r="L1137" s="121"/>
      <c r="M1137" s="120"/>
      <c r="N1137" s="121"/>
      <c r="O1137" s="120"/>
      <c r="P1137" s="122"/>
      <c r="Q1137" s="123"/>
      <c r="R1137" s="123"/>
      <c r="S1137" s="123" t="str">
        <f ca="1">IFERROR(__xludf.DUMMYFUNCTION("""COMPUTED_VALUE"""),"Sia Ferssizidis")</f>
        <v>Sia Ferssizidis</v>
      </c>
      <c r="T1137" s="123"/>
    </row>
    <row r="1138" spans="1:20" ht="13.8">
      <c r="A1138" s="118" t="str">
        <f ca="1">IFERROR(__xludf.DUMMYFUNCTION("""COMPUTED_VALUE"""),"M")</f>
        <v>M</v>
      </c>
      <c r="B1138" s="119" t="str">
        <f ca="1">IFERROR(__xludf.DUMMYFUNCTION("""COMPUTED_VALUE"""),"Leila White")</f>
        <v>Leila White</v>
      </c>
      <c r="C1138" s="118">
        <f ca="1">IFERROR(__xludf.DUMMYFUNCTION("""COMPUTED_VALUE"""),10)</f>
        <v>10</v>
      </c>
      <c r="D1138" s="118" t="str">
        <f ca="1">IFERROR(__xludf.DUMMYFUNCTION("""COMPUTED_VALUE"""),"G")</f>
        <v>G</v>
      </c>
      <c r="E1138" s="118" t="str">
        <f ca="1">IFERROR(__xludf.DUMMYFUNCTION("""COMPUTED_VALUE"""),"F")</f>
        <v>F</v>
      </c>
      <c r="F1138" s="118" t="str">
        <f ca="1">IFERROR(__xludf.DUMMYFUNCTION("""COMPUTED_VALUE"""),"J")</f>
        <v>J</v>
      </c>
      <c r="G1138" s="118">
        <f ca="1">IFERROR(__xludf.DUMMYFUNCTION("""COMPUTED_VALUE"""),6)</f>
        <v>6</v>
      </c>
      <c r="H1138" s="118" t="str">
        <f ca="1">IFERROR(__xludf.DUMMYFUNCTION("""COMPUTED_VALUE"""),"M")</f>
        <v>M</v>
      </c>
      <c r="I1138" s="118">
        <f ca="1">IFERROR(__xludf.DUMMYFUNCTION("""COMPUTED_VALUE"""),4)</f>
        <v>4</v>
      </c>
      <c r="J1138" s="118">
        <f ca="1">IFERROR(__xludf.DUMMYFUNCTION("""COMPUTED_VALUE"""),5)</f>
        <v>5</v>
      </c>
      <c r="K1138" s="120">
        <f ca="1">IFERROR(__xludf.DUMMYFUNCTION("""COMPUTED_VALUE"""),92.25)</f>
        <v>92.25</v>
      </c>
      <c r="L1138" s="121"/>
      <c r="M1138" s="120">
        <f ca="1">IFERROR(__xludf.DUMMYFUNCTION("""COMPUTED_VALUE"""),74.7)</f>
        <v>74.7</v>
      </c>
      <c r="N1138" s="121"/>
      <c r="O1138" s="120">
        <f ca="1">IFERROR(__xludf.DUMMYFUNCTION("""COMPUTED_VALUE"""),77.55)</f>
        <v>77.55</v>
      </c>
      <c r="P1138" s="122"/>
      <c r="Q1138" s="123"/>
      <c r="R1138" s="123"/>
      <c r="S1138" s="123" t="str">
        <f ca="1">IFERROR(__xludf.DUMMYFUNCTION("""COMPUTED_VALUE"""),"Sienna Carry")</f>
        <v>Sienna Carry</v>
      </c>
      <c r="T1138" s="123"/>
    </row>
    <row r="1139" spans="1:20" ht="13.8">
      <c r="A1139" s="118" t="str">
        <f ca="1">IFERROR(__xludf.DUMMYFUNCTION("""COMPUTED_VALUE"""),"M")</f>
        <v>M</v>
      </c>
      <c r="B1139" s="119" t="str">
        <f ca="1">IFERROR(__xludf.DUMMYFUNCTION("""COMPUTED_VALUE"""),"Lilliana Chu")</f>
        <v>Lilliana Chu</v>
      </c>
      <c r="C1139" s="118">
        <f ca="1">IFERROR(__xludf.DUMMYFUNCTION("""COMPUTED_VALUE"""),9)</f>
        <v>9</v>
      </c>
      <c r="D1139" s="118" t="str">
        <f ca="1">IFERROR(__xludf.DUMMYFUNCTION("""COMPUTED_VALUE"""),"G")</f>
        <v>G</v>
      </c>
      <c r="E1139" s="118" t="str">
        <f ca="1">IFERROR(__xludf.DUMMYFUNCTION("""COMPUTED_VALUE"""),"F")</f>
        <v>F</v>
      </c>
      <c r="F1139" s="118" t="str">
        <f ca="1">IFERROR(__xludf.DUMMYFUNCTION("""COMPUTED_VALUE"""),"J")</f>
        <v>J</v>
      </c>
      <c r="G1139" s="118">
        <f ca="1">IFERROR(__xludf.DUMMYFUNCTION("""COMPUTED_VALUE"""),6)</f>
        <v>6</v>
      </c>
      <c r="H1139" s="118" t="str">
        <f ca="1">IFERROR(__xludf.DUMMYFUNCTION("""COMPUTED_VALUE"""),"M")</f>
        <v>M</v>
      </c>
      <c r="I1139" s="118">
        <f ca="1">IFERROR(__xludf.DUMMYFUNCTION("""COMPUTED_VALUE"""),4)</f>
        <v>4</v>
      </c>
      <c r="J1139" s="118">
        <f ca="1">IFERROR(__xludf.DUMMYFUNCTION("""COMPUTED_VALUE"""),2)</f>
        <v>2</v>
      </c>
      <c r="K1139" s="120">
        <f ca="1">IFERROR(__xludf.DUMMYFUNCTION("""COMPUTED_VALUE"""),13)</f>
        <v>13</v>
      </c>
      <c r="L1139" s="121"/>
      <c r="M1139" s="120"/>
      <c r="N1139" s="121"/>
      <c r="O1139" s="120"/>
      <c r="P1139" s="122"/>
      <c r="Q1139" s="123"/>
      <c r="R1139" s="123"/>
      <c r="S1139" s="123" t="str">
        <f ca="1">IFERROR(__xludf.DUMMYFUNCTION("""COMPUTED_VALUE"""),"Sienna Nelson")</f>
        <v>Sienna Nelson</v>
      </c>
      <c r="T1139" s="123"/>
    </row>
    <row r="1140" spans="1:20" ht="13.8">
      <c r="A1140" s="118" t="str">
        <f ca="1">IFERROR(__xludf.DUMMYFUNCTION("""COMPUTED_VALUE"""),"M")</f>
        <v>M</v>
      </c>
      <c r="B1140" s="119" t="str">
        <f ca="1">IFERROR(__xludf.DUMMYFUNCTION("""COMPUTED_VALUE"""),"Luca Hennessey-Carter")</f>
        <v>Luca Hennessey-Carter</v>
      </c>
      <c r="C1140" s="118">
        <f ca="1">IFERROR(__xludf.DUMMYFUNCTION("""COMPUTED_VALUE"""),8)</f>
        <v>8</v>
      </c>
      <c r="D1140" s="118" t="str">
        <f ca="1">IFERROR(__xludf.DUMMYFUNCTION("""COMPUTED_VALUE"""),"G")</f>
        <v>G</v>
      </c>
      <c r="E1140" s="118" t="str">
        <f ca="1">IFERROR(__xludf.DUMMYFUNCTION("""COMPUTED_VALUE"""),"F")</f>
        <v>F</v>
      </c>
      <c r="F1140" s="118" t="str">
        <f ca="1">IFERROR(__xludf.DUMMYFUNCTION("""COMPUTED_VALUE"""),"J")</f>
        <v>J</v>
      </c>
      <c r="G1140" s="118">
        <f ca="1">IFERROR(__xludf.DUMMYFUNCTION("""COMPUTED_VALUE"""),6)</f>
        <v>6</v>
      </c>
      <c r="H1140" s="118" t="str">
        <f ca="1">IFERROR(__xludf.DUMMYFUNCTION("""COMPUTED_VALUE"""),"M")</f>
        <v>M</v>
      </c>
      <c r="I1140" s="118">
        <f ca="1">IFERROR(__xludf.DUMMYFUNCTION("""COMPUTED_VALUE"""),4)</f>
        <v>4</v>
      </c>
      <c r="J1140" s="118">
        <f ca="1">IFERROR(__xludf.DUMMYFUNCTION("""COMPUTED_VALUE"""),0)</f>
        <v>0</v>
      </c>
      <c r="K1140" s="120"/>
      <c r="L1140" s="121"/>
      <c r="M1140" s="120"/>
      <c r="N1140" s="121"/>
      <c r="O1140" s="120"/>
      <c r="P1140" s="122"/>
      <c r="Q1140" s="123"/>
      <c r="R1140" s="123"/>
      <c r="S1140" s="123" t="str">
        <f ca="1">IFERROR(__xludf.DUMMYFUNCTION("""COMPUTED_VALUE"""),"Sierra Jackson")</f>
        <v>Sierra Jackson</v>
      </c>
      <c r="T1140" s="123"/>
    </row>
    <row r="1141" spans="1:20" ht="13.8">
      <c r="A1141" s="118" t="str">
        <f ca="1">IFERROR(__xludf.DUMMYFUNCTION("""COMPUTED_VALUE"""),"M")</f>
        <v>M</v>
      </c>
      <c r="B1141" s="119" t="str">
        <f ca="1">IFERROR(__xludf.DUMMYFUNCTION("""COMPUTED_VALUE"""),"Margaret Rider")</f>
        <v>Margaret Rider</v>
      </c>
      <c r="C1141" s="118">
        <f ca="1">IFERROR(__xludf.DUMMYFUNCTION("""COMPUTED_VALUE"""),8)</f>
        <v>8</v>
      </c>
      <c r="D1141" s="118" t="str">
        <f ca="1">IFERROR(__xludf.DUMMYFUNCTION("""COMPUTED_VALUE"""),"G")</f>
        <v>G</v>
      </c>
      <c r="E1141" s="118" t="str">
        <f ca="1">IFERROR(__xludf.DUMMYFUNCTION("""COMPUTED_VALUE"""),"F")</f>
        <v>F</v>
      </c>
      <c r="F1141" s="118" t="str">
        <f ca="1">IFERROR(__xludf.DUMMYFUNCTION("""COMPUTED_VALUE"""),"J")</f>
        <v>J</v>
      </c>
      <c r="G1141" s="118">
        <f ca="1">IFERROR(__xludf.DUMMYFUNCTION("""COMPUTED_VALUE"""),6)</f>
        <v>6</v>
      </c>
      <c r="H1141" s="118" t="str">
        <f ca="1">IFERROR(__xludf.DUMMYFUNCTION("""COMPUTED_VALUE"""),"M")</f>
        <v>M</v>
      </c>
      <c r="I1141" s="118">
        <f ca="1">IFERROR(__xludf.DUMMYFUNCTION("""COMPUTED_VALUE"""),4)</f>
        <v>4</v>
      </c>
      <c r="J1141" s="118">
        <f ca="1">IFERROR(__xludf.DUMMYFUNCTION("""COMPUTED_VALUE"""),2)</f>
        <v>2</v>
      </c>
      <c r="K1141" s="120">
        <f ca="1">IFERROR(__xludf.DUMMYFUNCTION("""COMPUTED_VALUE"""),19.5)</f>
        <v>19.5</v>
      </c>
      <c r="L1141" s="121"/>
      <c r="M1141" s="120"/>
      <c r="N1141" s="121"/>
      <c r="O1141" s="120"/>
      <c r="P1141" s="122"/>
      <c r="Q1141" s="123"/>
      <c r="R1141" s="123"/>
      <c r="S1141" s="123" t="str">
        <f ca="1">IFERROR(__xludf.DUMMYFUNCTION("""COMPUTED_VALUE"""),"Simone Feil")</f>
        <v>Simone Feil</v>
      </c>
      <c r="T1141" s="123"/>
    </row>
    <row r="1142" spans="1:20" ht="13.8">
      <c r="A1142" s="118" t="str">
        <f ca="1">IFERROR(__xludf.DUMMYFUNCTION("""COMPUTED_VALUE"""),"M")</f>
        <v>M</v>
      </c>
      <c r="B1142" s="119" t="str">
        <f ca="1">IFERROR(__xludf.DUMMYFUNCTION("""COMPUTED_VALUE"""),"Naomi Rios")</f>
        <v>Naomi Rios</v>
      </c>
      <c r="C1142" s="118">
        <f ca="1">IFERROR(__xludf.DUMMYFUNCTION("""COMPUTED_VALUE"""),10)</f>
        <v>10</v>
      </c>
      <c r="D1142" s="118" t="str">
        <f ca="1">IFERROR(__xludf.DUMMYFUNCTION("""COMPUTED_VALUE"""),"G")</f>
        <v>G</v>
      </c>
      <c r="E1142" s="118" t="str">
        <f ca="1">IFERROR(__xludf.DUMMYFUNCTION("""COMPUTED_VALUE"""),"F")</f>
        <v>F</v>
      </c>
      <c r="F1142" s="118" t="str">
        <f ca="1">IFERROR(__xludf.DUMMYFUNCTION("""COMPUTED_VALUE"""),"J")</f>
        <v>J</v>
      </c>
      <c r="G1142" s="118">
        <f ca="1">IFERROR(__xludf.DUMMYFUNCTION("""COMPUTED_VALUE"""),6)</f>
        <v>6</v>
      </c>
      <c r="H1142" s="118" t="str">
        <f ca="1">IFERROR(__xludf.DUMMYFUNCTION("""COMPUTED_VALUE"""),"M")</f>
        <v>M</v>
      </c>
      <c r="I1142" s="118">
        <f ca="1">IFERROR(__xludf.DUMMYFUNCTION("""COMPUTED_VALUE"""),4)</f>
        <v>4</v>
      </c>
      <c r="J1142" s="118">
        <f ca="1">IFERROR(__xludf.DUMMYFUNCTION("""COMPUTED_VALUE"""),0)</f>
        <v>0</v>
      </c>
      <c r="K1142" s="120"/>
      <c r="L1142" s="121"/>
      <c r="M1142" s="120"/>
      <c r="N1142" s="121"/>
      <c r="O1142" s="120"/>
      <c r="P1142" s="122"/>
      <c r="Q1142" s="123"/>
      <c r="R1142" s="123"/>
      <c r="S1142" s="123" t="str">
        <f ca="1">IFERROR(__xludf.DUMMYFUNCTION("""COMPUTED_VALUE"""),"Simone Wilson")</f>
        <v>Simone Wilson</v>
      </c>
      <c r="T1142" s="123"/>
    </row>
    <row r="1143" spans="1:20" ht="13.8">
      <c r="A1143" s="118" t="str">
        <f ca="1">IFERROR(__xludf.DUMMYFUNCTION("""COMPUTED_VALUE"""),"M")</f>
        <v>M</v>
      </c>
      <c r="B1143" s="119" t="str">
        <f ca="1">IFERROR(__xludf.DUMMYFUNCTION("""COMPUTED_VALUE"""),"Nico Rios")</f>
        <v>Nico Rios</v>
      </c>
      <c r="C1143" s="118">
        <f ca="1">IFERROR(__xludf.DUMMYFUNCTION("""COMPUTED_VALUE"""),8)</f>
        <v>8</v>
      </c>
      <c r="D1143" s="118" t="str">
        <f ca="1">IFERROR(__xludf.DUMMYFUNCTION("""COMPUTED_VALUE"""),"G")</f>
        <v>G</v>
      </c>
      <c r="E1143" s="118" t="str">
        <f ca="1">IFERROR(__xludf.DUMMYFUNCTION("""COMPUTED_VALUE"""),"F")</f>
        <v>F</v>
      </c>
      <c r="F1143" s="118" t="str">
        <f ca="1">IFERROR(__xludf.DUMMYFUNCTION("""COMPUTED_VALUE"""),"J")</f>
        <v>J</v>
      </c>
      <c r="G1143" s="118">
        <f ca="1">IFERROR(__xludf.DUMMYFUNCTION("""COMPUTED_VALUE"""),6)</f>
        <v>6</v>
      </c>
      <c r="H1143" s="118" t="str">
        <f ca="1">IFERROR(__xludf.DUMMYFUNCTION("""COMPUTED_VALUE"""),"M")</f>
        <v>M</v>
      </c>
      <c r="I1143" s="118">
        <f ca="1">IFERROR(__xludf.DUMMYFUNCTION("""COMPUTED_VALUE"""),4)</f>
        <v>4</v>
      </c>
      <c r="J1143" s="118">
        <f ca="1">IFERROR(__xludf.DUMMYFUNCTION("""COMPUTED_VALUE"""),0)</f>
        <v>0</v>
      </c>
      <c r="K1143" s="120"/>
      <c r="L1143" s="121"/>
      <c r="M1143" s="120"/>
      <c r="N1143" s="121"/>
      <c r="O1143" s="120"/>
      <c r="P1143" s="122"/>
      <c r="Q1143" s="123"/>
      <c r="R1143" s="123"/>
      <c r="S1143" s="123" t="str">
        <f ca="1">IFERROR(__xludf.DUMMYFUNCTION("""COMPUTED_VALUE"""),"Skylar Harris")</f>
        <v>Skylar Harris</v>
      </c>
      <c r="T1143" s="123"/>
    </row>
    <row r="1144" spans="1:20" ht="13.8">
      <c r="A1144" s="118" t="str">
        <f ca="1">IFERROR(__xludf.DUMMYFUNCTION("""COMPUTED_VALUE"""),"M")</f>
        <v>M</v>
      </c>
      <c r="B1144" s="119" t="str">
        <f ca="1">IFERROR(__xludf.DUMMYFUNCTION("""COMPUTED_VALUE"""),"Savannah Moore")</f>
        <v>Savannah Moore</v>
      </c>
      <c r="C1144" s="118">
        <f ca="1">IFERROR(__xludf.DUMMYFUNCTION("""COMPUTED_VALUE"""),10)</f>
        <v>10</v>
      </c>
      <c r="D1144" s="118" t="str">
        <f ca="1">IFERROR(__xludf.DUMMYFUNCTION("""COMPUTED_VALUE"""),"G")</f>
        <v>G</v>
      </c>
      <c r="E1144" s="118" t="str">
        <f ca="1">IFERROR(__xludf.DUMMYFUNCTION("""COMPUTED_VALUE"""),"F")</f>
        <v>F</v>
      </c>
      <c r="F1144" s="118" t="str">
        <f ca="1">IFERROR(__xludf.DUMMYFUNCTION("""COMPUTED_VALUE"""),"J")</f>
        <v>J</v>
      </c>
      <c r="G1144" s="118">
        <f ca="1">IFERROR(__xludf.DUMMYFUNCTION("""COMPUTED_VALUE"""),6)</f>
        <v>6</v>
      </c>
      <c r="H1144" s="118" t="str">
        <f ca="1">IFERROR(__xludf.DUMMYFUNCTION("""COMPUTED_VALUE"""),"M")</f>
        <v>M</v>
      </c>
      <c r="I1144" s="118">
        <f ca="1">IFERROR(__xludf.DUMMYFUNCTION("""COMPUTED_VALUE"""),4)</f>
        <v>4</v>
      </c>
      <c r="J1144" s="118">
        <f ca="1">IFERROR(__xludf.DUMMYFUNCTION("""COMPUTED_VALUE"""),3)</f>
        <v>3</v>
      </c>
      <c r="K1144" s="120">
        <f ca="1">IFERROR(__xludf.DUMMYFUNCTION("""COMPUTED_VALUE"""),21.65)</f>
        <v>21.65</v>
      </c>
      <c r="L1144" s="121"/>
      <c r="M1144" s="120">
        <f ca="1">IFERROR(__xludf.DUMMYFUNCTION("""COMPUTED_VALUE"""),18.6)</f>
        <v>18.600000000000001</v>
      </c>
      <c r="N1144" s="121"/>
      <c r="O1144" s="120">
        <f ca="1">IFERROR(__xludf.DUMMYFUNCTION("""COMPUTED_VALUE"""),20.1)</f>
        <v>20.100000000000001</v>
      </c>
      <c r="P1144" s="122"/>
      <c r="Q1144" s="123"/>
      <c r="R1144" s="123"/>
      <c r="S1144" s="123" t="str">
        <f ca="1">IFERROR(__xludf.DUMMYFUNCTION("""COMPUTED_VALUE"""),"Sloan Tann")</f>
        <v>Sloan Tann</v>
      </c>
      <c r="T1144" s="123"/>
    </row>
    <row r="1145" spans="1:20" ht="13.8">
      <c r="A1145" s="118" t="str">
        <f ca="1">IFERROR(__xludf.DUMMYFUNCTION("""COMPUTED_VALUE"""),"M")</f>
        <v>M</v>
      </c>
      <c r="B1145" s="119" t="str">
        <f ca="1">IFERROR(__xludf.DUMMYFUNCTION("""COMPUTED_VALUE"""),"Chase Burke")</f>
        <v>Chase Burke</v>
      </c>
      <c r="C1145" s="118">
        <f ca="1">IFERROR(__xludf.DUMMYFUNCTION("""COMPUTED_VALUE"""),8)</f>
        <v>8</v>
      </c>
      <c r="D1145" s="118" t="str">
        <f ca="1">IFERROR(__xludf.DUMMYFUNCTION("""COMPUTED_VALUE"""),"B")</f>
        <v>B</v>
      </c>
      <c r="E1145" s="118" t="str">
        <f ca="1">IFERROR(__xludf.DUMMYFUNCTION("""COMPUTED_VALUE"""),"F")</f>
        <v>F</v>
      </c>
      <c r="F1145" s="118" t="str">
        <f ca="1">IFERROR(__xludf.DUMMYFUNCTION("""COMPUTED_VALUE"""),"J")</f>
        <v>J</v>
      </c>
      <c r="G1145" s="118">
        <f ca="1">IFERROR(__xludf.DUMMYFUNCTION("""COMPUTED_VALUE"""),6)</f>
        <v>6</v>
      </c>
      <c r="H1145" s="118" t="str">
        <f ca="1">IFERROR(__xludf.DUMMYFUNCTION("""COMPUTED_VALUE"""),"M")</f>
        <v>M</v>
      </c>
      <c r="I1145" s="118">
        <f ca="1">IFERROR(__xludf.DUMMYFUNCTION("""COMPUTED_VALUE"""),5)</f>
        <v>5</v>
      </c>
      <c r="J1145" s="118">
        <f ca="1">IFERROR(__xludf.DUMMYFUNCTION("""COMPUTED_VALUE"""),1)</f>
        <v>1</v>
      </c>
      <c r="K1145" s="120">
        <f ca="1">IFERROR(__xludf.DUMMYFUNCTION("""COMPUTED_VALUE"""),18.4)</f>
        <v>18.399999999999999</v>
      </c>
      <c r="L1145" s="121"/>
      <c r="M1145" s="120"/>
      <c r="N1145" s="121"/>
      <c r="O1145" s="120"/>
      <c r="P1145" s="122"/>
      <c r="Q1145" s="123"/>
      <c r="R1145" s="123"/>
      <c r="S1145" s="123" t="str">
        <f ca="1">IFERROR(__xludf.DUMMYFUNCTION("""COMPUTED_VALUE"""),"Sloane Carle")</f>
        <v>Sloane Carle</v>
      </c>
      <c r="T1145" s="123"/>
    </row>
    <row r="1146" spans="1:20" ht="13.8">
      <c r="A1146" s="118" t="str">
        <f ca="1">IFERROR(__xludf.DUMMYFUNCTION("""COMPUTED_VALUE"""),"M")</f>
        <v>M</v>
      </c>
      <c r="B1146" s="119" t="str">
        <f ca="1">IFERROR(__xludf.DUMMYFUNCTION("""COMPUTED_VALUE"""),"Drew Laursen")</f>
        <v>Drew Laursen</v>
      </c>
      <c r="C1146" s="118">
        <f ca="1">IFERROR(__xludf.DUMMYFUNCTION("""COMPUTED_VALUE"""),10)</f>
        <v>10</v>
      </c>
      <c r="D1146" s="118" t="str">
        <f ca="1">IFERROR(__xludf.DUMMYFUNCTION("""COMPUTED_VALUE"""),"B")</f>
        <v>B</v>
      </c>
      <c r="E1146" s="118" t="str">
        <f ca="1">IFERROR(__xludf.DUMMYFUNCTION("""COMPUTED_VALUE"""),"F")</f>
        <v>F</v>
      </c>
      <c r="F1146" s="118" t="str">
        <f ca="1">IFERROR(__xludf.DUMMYFUNCTION("""COMPUTED_VALUE"""),"J")</f>
        <v>J</v>
      </c>
      <c r="G1146" s="118">
        <f ca="1">IFERROR(__xludf.DUMMYFUNCTION("""COMPUTED_VALUE"""),6)</f>
        <v>6</v>
      </c>
      <c r="H1146" s="118" t="str">
        <f ca="1">IFERROR(__xludf.DUMMYFUNCTION("""COMPUTED_VALUE"""),"M")</f>
        <v>M</v>
      </c>
      <c r="I1146" s="118">
        <f ca="1">IFERROR(__xludf.DUMMYFUNCTION("""COMPUTED_VALUE"""),5)</f>
        <v>5</v>
      </c>
      <c r="J1146" s="118">
        <f ca="1">IFERROR(__xludf.DUMMYFUNCTION("""COMPUTED_VALUE"""),4)</f>
        <v>4</v>
      </c>
      <c r="K1146" s="120">
        <f ca="1">IFERROR(__xludf.DUMMYFUNCTION("""COMPUTED_VALUE"""),78.7)</f>
        <v>78.7</v>
      </c>
      <c r="L1146" s="121"/>
      <c r="M1146" s="120"/>
      <c r="N1146" s="121"/>
      <c r="O1146" s="120">
        <f ca="1">IFERROR(__xludf.DUMMYFUNCTION("""COMPUTED_VALUE"""),78.7)</f>
        <v>78.7</v>
      </c>
      <c r="P1146" s="122"/>
      <c r="Q1146" s="123"/>
      <c r="R1146" s="123"/>
      <c r="S1146" s="123" t="str">
        <f ca="1">IFERROR(__xludf.DUMMYFUNCTION("""COMPUTED_VALUE"""),"Sloane Dosch")</f>
        <v>Sloane Dosch</v>
      </c>
      <c r="T1146" s="123"/>
    </row>
    <row r="1147" spans="1:20" ht="13.8">
      <c r="A1147" s="118" t="str">
        <f ca="1">IFERROR(__xludf.DUMMYFUNCTION("""COMPUTED_VALUE"""),"M")</f>
        <v>M</v>
      </c>
      <c r="B1147" s="119" t="str">
        <f ca="1">IFERROR(__xludf.DUMMYFUNCTION("""COMPUTED_VALUE"""),"Eli White")</f>
        <v>Eli White</v>
      </c>
      <c r="C1147" s="118">
        <f ca="1">IFERROR(__xludf.DUMMYFUNCTION("""COMPUTED_VALUE"""),10)</f>
        <v>10</v>
      </c>
      <c r="D1147" s="118" t="str">
        <f ca="1">IFERROR(__xludf.DUMMYFUNCTION("""COMPUTED_VALUE"""),"B")</f>
        <v>B</v>
      </c>
      <c r="E1147" s="118" t="str">
        <f ca="1">IFERROR(__xludf.DUMMYFUNCTION("""COMPUTED_VALUE"""),"F")</f>
        <v>F</v>
      </c>
      <c r="F1147" s="118" t="str">
        <f ca="1">IFERROR(__xludf.DUMMYFUNCTION("""COMPUTED_VALUE"""),"J")</f>
        <v>J</v>
      </c>
      <c r="G1147" s="118">
        <f ca="1">IFERROR(__xludf.DUMMYFUNCTION("""COMPUTED_VALUE"""),6)</f>
        <v>6</v>
      </c>
      <c r="H1147" s="118" t="str">
        <f ca="1">IFERROR(__xludf.DUMMYFUNCTION("""COMPUTED_VALUE"""),"M")</f>
        <v>M</v>
      </c>
      <c r="I1147" s="118">
        <f ca="1">IFERROR(__xludf.DUMMYFUNCTION("""COMPUTED_VALUE"""),5)</f>
        <v>5</v>
      </c>
      <c r="J1147" s="118">
        <f ca="1">IFERROR(__xludf.DUMMYFUNCTION("""COMPUTED_VALUE"""),4)</f>
        <v>4</v>
      </c>
      <c r="K1147" s="120">
        <f ca="1">IFERROR(__xludf.DUMMYFUNCTION("""COMPUTED_VALUE"""),62.55)</f>
        <v>62.55</v>
      </c>
      <c r="L1147" s="121"/>
      <c r="M1147" s="120">
        <f ca="1">IFERROR(__xludf.DUMMYFUNCTION("""COMPUTED_VALUE"""),62.55)</f>
        <v>62.55</v>
      </c>
      <c r="N1147" s="121"/>
      <c r="O1147" s="120">
        <f ca="1">IFERROR(__xludf.DUMMYFUNCTION("""COMPUTED_VALUE"""),59.85)</f>
        <v>59.85</v>
      </c>
      <c r="P1147" s="122"/>
      <c r="Q1147" s="123"/>
      <c r="R1147" s="123"/>
      <c r="S1147" s="123" t="str">
        <f ca="1">IFERROR(__xludf.DUMMYFUNCTION("""COMPUTED_VALUE"""),"Sloane Gallagher")</f>
        <v>Sloane Gallagher</v>
      </c>
      <c r="T1147" s="123"/>
    </row>
    <row r="1148" spans="1:20" ht="13.8">
      <c r="A1148" s="118" t="str">
        <f ca="1">IFERROR(__xludf.DUMMYFUNCTION("""COMPUTED_VALUE"""),"M")</f>
        <v>M</v>
      </c>
      <c r="B1148" s="119" t="str">
        <f ca="1">IFERROR(__xludf.DUMMYFUNCTION("""COMPUTED_VALUE"""),"Liam Redington")</f>
        <v>Liam Redington</v>
      </c>
      <c r="C1148" s="118">
        <f ca="1">IFERROR(__xludf.DUMMYFUNCTION("""COMPUTED_VALUE"""),9)</f>
        <v>9</v>
      </c>
      <c r="D1148" s="118" t="str">
        <f ca="1">IFERROR(__xludf.DUMMYFUNCTION("""COMPUTED_VALUE"""),"B")</f>
        <v>B</v>
      </c>
      <c r="E1148" s="118" t="str">
        <f ca="1">IFERROR(__xludf.DUMMYFUNCTION("""COMPUTED_VALUE"""),"F")</f>
        <v>F</v>
      </c>
      <c r="F1148" s="118" t="str">
        <f ca="1">IFERROR(__xludf.DUMMYFUNCTION("""COMPUTED_VALUE"""),"J")</f>
        <v>J</v>
      </c>
      <c r="G1148" s="118">
        <f ca="1">IFERROR(__xludf.DUMMYFUNCTION("""COMPUTED_VALUE"""),6)</f>
        <v>6</v>
      </c>
      <c r="H1148" s="118" t="str">
        <f ca="1">IFERROR(__xludf.DUMMYFUNCTION("""COMPUTED_VALUE"""),"M")</f>
        <v>M</v>
      </c>
      <c r="I1148" s="118">
        <f ca="1">IFERROR(__xludf.DUMMYFUNCTION("""COMPUTED_VALUE"""),5)</f>
        <v>5</v>
      </c>
      <c r="J1148" s="118">
        <f ca="1">IFERROR(__xludf.DUMMYFUNCTION("""COMPUTED_VALUE"""),4)</f>
        <v>4</v>
      </c>
      <c r="K1148" s="120">
        <f ca="1">IFERROR(__xludf.DUMMYFUNCTION("""COMPUTED_VALUE"""),49.65)</f>
        <v>49.65</v>
      </c>
      <c r="L1148" s="121"/>
      <c r="M1148" s="120">
        <f ca="1">IFERROR(__xludf.DUMMYFUNCTION("""COMPUTED_VALUE"""),37.25)</f>
        <v>37.25</v>
      </c>
      <c r="N1148" s="121"/>
      <c r="O1148" s="120"/>
      <c r="P1148" s="122"/>
      <c r="Q1148" s="123"/>
      <c r="R1148" s="123"/>
      <c r="S1148" s="123" t="str">
        <f ca="1">IFERROR(__xludf.DUMMYFUNCTION("""COMPUTED_VALUE"""),"Sloane Wayment")</f>
        <v>Sloane Wayment</v>
      </c>
      <c r="T1148" s="123"/>
    </row>
    <row r="1149" spans="1:20" ht="13.8">
      <c r="A1149" s="118" t="str">
        <f ca="1">IFERROR(__xludf.DUMMYFUNCTION("""COMPUTED_VALUE"""),"M")</f>
        <v>M</v>
      </c>
      <c r="B1149" s="119" t="str">
        <f ca="1">IFERROR(__xludf.DUMMYFUNCTION("""COMPUTED_VALUE"""),"Miles McWilliams")</f>
        <v>Miles McWilliams</v>
      </c>
      <c r="C1149" s="118">
        <f ca="1">IFERROR(__xludf.DUMMYFUNCTION("""COMPUTED_VALUE"""),9)</f>
        <v>9</v>
      </c>
      <c r="D1149" s="118" t="str">
        <f ca="1">IFERROR(__xludf.DUMMYFUNCTION("""COMPUTED_VALUE"""),"B")</f>
        <v>B</v>
      </c>
      <c r="E1149" s="118" t="str">
        <f ca="1">IFERROR(__xludf.DUMMYFUNCTION("""COMPUTED_VALUE"""),"F")</f>
        <v>F</v>
      </c>
      <c r="F1149" s="118" t="str">
        <f ca="1">IFERROR(__xludf.DUMMYFUNCTION("""COMPUTED_VALUE"""),"J")</f>
        <v>J</v>
      </c>
      <c r="G1149" s="118">
        <f ca="1">IFERROR(__xludf.DUMMYFUNCTION("""COMPUTED_VALUE"""),6)</f>
        <v>6</v>
      </c>
      <c r="H1149" s="118" t="str">
        <f ca="1">IFERROR(__xludf.DUMMYFUNCTION("""COMPUTED_VALUE"""),"M")</f>
        <v>M</v>
      </c>
      <c r="I1149" s="118">
        <f ca="1">IFERROR(__xludf.DUMMYFUNCTION("""COMPUTED_VALUE"""),5)</f>
        <v>5</v>
      </c>
      <c r="J1149" s="118">
        <f ca="1">IFERROR(__xludf.DUMMYFUNCTION("""COMPUTED_VALUE"""),3)</f>
        <v>3</v>
      </c>
      <c r="K1149" s="120">
        <f ca="1">IFERROR(__xludf.DUMMYFUNCTION("""COMPUTED_VALUE"""),39.4)</f>
        <v>39.4</v>
      </c>
      <c r="L1149" s="121"/>
      <c r="M1149" s="120">
        <f ca="1">IFERROR(__xludf.DUMMYFUNCTION("""COMPUTED_VALUE"""),17.05)</f>
        <v>17.05</v>
      </c>
      <c r="N1149" s="121"/>
      <c r="O1149" s="120">
        <f ca="1">IFERROR(__xludf.DUMMYFUNCTION("""COMPUTED_VALUE"""),39.4)</f>
        <v>39.4</v>
      </c>
      <c r="P1149" s="122"/>
      <c r="Q1149" s="123"/>
      <c r="R1149" s="123"/>
      <c r="S1149" s="123" t="str">
        <f ca="1">IFERROR(__xludf.DUMMYFUNCTION("""COMPUTED_VALUE"""),"Sofia Dalilaltojari")</f>
        <v>Sofia Dalilaltojari</v>
      </c>
      <c r="T1149" s="123"/>
    </row>
    <row r="1150" spans="1:20" ht="13.8">
      <c r="A1150" s="118" t="str">
        <f ca="1">IFERROR(__xludf.DUMMYFUNCTION("""COMPUTED_VALUE"""),"M")</f>
        <v>M</v>
      </c>
      <c r="B1150" s="119" t="str">
        <f ca="1">IFERROR(__xludf.DUMMYFUNCTION("""COMPUTED_VALUE"""),"Travis Smith")</f>
        <v>Travis Smith</v>
      </c>
      <c r="C1150" s="118">
        <f ca="1">IFERROR(__xludf.DUMMYFUNCTION("""COMPUTED_VALUE"""),10)</f>
        <v>10</v>
      </c>
      <c r="D1150" s="118" t="str">
        <f ca="1">IFERROR(__xludf.DUMMYFUNCTION("""COMPUTED_VALUE"""),"B")</f>
        <v>B</v>
      </c>
      <c r="E1150" s="118" t="str">
        <f ca="1">IFERROR(__xludf.DUMMYFUNCTION("""COMPUTED_VALUE"""),"F")</f>
        <v>F</v>
      </c>
      <c r="F1150" s="118" t="str">
        <f ca="1">IFERROR(__xludf.DUMMYFUNCTION("""COMPUTED_VALUE"""),"J")</f>
        <v>J</v>
      </c>
      <c r="G1150" s="118">
        <f ca="1">IFERROR(__xludf.DUMMYFUNCTION("""COMPUTED_VALUE"""),6)</f>
        <v>6</v>
      </c>
      <c r="H1150" s="118" t="str">
        <f ca="1">IFERROR(__xludf.DUMMYFUNCTION("""COMPUTED_VALUE"""),"M")</f>
        <v>M</v>
      </c>
      <c r="I1150" s="118">
        <f ca="1">IFERROR(__xludf.DUMMYFUNCTION("""COMPUTED_VALUE"""),5)</f>
        <v>5</v>
      </c>
      <c r="J1150" s="118">
        <f ca="1">IFERROR(__xludf.DUMMYFUNCTION("""COMPUTED_VALUE"""),0)</f>
        <v>0</v>
      </c>
      <c r="K1150" s="120"/>
      <c r="L1150" s="121"/>
      <c r="M1150" s="120"/>
      <c r="N1150" s="121"/>
      <c r="O1150" s="120"/>
      <c r="P1150" s="122"/>
      <c r="Q1150" s="123"/>
      <c r="R1150" s="123"/>
      <c r="S1150" s="123" t="str">
        <f ca="1">IFERROR(__xludf.DUMMYFUNCTION("""COMPUTED_VALUE"""),"Sofia DiCola")</f>
        <v>Sofia DiCola</v>
      </c>
      <c r="T1150" s="123"/>
    </row>
    <row r="1151" spans="1:20" ht="13.8">
      <c r="A1151" s="118" t="str">
        <f ca="1">IFERROR(__xludf.DUMMYFUNCTION("""COMPUTED_VALUE"""),"M")</f>
        <v>M</v>
      </c>
      <c r="B1151" s="119" t="str">
        <f ca="1">IFERROR(__xludf.DUMMYFUNCTION("""COMPUTED_VALUE"""),"Catherine Redington")</f>
        <v>Catherine Redington</v>
      </c>
      <c r="C1151" s="118">
        <f ca="1">IFERROR(__xludf.DUMMYFUNCTION("""COMPUTED_VALUE"""),12)</f>
        <v>12</v>
      </c>
      <c r="D1151" s="118" t="str">
        <f ca="1">IFERROR(__xludf.DUMMYFUNCTION("""COMPUTED_VALUE"""),"G")</f>
        <v>G</v>
      </c>
      <c r="E1151" s="118" t="str">
        <f ca="1">IFERROR(__xludf.DUMMYFUNCTION("""COMPUTED_VALUE"""),"J")</f>
        <v>J</v>
      </c>
      <c r="F1151" s="118" t="str">
        <f ca="1">IFERROR(__xludf.DUMMYFUNCTION("""COMPUTED_VALUE"""),"I")</f>
        <v>I</v>
      </c>
      <c r="G1151" s="118">
        <f ca="1">IFERROR(__xludf.DUMMYFUNCTION("""COMPUTED_VALUE"""),6)</f>
        <v>6</v>
      </c>
      <c r="H1151" s="118" t="str">
        <f ca="1">IFERROR(__xludf.DUMMYFUNCTION("""COMPUTED_VALUE"""),"M")</f>
        <v>M</v>
      </c>
      <c r="I1151" s="118">
        <f ca="1">IFERROR(__xludf.DUMMYFUNCTION("""COMPUTED_VALUE"""),6)</f>
        <v>6</v>
      </c>
      <c r="J1151" s="118">
        <f ca="1">IFERROR(__xludf.DUMMYFUNCTION("""COMPUTED_VALUE"""),3)</f>
        <v>3</v>
      </c>
      <c r="K1151" s="120">
        <f ca="1">IFERROR(__xludf.DUMMYFUNCTION("""COMPUTED_VALUE"""),89.2)</f>
        <v>89.2</v>
      </c>
      <c r="L1151" s="121"/>
      <c r="M1151" s="120"/>
      <c r="N1151" s="121"/>
      <c r="O1151" s="120">
        <f ca="1">IFERROR(__xludf.DUMMYFUNCTION("""COMPUTED_VALUE"""),89.2)</f>
        <v>89.2</v>
      </c>
      <c r="P1151" s="122"/>
      <c r="Q1151" s="123"/>
      <c r="R1151" s="123"/>
      <c r="S1151" s="123" t="str">
        <f ca="1">IFERROR(__xludf.DUMMYFUNCTION("""COMPUTED_VALUE"""),"Sofia Grantz")</f>
        <v>Sofia Grantz</v>
      </c>
      <c r="T1151" s="123"/>
    </row>
    <row r="1152" spans="1:20" ht="13.8">
      <c r="A1152" s="118" t="str">
        <f ca="1">IFERROR(__xludf.DUMMYFUNCTION("""COMPUTED_VALUE"""),"M")</f>
        <v>M</v>
      </c>
      <c r="B1152" s="119" t="str">
        <f ca="1">IFERROR(__xludf.DUMMYFUNCTION("""COMPUTED_VALUE"""),"Emily Wills")</f>
        <v>Emily Wills</v>
      </c>
      <c r="C1152" s="118">
        <f ca="1">IFERROR(__xludf.DUMMYFUNCTION("""COMPUTED_VALUE"""),12)</f>
        <v>12</v>
      </c>
      <c r="D1152" s="118" t="str">
        <f ca="1">IFERROR(__xludf.DUMMYFUNCTION("""COMPUTED_VALUE"""),"G")</f>
        <v>G</v>
      </c>
      <c r="E1152" s="118" t="str">
        <f ca="1">IFERROR(__xludf.DUMMYFUNCTION("""COMPUTED_VALUE"""),"J")</f>
        <v>J</v>
      </c>
      <c r="F1152" s="118" t="str">
        <f ca="1">IFERROR(__xludf.DUMMYFUNCTION("""COMPUTED_VALUE"""),"I")</f>
        <v>I</v>
      </c>
      <c r="G1152" s="118">
        <f ca="1">IFERROR(__xludf.DUMMYFUNCTION("""COMPUTED_VALUE"""),6)</f>
        <v>6</v>
      </c>
      <c r="H1152" s="118" t="str">
        <f ca="1">IFERROR(__xludf.DUMMYFUNCTION("""COMPUTED_VALUE"""),"M")</f>
        <v>M</v>
      </c>
      <c r="I1152" s="118">
        <f ca="1">IFERROR(__xludf.DUMMYFUNCTION("""COMPUTED_VALUE"""),6)</f>
        <v>6</v>
      </c>
      <c r="J1152" s="118">
        <f ca="1">IFERROR(__xludf.DUMMYFUNCTION("""COMPUTED_VALUE"""),4)</f>
        <v>4</v>
      </c>
      <c r="K1152" s="120">
        <f ca="1">IFERROR(__xludf.DUMMYFUNCTION("""COMPUTED_VALUE"""),95.85)</f>
        <v>95.85</v>
      </c>
      <c r="L1152" s="121"/>
      <c r="M1152" s="120"/>
      <c r="N1152" s="121"/>
      <c r="O1152" s="120">
        <f ca="1">IFERROR(__xludf.DUMMYFUNCTION("""COMPUTED_VALUE"""),76.05)</f>
        <v>76.05</v>
      </c>
      <c r="P1152" s="122"/>
      <c r="Q1152" s="123"/>
      <c r="R1152" s="123"/>
      <c r="S1152" s="123" t="str">
        <f ca="1">IFERROR(__xludf.DUMMYFUNCTION("""COMPUTED_VALUE"""),"Sofia Gyor")</f>
        <v>Sofia Gyor</v>
      </c>
      <c r="T1152" s="123"/>
    </row>
    <row r="1153" spans="1:20" ht="13.8">
      <c r="A1153" s="118" t="str">
        <f ca="1">IFERROR(__xludf.DUMMYFUNCTION("""COMPUTED_VALUE"""),"M")</f>
        <v>M</v>
      </c>
      <c r="B1153" s="119" t="str">
        <f ca="1">IFERROR(__xludf.DUMMYFUNCTION("""COMPUTED_VALUE"""),"Jules Tetreault")</f>
        <v>Jules Tetreault</v>
      </c>
      <c r="C1153" s="118">
        <f ca="1">IFERROR(__xludf.DUMMYFUNCTION("""COMPUTED_VALUE"""),11)</f>
        <v>11</v>
      </c>
      <c r="D1153" s="118" t="str">
        <f ca="1">IFERROR(__xludf.DUMMYFUNCTION("""COMPUTED_VALUE"""),"G")</f>
        <v>G</v>
      </c>
      <c r="E1153" s="118" t="str">
        <f ca="1">IFERROR(__xludf.DUMMYFUNCTION("""COMPUTED_VALUE"""),"J")</f>
        <v>J</v>
      </c>
      <c r="F1153" s="118" t="str">
        <f ca="1">IFERROR(__xludf.DUMMYFUNCTION("""COMPUTED_VALUE"""),"I")</f>
        <v>I</v>
      </c>
      <c r="G1153" s="118">
        <f ca="1">IFERROR(__xludf.DUMMYFUNCTION("""COMPUTED_VALUE"""),6)</f>
        <v>6</v>
      </c>
      <c r="H1153" s="118" t="str">
        <f ca="1">IFERROR(__xludf.DUMMYFUNCTION("""COMPUTED_VALUE"""),"M")</f>
        <v>M</v>
      </c>
      <c r="I1153" s="118">
        <f ca="1">IFERROR(__xludf.DUMMYFUNCTION("""COMPUTED_VALUE"""),6)</f>
        <v>6</v>
      </c>
      <c r="J1153" s="118">
        <f ca="1">IFERROR(__xludf.DUMMYFUNCTION("""COMPUTED_VALUE"""),4)</f>
        <v>4</v>
      </c>
      <c r="K1153" s="120">
        <f ca="1">IFERROR(__xludf.DUMMYFUNCTION("""COMPUTED_VALUE"""),108.45)</f>
        <v>108.45</v>
      </c>
      <c r="L1153" s="121"/>
      <c r="M1153" s="120"/>
      <c r="N1153" s="121"/>
      <c r="O1153" s="120">
        <f ca="1">IFERROR(__xludf.DUMMYFUNCTION("""COMPUTED_VALUE"""),97.15)</f>
        <v>97.15</v>
      </c>
      <c r="P1153" s="122"/>
      <c r="Q1153" s="123"/>
      <c r="R1153" s="123"/>
      <c r="S1153" s="123" t="str">
        <f ca="1">IFERROR(__xludf.DUMMYFUNCTION("""COMPUTED_VALUE"""),"Sofia Nystrom")</f>
        <v>Sofia Nystrom</v>
      </c>
      <c r="T1153" s="123"/>
    </row>
    <row r="1154" spans="1:20" ht="13.8">
      <c r="A1154" s="118" t="str">
        <f ca="1">IFERROR(__xludf.DUMMYFUNCTION("""COMPUTED_VALUE"""),"M")</f>
        <v>M</v>
      </c>
      <c r="B1154" s="119" t="str">
        <f ca="1">IFERROR(__xludf.DUMMYFUNCTION("""COMPUTED_VALUE"""),"Maxton Molina-Weir")</f>
        <v>Maxton Molina-Weir</v>
      </c>
      <c r="C1154" s="118">
        <f ca="1">IFERROR(__xludf.DUMMYFUNCTION("""COMPUTED_VALUE"""),12)</f>
        <v>12</v>
      </c>
      <c r="D1154" s="118" t="str">
        <f ca="1">IFERROR(__xludf.DUMMYFUNCTION("""COMPUTED_VALUE"""),"B")</f>
        <v>B</v>
      </c>
      <c r="E1154" s="118" t="str">
        <f ca="1">IFERROR(__xludf.DUMMYFUNCTION("""COMPUTED_VALUE"""),"J")</f>
        <v>J</v>
      </c>
      <c r="F1154" s="118" t="str">
        <f ca="1">IFERROR(__xludf.DUMMYFUNCTION("""COMPUTED_VALUE"""),"I")</f>
        <v>I</v>
      </c>
      <c r="G1154" s="118">
        <f ca="1">IFERROR(__xludf.DUMMYFUNCTION("""COMPUTED_VALUE"""),6)</f>
        <v>6</v>
      </c>
      <c r="H1154" s="118" t="str">
        <f ca="1">IFERROR(__xludf.DUMMYFUNCTION("""COMPUTED_VALUE"""),"M")</f>
        <v>M</v>
      </c>
      <c r="I1154" s="118">
        <f ca="1">IFERROR(__xludf.DUMMYFUNCTION("""COMPUTED_VALUE"""),7)</f>
        <v>7</v>
      </c>
      <c r="J1154" s="118">
        <f ca="1">IFERROR(__xludf.DUMMYFUNCTION("""COMPUTED_VALUE"""),4)</f>
        <v>4</v>
      </c>
      <c r="K1154" s="120">
        <f ca="1">IFERROR(__xludf.DUMMYFUNCTION("""COMPUTED_VALUE"""),77.85)</f>
        <v>77.849999999999994</v>
      </c>
      <c r="L1154" s="121"/>
      <c r="M1154" s="120">
        <f ca="1">IFERROR(__xludf.DUMMYFUNCTION("""COMPUTED_VALUE"""),77.85)</f>
        <v>77.849999999999994</v>
      </c>
      <c r="N1154" s="121"/>
      <c r="O1154" s="120">
        <f ca="1">IFERROR(__xludf.DUMMYFUNCTION("""COMPUTED_VALUE"""),76.4)</f>
        <v>76.400000000000006</v>
      </c>
      <c r="P1154" s="122"/>
      <c r="Q1154" s="123"/>
      <c r="R1154" s="123"/>
      <c r="S1154" s="123" t="str">
        <f ca="1">IFERROR(__xludf.DUMMYFUNCTION("""COMPUTED_VALUE"""),"Sofia Petersen")</f>
        <v>Sofia Petersen</v>
      </c>
      <c r="T1154" s="123"/>
    </row>
    <row r="1155" spans="1:20" ht="13.8">
      <c r="A1155" s="118" t="str">
        <f ca="1">IFERROR(__xludf.DUMMYFUNCTION("""COMPUTED_VALUE"""),"M")</f>
        <v>M</v>
      </c>
      <c r="B1155" s="119" t="str">
        <f ca="1">IFERROR(__xludf.DUMMYFUNCTION("""COMPUTED_VALUE"""),"Owen Molina-Weir")</f>
        <v>Owen Molina-Weir</v>
      </c>
      <c r="C1155" s="118">
        <f ca="1">IFERROR(__xludf.DUMMYFUNCTION("""COMPUTED_VALUE"""),12)</f>
        <v>12</v>
      </c>
      <c r="D1155" s="118" t="str">
        <f ca="1">IFERROR(__xludf.DUMMYFUNCTION("""COMPUTED_VALUE"""),"B")</f>
        <v>B</v>
      </c>
      <c r="E1155" s="118" t="str">
        <f ca="1">IFERROR(__xludf.DUMMYFUNCTION("""COMPUTED_VALUE"""),"J")</f>
        <v>J</v>
      </c>
      <c r="F1155" s="118" t="str">
        <f ca="1">IFERROR(__xludf.DUMMYFUNCTION("""COMPUTED_VALUE"""),"I")</f>
        <v>I</v>
      </c>
      <c r="G1155" s="118">
        <f ca="1">IFERROR(__xludf.DUMMYFUNCTION("""COMPUTED_VALUE"""),6)</f>
        <v>6</v>
      </c>
      <c r="H1155" s="118" t="str">
        <f ca="1">IFERROR(__xludf.DUMMYFUNCTION("""COMPUTED_VALUE"""),"M")</f>
        <v>M</v>
      </c>
      <c r="I1155" s="118">
        <f ca="1">IFERROR(__xludf.DUMMYFUNCTION("""COMPUTED_VALUE"""),7)</f>
        <v>7</v>
      </c>
      <c r="J1155" s="118">
        <f ca="1">IFERROR(__xludf.DUMMYFUNCTION("""COMPUTED_VALUE"""),4)</f>
        <v>4</v>
      </c>
      <c r="K1155" s="120">
        <f ca="1">IFERROR(__xludf.DUMMYFUNCTION("""COMPUTED_VALUE"""),95.25)</f>
        <v>95.25</v>
      </c>
      <c r="L1155" s="121"/>
      <c r="M1155" s="120">
        <f ca="1">IFERROR(__xludf.DUMMYFUNCTION("""COMPUTED_VALUE"""),-100.65)</f>
        <v>-100.65</v>
      </c>
      <c r="N1155" s="121"/>
      <c r="O1155" s="120">
        <f ca="1">IFERROR(__xludf.DUMMYFUNCTION("""COMPUTED_VALUE"""),-105.45)</f>
        <v>-105.45</v>
      </c>
      <c r="P1155" s="122"/>
      <c r="Q1155" s="123"/>
      <c r="R1155" s="123"/>
      <c r="S1155" s="123" t="str">
        <f ca="1">IFERROR(__xludf.DUMMYFUNCTION("""COMPUTED_VALUE"""),"Sofia Stanley")</f>
        <v>Sofia Stanley</v>
      </c>
      <c r="T1155" s="123"/>
    </row>
    <row r="1156" spans="1:20" ht="13.8">
      <c r="A1156" s="118" t="str">
        <f ca="1">IFERROR(__xludf.DUMMYFUNCTION("""COMPUTED_VALUE"""),"M")</f>
        <v>M</v>
      </c>
      <c r="B1156" s="119" t="str">
        <f ca="1">IFERROR(__xludf.DUMMYFUNCTION("""COMPUTED_VALUE"""),"Eva Schwenzer")</f>
        <v>Eva Schwenzer</v>
      </c>
      <c r="C1156" s="118">
        <f ca="1">IFERROR(__xludf.DUMMYFUNCTION("""COMPUTED_VALUE"""),14)</f>
        <v>14</v>
      </c>
      <c r="D1156" s="118" t="str">
        <f ca="1">IFERROR(__xludf.DUMMYFUNCTION("""COMPUTED_VALUE"""),"G")</f>
        <v>G</v>
      </c>
      <c r="E1156" s="118" t="str">
        <f ca="1">IFERROR(__xludf.DUMMYFUNCTION("""COMPUTED_VALUE"""),"I")</f>
        <v>I</v>
      </c>
      <c r="F1156" s="118" t="str">
        <f ca="1">IFERROR(__xludf.DUMMYFUNCTION("""COMPUTED_VALUE"""),"S")</f>
        <v>S</v>
      </c>
      <c r="G1156" s="118">
        <f ca="1">IFERROR(__xludf.DUMMYFUNCTION("""COMPUTED_VALUE"""),6)</f>
        <v>6</v>
      </c>
      <c r="H1156" s="118" t="str">
        <f ca="1">IFERROR(__xludf.DUMMYFUNCTION("""COMPUTED_VALUE"""),"M")</f>
        <v>M</v>
      </c>
      <c r="I1156" s="118">
        <f ca="1">IFERROR(__xludf.DUMMYFUNCTION("""COMPUTED_VALUE"""),8)</f>
        <v>8</v>
      </c>
      <c r="J1156" s="118">
        <f ca="1">IFERROR(__xludf.DUMMYFUNCTION("""COMPUTED_VALUE"""),4)</f>
        <v>4</v>
      </c>
      <c r="K1156" s="120">
        <f ca="1">IFERROR(__xludf.DUMMYFUNCTION("""COMPUTED_VALUE"""),133.9)</f>
        <v>133.9</v>
      </c>
      <c r="L1156" s="121"/>
      <c r="M1156" s="120"/>
      <c r="N1156" s="121"/>
      <c r="O1156" s="120">
        <f ca="1">IFERROR(__xludf.DUMMYFUNCTION("""COMPUTED_VALUE"""),133.9)</f>
        <v>133.9</v>
      </c>
      <c r="P1156" s="122"/>
      <c r="Q1156" s="123"/>
      <c r="R1156" s="123"/>
      <c r="S1156" s="123" t="str">
        <f ca="1">IFERROR(__xludf.DUMMYFUNCTION("""COMPUTED_VALUE"""),"Sofo Akiyama Sarmentero")</f>
        <v>Sofo Akiyama Sarmentero</v>
      </c>
      <c r="T1156" s="123"/>
    </row>
    <row r="1157" spans="1:20" ht="13.8">
      <c r="A1157" s="118" t="str">
        <f ca="1">IFERROR(__xludf.DUMMYFUNCTION("""COMPUTED_VALUE"""),"M")</f>
        <v>M</v>
      </c>
      <c r="B1157" s="119" t="str">
        <f ca="1">IFERROR(__xludf.DUMMYFUNCTION("""COMPUTED_VALUE"""),"Lydia Tetreault")</f>
        <v>Lydia Tetreault</v>
      </c>
      <c r="C1157" s="118">
        <f ca="1">IFERROR(__xludf.DUMMYFUNCTION("""COMPUTED_VALUE"""),14)</f>
        <v>14</v>
      </c>
      <c r="D1157" s="118" t="str">
        <f ca="1">IFERROR(__xludf.DUMMYFUNCTION("""COMPUTED_VALUE"""),"G")</f>
        <v>G</v>
      </c>
      <c r="E1157" s="118" t="str">
        <f ca="1">IFERROR(__xludf.DUMMYFUNCTION("""COMPUTED_VALUE"""),"I")</f>
        <v>I</v>
      </c>
      <c r="F1157" s="118" t="str">
        <f ca="1">IFERROR(__xludf.DUMMYFUNCTION("""COMPUTED_VALUE"""),"S")</f>
        <v>S</v>
      </c>
      <c r="G1157" s="118">
        <f ca="1">IFERROR(__xludf.DUMMYFUNCTION("""COMPUTED_VALUE"""),6)</f>
        <v>6</v>
      </c>
      <c r="H1157" s="118" t="str">
        <f ca="1">IFERROR(__xludf.DUMMYFUNCTION("""COMPUTED_VALUE"""),"M")</f>
        <v>M</v>
      </c>
      <c r="I1157" s="118">
        <f ca="1">IFERROR(__xludf.DUMMYFUNCTION("""COMPUTED_VALUE"""),8)</f>
        <v>8</v>
      </c>
      <c r="J1157" s="118">
        <f ca="1">IFERROR(__xludf.DUMMYFUNCTION("""COMPUTED_VALUE"""),4)</f>
        <v>4</v>
      </c>
      <c r="K1157" s="120">
        <f ca="1">IFERROR(__xludf.DUMMYFUNCTION("""COMPUTED_VALUE"""),133.3)</f>
        <v>133.30000000000001</v>
      </c>
      <c r="L1157" s="121"/>
      <c r="M1157" s="120"/>
      <c r="N1157" s="121"/>
      <c r="O1157" s="120">
        <f ca="1">IFERROR(__xludf.DUMMYFUNCTION("""COMPUTED_VALUE"""),128)</f>
        <v>128</v>
      </c>
      <c r="P1157" s="122"/>
      <c r="Q1157" s="123"/>
      <c r="R1157" s="123"/>
      <c r="S1157" s="123" t="str">
        <f ca="1">IFERROR(__xludf.DUMMYFUNCTION("""COMPUTED_VALUE"""),"Sona Pandarinath")</f>
        <v>Sona Pandarinath</v>
      </c>
      <c r="T1157" s="123"/>
    </row>
    <row r="1158" spans="1:20" ht="13.8">
      <c r="A1158" s="118" t="str">
        <f ca="1">IFERROR(__xludf.DUMMYFUNCTION("""COMPUTED_VALUE"""),"M")</f>
        <v>M</v>
      </c>
      <c r="B1158" s="119" t="str">
        <f ca="1">IFERROR(__xludf.DUMMYFUNCTION("""COMPUTED_VALUE"""),"Maggie Johnston")</f>
        <v>Maggie Johnston</v>
      </c>
      <c r="C1158" s="118">
        <f ca="1">IFERROR(__xludf.DUMMYFUNCTION("""COMPUTED_VALUE"""),13)</f>
        <v>13</v>
      </c>
      <c r="D1158" s="118" t="str">
        <f ca="1">IFERROR(__xludf.DUMMYFUNCTION("""COMPUTED_VALUE"""),"G")</f>
        <v>G</v>
      </c>
      <c r="E1158" s="118" t="str">
        <f ca="1">IFERROR(__xludf.DUMMYFUNCTION("""COMPUTED_VALUE"""),"I")</f>
        <v>I</v>
      </c>
      <c r="F1158" s="118" t="str">
        <f ca="1">IFERROR(__xludf.DUMMYFUNCTION("""COMPUTED_VALUE"""),"S")</f>
        <v>S</v>
      </c>
      <c r="G1158" s="118">
        <f ca="1">IFERROR(__xludf.DUMMYFUNCTION("""COMPUTED_VALUE"""),6)</f>
        <v>6</v>
      </c>
      <c r="H1158" s="118" t="str">
        <f ca="1">IFERROR(__xludf.DUMMYFUNCTION("""COMPUTED_VALUE"""),"M")</f>
        <v>M</v>
      </c>
      <c r="I1158" s="118">
        <f ca="1">IFERROR(__xludf.DUMMYFUNCTION("""COMPUTED_VALUE"""),8)</f>
        <v>8</v>
      </c>
      <c r="J1158" s="118">
        <f ca="1">IFERROR(__xludf.DUMMYFUNCTION("""COMPUTED_VALUE"""),3)</f>
        <v>3</v>
      </c>
      <c r="K1158" s="120">
        <f ca="1">IFERROR(__xludf.DUMMYFUNCTION("""COMPUTED_VALUE"""),105.25)</f>
        <v>105.25</v>
      </c>
      <c r="L1158" s="121"/>
      <c r="M1158" s="120">
        <f ca="1">IFERROR(__xludf.DUMMYFUNCTION("""COMPUTED_VALUE"""),100.4)</f>
        <v>100.4</v>
      </c>
      <c r="N1158" s="121"/>
      <c r="O1158" s="120"/>
      <c r="P1158" s="122"/>
      <c r="Q1158" s="123"/>
      <c r="R1158" s="123"/>
      <c r="S1158" s="123" t="str">
        <f ca="1">IFERROR(__xludf.DUMMYFUNCTION("""COMPUTED_VALUE"""),"Sonia Parikh")</f>
        <v>Sonia Parikh</v>
      </c>
      <c r="T1158" s="123"/>
    </row>
    <row r="1159" spans="1:20" ht="13.8">
      <c r="A1159" s="118" t="str">
        <f ca="1">IFERROR(__xludf.DUMMYFUNCTION("""COMPUTED_VALUE"""),"M")</f>
        <v>M</v>
      </c>
      <c r="B1159" s="119" t="str">
        <f ca="1">IFERROR(__xludf.DUMMYFUNCTION("""COMPUTED_VALUE"""),"Maggie Levi")</f>
        <v>Maggie Levi</v>
      </c>
      <c r="C1159" s="118">
        <f ca="1">IFERROR(__xludf.DUMMYFUNCTION("""COMPUTED_VALUE"""),13)</f>
        <v>13</v>
      </c>
      <c r="D1159" s="118" t="str">
        <f ca="1">IFERROR(__xludf.DUMMYFUNCTION("""COMPUTED_VALUE"""),"G")</f>
        <v>G</v>
      </c>
      <c r="E1159" s="118" t="str">
        <f ca="1">IFERROR(__xludf.DUMMYFUNCTION("""COMPUTED_VALUE"""),"I")</f>
        <v>I</v>
      </c>
      <c r="F1159" s="118" t="str">
        <f ca="1">IFERROR(__xludf.DUMMYFUNCTION("""COMPUTED_VALUE"""),"S")</f>
        <v>S</v>
      </c>
      <c r="G1159" s="118">
        <f ca="1">IFERROR(__xludf.DUMMYFUNCTION("""COMPUTED_VALUE"""),6)</f>
        <v>6</v>
      </c>
      <c r="H1159" s="118" t="str">
        <f ca="1">IFERROR(__xludf.DUMMYFUNCTION("""COMPUTED_VALUE"""),"M")</f>
        <v>M</v>
      </c>
      <c r="I1159" s="118">
        <f ca="1">IFERROR(__xludf.DUMMYFUNCTION("""COMPUTED_VALUE"""),8)</f>
        <v>8</v>
      </c>
      <c r="J1159" s="118">
        <f ca="1">IFERROR(__xludf.DUMMYFUNCTION("""COMPUTED_VALUE"""),5)</f>
        <v>5</v>
      </c>
      <c r="K1159" s="120">
        <f ca="1">IFERROR(__xludf.DUMMYFUNCTION("""COMPUTED_VALUE"""),134.05)</f>
        <v>134.05000000000001</v>
      </c>
      <c r="L1159" s="121"/>
      <c r="M1159" s="120">
        <f ca="1">IFERROR(__xludf.DUMMYFUNCTION("""COMPUTED_VALUE"""),89.4)</f>
        <v>89.4</v>
      </c>
      <c r="N1159" s="121"/>
      <c r="O1159" s="120">
        <f ca="1">IFERROR(__xludf.DUMMYFUNCTION("""COMPUTED_VALUE"""),116.35)</f>
        <v>116.35</v>
      </c>
      <c r="P1159" s="122"/>
      <c r="Q1159" s="123"/>
      <c r="R1159" s="123"/>
      <c r="S1159" s="123" t="str">
        <f ca="1">IFERROR(__xludf.DUMMYFUNCTION("""COMPUTED_VALUE"""),"Sophia Ary")</f>
        <v>Sophia Ary</v>
      </c>
      <c r="T1159" s="123"/>
    </row>
    <row r="1160" spans="1:20" ht="13.8">
      <c r="A1160" s="118" t="str">
        <f ca="1">IFERROR(__xludf.DUMMYFUNCTION("""COMPUTED_VALUE"""),"M")</f>
        <v>M</v>
      </c>
      <c r="B1160" s="119" t="str">
        <f ca="1">IFERROR(__xludf.DUMMYFUNCTION("""COMPUTED_VALUE"""),"Sophia Kemp")</f>
        <v>Sophia Kemp</v>
      </c>
      <c r="C1160" s="118">
        <f ca="1">IFERROR(__xludf.DUMMYFUNCTION("""COMPUTED_VALUE"""),13)</f>
        <v>13</v>
      </c>
      <c r="D1160" s="118" t="str">
        <f ca="1">IFERROR(__xludf.DUMMYFUNCTION("""COMPUTED_VALUE"""),"G")</f>
        <v>G</v>
      </c>
      <c r="E1160" s="118" t="str">
        <f ca="1">IFERROR(__xludf.DUMMYFUNCTION("""COMPUTED_VALUE"""),"I")</f>
        <v>I</v>
      </c>
      <c r="F1160" s="118" t="str">
        <f ca="1">IFERROR(__xludf.DUMMYFUNCTION("""COMPUTED_VALUE"""),"S")</f>
        <v>S</v>
      </c>
      <c r="G1160" s="118">
        <f ca="1">IFERROR(__xludf.DUMMYFUNCTION("""COMPUTED_VALUE"""),6)</f>
        <v>6</v>
      </c>
      <c r="H1160" s="118" t="str">
        <f ca="1">IFERROR(__xludf.DUMMYFUNCTION("""COMPUTED_VALUE"""),"M")</f>
        <v>M</v>
      </c>
      <c r="I1160" s="118">
        <f ca="1">IFERROR(__xludf.DUMMYFUNCTION("""COMPUTED_VALUE"""),8)</f>
        <v>8</v>
      </c>
      <c r="J1160" s="118">
        <f ca="1">IFERROR(__xludf.DUMMYFUNCTION("""COMPUTED_VALUE"""),0)</f>
        <v>0</v>
      </c>
      <c r="K1160" s="120"/>
      <c r="L1160" s="121"/>
      <c r="M1160" s="120"/>
      <c r="N1160" s="121"/>
      <c r="O1160" s="120"/>
      <c r="P1160" s="122"/>
      <c r="Q1160" s="123"/>
      <c r="R1160" s="123"/>
      <c r="S1160" s="123" t="str">
        <f ca="1">IFERROR(__xludf.DUMMYFUNCTION("""COMPUTED_VALUE"""),"Sophia Blanco")</f>
        <v>Sophia Blanco</v>
      </c>
      <c r="T1160" s="123"/>
    </row>
    <row r="1161" spans="1:20" ht="13.8">
      <c r="A1161" s="118" t="str">
        <f ca="1">IFERROR(__xludf.DUMMYFUNCTION("""COMPUTED_VALUE"""),"M")</f>
        <v>M</v>
      </c>
      <c r="B1161" s="119" t="str">
        <f ca="1">IFERROR(__xludf.DUMMYFUNCTION("""COMPUTED_VALUE"""),"Anabel Kemp")</f>
        <v>Anabel Kemp</v>
      </c>
      <c r="C1161" s="118">
        <f ca="1">IFERROR(__xludf.DUMMYFUNCTION("""COMPUTED_VALUE"""),15)</f>
        <v>15</v>
      </c>
      <c r="D1161" s="118" t="str">
        <f ca="1">IFERROR(__xludf.DUMMYFUNCTION("""COMPUTED_VALUE"""),"G")</f>
        <v>G</v>
      </c>
      <c r="E1161" s="118" t="str">
        <f ca="1">IFERROR(__xludf.DUMMYFUNCTION("""COMPUTED_VALUE"""),"S")</f>
        <v>S</v>
      </c>
      <c r="F1161" s="118" t="str">
        <f ca="1">IFERROR(__xludf.DUMMYFUNCTION("""COMPUTED_VALUE"""),"S")</f>
        <v>S</v>
      </c>
      <c r="G1161" s="118">
        <f ca="1">IFERROR(__xludf.DUMMYFUNCTION("""COMPUTED_VALUE"""),6)</f>
        <v>6</v>
      </c>
      <c r="H1161" s="118" t="str">
        <f ca="1">IFERROR(__xludf.DUMMYFUNCTION("""COMPUTED_VALUE"""),"M")</f>
        <v>M</v>
      </c>
      <c r="I1161" s="118">
        <f ca="1">IFERROR(__xludf.DUMMYFUNCTION("""COMPUTED_VALUE"""),10)</f>
        <v>10</v>
      </c>
      <c r="J1161" s="118">
        <f ca="1">IFERROR(__xludf.DUMMYFUNCTION("""COMPUTED_VALUE"""),0)</f>
        <v>0</v>
      </c>
      <c r="K1161" s="120"/>
      <c r="L1161" s="121"/>
      <c r="M1161" s="120"/>
      <c r="N1161" s="121"/>
      <c r="O1161" s="120"/>
      <c r="P1161" s="122"/>
      <c r="Q1161" s="123"/>
      <c r="R1161" s="123"/>
      <c r="S1161" s="123" t="str">
        <f ca="1">IFERROR(__xludf.DUMMYFUNCTION("""COMPUTED_VALUE"""),"Sophia Daniels")</f>
        <v>Sophia Daniels</v>
      </c>
      <c r="T1161" s="123"/>
    </row>
    <row r="1162" spans="1:20" ht="13.8">
      <c r="A1162" s="118" t="str">
        <f ca="1">IFERROR(__xludf.DUMMYFUNCTION("""COMPUTED_VALUE"""),"M")</f>
        <v>M</v>
      </c>
      <c r="B1162" s="119" t="str">
        <f ca="1">IFERROR(__xludf.DUMMYFUNCTION("""COMPUTED_VALUE"""),"Ruby Johnston")</f>
        <v>Ruby Johnston</v>
      </c>
      <c r="C1162" s="118">
        <f ca="1">IFERROR(__xludf.DUMMYFUNCTION("""COMPUTED_VALUE"""),16)</f>
        <v>16</v>
      </c>
      <c r="D1162" s="118" t="str">
        <f ca="1">IFERROR(__xludf.DUMMYFUNCTION("""COMPUTED_VALUE"""),"G")</f>
        <v>G</v>
      </c>
      <c r="E1162" s="118" t="str">
        <f ca="1">IFERROR(__xludf.DUMMYFUNCTION("""COMPUTED_VALUE"""),"S")</f>
        <v>S</v>
      </c>
      <c r="F1162" s="118" t="str">
        <f ca="1">IFERROR(__xludf.DUMMYFUNCTION("""COMPUTED_VALUE"""),"S")</f>
        <v>S</v>
      </c>
      <c r="G1162" s="118">
        <f ca="1">IFERROR(__xludf.DUMMYFUNCTION("""COMPUTED_VALUE"""),6)</f>
        <v>6</v>
      </c>
      <c r="H1162" s="118" t="str">
        <f ca="1">IFERROR(__xludf.DUMMYFUNCTION("""COMPUTED_VALUE"""),"M")</f>
        <v>M</v>
      </c>
      <c r="I1162" s="118">
        <f ca="1">IFERROR(__xludf.DUMMYFUNCTION("""COMPUTED_VALUE"""),10)</f>
        <v>10</v>
      </c>
      <c r="J1162" s="118">
        <f ca="1">IFERROR(__xludf.DUMMYFUNCTION("""COMPUTED_VALUE"""),1)</f>
        <v>1</v>
      </c>
      <c r="K1162" s="120">
        <f ca="1">IFERROR(__xludf.DUMMYFUNCTION("""COMPUTED_VALUE"""),62.7)</f>
        <v>62.7</v>
      </c>
      <c r="L1162" s="121"/>
      <c r="M1162" s="120"/>
      <c r="N1162" s="121"/>
      <c r="O1162" s="120"/>
      <c r="P1162" s="122"/>
      <c r="Q1162" s="123"/>
      <c r="R1162" s="123"/>
      <c r="S1162" s="123" t="str">
        <f ca="1">IFERROR(__xludf.DUMMYFUNCTION("""COMPUTED_VALUE"""),"Sophia Gettty")</f>
        <v>Sophia Gettty</v>
      </c>
      <c r="T1162" s="123"/>
    </row>
    <row r="1163" spans="1:20" ht="13.8">
      <c r="A1163" s="118" t="str">
        <f ca="1">IFERROR(__xludf.DUMMYFUNCTION("""COMPUTED_VALUE"""),"M")</f>
        <v>M</v>
      </c>
      <c r="B1163" s="119" t="str">
        <f ca="1">IFERROR(__xludf.DUMMYFUNCTION("""COMPUTED_VALUE"""),"Samantha Eldred")</f>
        <v>Samantha Eldred</v>
      </c>
      <c r="C1163" s="118">
        <f ca="1">IFERROR(__xludf.DUMMYFUNCTION("""COMPUTED_VALUE"""),16)</f>
        <v>16</v>
      </c>
      <c r="D1163" s="118" t="str">
        <f ca="1">IFERROR(__xludf.DUMMYFUNCTION("""COMPUTED_VALUE"""),"G")</f>
        <v>G</v>
      </c>
      <c r="E1163" s="118" t="str">
        <f ca="1">IFERROR(__xludf.DUMMYFUNCTION("""COMPUTED_VALUE"""),"S")</f>
        <v>S</v>
      </c>
      <c r="F1163" s="118" t="str">
        <f ca="1">IFERROR(__xludf.DUMMYFUNCTION("""COMPUTED_VALUE"""),"S")</f>
        <v>S</v>
      </c>
      <c r="G1163" s="118">
        <f ca="1">IFERROR(__xludf.DUMMYFUNCTION("""COMPUTED_VALUE"""),6)</f>
        <v>6</v>
      </c>
      <c r="H1163" s="118" t="str">
        <f ca="1">IFERROR(__xludf.DUMMYFUNCTION("""COMPUTED_VALUE"""),"M")</f>
        <v>M</v>
      </c>
      <c r="I1163" s="118">
        <f ca="1">IFERROR(__xludf.DUMMYFUNCTION("""COMPUTED_VALUE"""),10)</f>
        <v>10</v>
      </c>
      <c r="J1163" s="118">
        <f ca="1">IFERROR(__xludf.DUMMYFUNCTION("""COMPUTED_VALUE"""),4)</f>
        <v>4</v>
      </c>
      <c r="K1163" s="120">
        <f ca="1">IFERROR(__xludf.DUMMYFUNCTION("""COMPUTED_VALUE"""),155)</f>
        <v>155</v>
      </c>
      <c r="L1163" s="121"/>
      <c r="M1163" s="120">
        <f ca="1">IFERROR(__xludf.DUMMYFUNCTION("""COMPUTED_VALUE"""),155)</f>
        <v>155</v>
      </c>
      <c r="N1163" s="121"/>
      <c r="O1163" s="120"/>
      <c r="P1163" s="122"/>
      <c r="Q1163" s="123"/>
      <c r="R1163" s="123"/>
      <c r="S1163" s="123" t="str">
        <f ca="1">IFERROR(__xludf.DUMMYFUNCTION("""COMPUTED_VALUE"""),"Sophia Herbert")</f>
        <v>Sophia Herbert</v>
      </c>
      <c r="T1163" s="123"/>
    </row>
    <row r="1164" spans="1:20" ht="13.8">
      <c r="A1164" s="118" t="str">
        <f ca="1">IFERROR(__xludf.DUMMYFUNCTION("""COMPUTED_VALUE"""),"M")</f>
        <v>M</v>
      </c>
      <c r="B1164" s="119" t="str">
        <f ca="1">IFERROR(__xludf.DUMMYFUNCTION("""COMPUTED_VALUE"""),"Sofia Nystrom")</f>
        <v>Sofia Nystrom</v>
      </c>
      <c r="C1164" s="118">
        <f ca="1">IFERROR(__xludf.DUMMYFUNCTION("""COMPUTED_VALUE"""),18)</f>
        <v>18</v>
      </c>
      <c r="D1164" s="118" t="str">
        <f ca="1">IFERROR(__xludf.DUMMYFUNCTION("""COMPUTED_VALUE"""),"G")</f>
        <v>G</v>
      </c>
      <c r="E1164" s="118" t="str">
        <f ca="1">IFERROR(__xludf.DUMMYFUNCTION("""COMPUTED_VALUE"""),"S")</f>
        <v>S</v>
      </c>
      <c r="F1164" s="118" t="str">
        <f ca="1">IFERROR(__xludf.DUMMYFUNCTION("""COMPUTED_VALUE"""),"S")</f>
        <v>S</v>
      </c>
      <c r="G1164" s="118">
        <f ca="1">IFERROR(__xludf.DUMMYFUNCTION("""COMPUTED_VALUE"""),6)</f>
        <v>6</v>
      </c>
      <c r="H1164" s="118" t="str">
        <f ca="1">IFERROR(__xludf.DUMMYFUNCTION("""COMPUTED_VALUE"""),"M")</f>
        <v>M</v>
      </c>
      <c r="I1164" s="118">
        <f ca="1">IFERROR(__xludf.DUMMYFUNCTION("""COMPUTED_VALUE"""),10)</f>
        <v>10</v>
      </c>
      <c r="J1164" s="118">
        <f ca="1">IFERROR(__xludf.DUMMYFUNCTION("""COMPUTED_VALUE"""),2)</f>
        <v>2</v>
      </c>
      <c r="K1164" s="120">
        <f ca="1">IFERROR(__xludf.DUMMYFUNCTION("""COMPUTED_VALUE"""),161.85)</f>
        <v>161.85</v>
      </c>
      <c r="L1164" s="121"/>
      <c r="M1164" s="120"/>
      <c r="N1164" s="121"/>
      <c r="O1164" s="120">
        <f ca="1">IFERROR(__xludf.DUMMYFUNCTION("""COMPUTED_VALUE"""),160.1)</f>
        <v>160.1</v>
      </c>
      <c r="P1164" s="122"/>
      <c r="Q1164" s="123"/>
      <c r="R1164" s="123"/>
      <c r="S1164" s="123" t="str">
        <f ca="1">IFERROR(__xludf.DUMMYFUNCTION("""COMPUTED_VALUE"""),"Sophia Kemp")</f>
        <v>Sophia Kemp</v>
      </c>
      <c r="T1164" s="123"/>
    </row>
    <row r="1165" spans="1:20" ht="13.8">
      <c r="A1165" s="118" t="str">
        <f ca="1">IFERROR(__xludf.DUMMYFUNCTION("""COMPUTED_VALUE"""),"M")</f>
        <v>M</v>
      </c>
      <c r="B1165" s="119" t="str">
        <f ca="1">IFERROR(__xludf.DUMMYFUNCTION("""COMPUTED_VALUE"""),"Evan Middleton")</f>
        <v>Evan Middleton</v>
      </c>
      <c r="C1165" s="118">
        <f ca="1">IFERROR(__xludf.DUMMYFUNCTION("""COMPUTED_VALUE"""),15)</f>
        <v>15</v>
      </c>
      <c r="D1165" s="118" t="str">
        <f ca="1">IFERROR(__xludf.DUMMYFUNCTION("""COMPUTED_VALUE"""),"B")</f>
        <v>B</v>
      </c>
      <c r="E1165" s="118" t="str">
        <f ca="1">IFERROR(__xludf.DUMMYFUNCTION("""COMPUTED_VALUE"""),"S")</f>
        <v>S</v>
      </c>
      <c r="F1165" s="118" t="str">
        <f ca="1">IFERROR(__xludf.DUMMYFUNCTION("""COMPUTED_VALUE"""),"S")</f>
        <v>S</v>
      </c>
      <c r="G1165" s="118">
        <f ca="1">IFERROR(__xludf.DUMMYFUNCTION("""COMPUTED_VALUE"""),6)</f>
        <v>6</v>
      </c>
      <c r="H1165" s="118" t="str">
        <f ca="1">IFERROR(__xludf.DUMMYFUNCTION("""COMPUTED_VALUE"""),"M")</f>
        <v>M</v>
      </c>
      <c r="I1165" s="118">
        <f ca="1">IFERROR(__xludf.DUMMYFUNCTION("""COMPUTED_VALUE"""),11)</f>
        <v>11</v>
      </c>
      <c r="J1165" s="118">
        <f ca="1">IFERROR(__xludf.DUMMYFUNCTION("""COMPUTED_VALUE"""),1)</f>
        <v>1</v>
      </c>
      <c r="K1165" s="120">
        <f ca="1">IFERROR(__xludf.DUMMYFUNCTION("""COMPUTED_VALUE"""),41.9)</f>
        <v>41.9</v>
      </c>
      <c r="L1165" s="121"/>
      <c r="M1165" s="120"/>
      <c r="N1165" s="121"/>
      <c r="O1165" s="120"/>
      <c r="P1165" s="122"/>
      <c r="Q1165" s="123"/>
      <c r="R1165" s="123"/>
      <c r="S1165" s="123" t="str">
        <f ca="1">IFERROR(__xludf.DUMMYFUNCTION("""COMPUTED_VALUE"""),"Sophia McConnell")</f>
        <v>Sophia McConnell</v>
      </c>
      <c r="T1165" s="123"/>
    </row>
    <row r="1166" spans="1:20" ht="13.8">
      <c r="A1166" s="118" t="str">
        <f ca="1">IFERROR(__xludf.DUMMYFUNCTION("""COMPUTED_VALUE"""),"MHC")</f>
        <v>MHC</v>
      </c>
      <c r="B1166" s="119" t="str">
        <f ca="1">IFERROR(__xludf.DUMMYFUNCTION("""COMPUTED_VALUE"""),"Adella Bryant")</f>
        <v>Adella Bryant</v>
      </c>
      <c r="C1166" s="118">
        <f ca="1">IFERROR(__xludf.DUMMYFUNCTION("""COMPUTED_VALUE"""),9)</f>
        <v>9</v>
      </c>
      <c r="D1166" s="118" t="str">
        <f ca="1">IFERROR(__xludf.DUMMYFUNCTION("""COMPUTED_VALUE"""),"G")</f>
        <v>G</v>
      </c>
      <c r="E1166" s="118" t="str">
        <f ca="1">IFERROR(__xludf.DUMMYFUNCTION("""COMPUTED_VALUE"""),"F")</f>
        <v>F</v>
      </c>
      <c r="F1166" s="118" t="str">
        <f ca="1">IFERROR(__xludf.DUMMYFUNCTION("""COMPUTED_VALUE"""),"J")</f>
        <v>J</v>
      </c>
      <c r="G1166" s="118">
        <f ca="1">IFERROR(__xludf.DUMMYFUNCTION("""COMPUTED_VALUE"""),6)</f>
        <v>6</v>
      </c>
      <c r="H1166" s="118" t="str">
        <f ca="1">IFERROR(__xludf.DUMMYFUNCTION("""COMPUTED_VALUE"""),"MHC")</f>
        <v>MHC</v>
      </c>
      <c r="I1166" s="118">
        <f ca="1">IFERROR(__xludf.DUMMYFUNCTION("""COMPUTED_VALUE"""),4)</f>
        <v>4</v>
      </c>
      <c r="J1166" s="118">
        <f ca="1">IFERROR(__xludf.DUMMYFUNCTION("""COMPUTED_VALUE"""),3)</f>
        <v>3</v>
      </c>
      <c r="K1166" s="120">
        <f ca="1">IFERROR(__xludf.DUMMYFUNCTION("""COMPUTED_VALUE"""),34.9)</f>
        <v>34.9</v>
      </c>
      <c r="L1166" s="121"/>
      <c r="M1166" s="120">
        <f ca="1">IFERROR(__xludf.DUMMYFUNCTION("""COMPUTED_VALUE"""),23.25)</f>
        <v>23.25</v>
      </c>
      <c r="N1166" s="121"/>
      <c r="O1166" s="120"/>
      <c r="P1166" s="122"/>
      <c r="Q1166" s="123"/>
      <c r="R1166" s="123"/>
      <c r="S1166" s="123" t="str">
        <f ca="1">IFERROR(__xludf.DUMMYFUNCTION("""COMPUTED_VALUE"""),"Sophia Newtson")</f>
        <v>Sophia Newtson</v>
      </c>
      <c r="T1166" s="123"/>
    </row>
    <row r="1167" spans="1:20" ht="13.8">
      <c r="A1167" s="118" t="str">
        <f ca="1">IFERROR(__xludf.DUMMYFUNCTION("""COMPUTED_VALUE"""),"MHC")</f>
        <v>MHC</v>
      </c>
      <c r="B1167" s="119" t="str">
        <f ca="1">IFERROR(__xludf.DUMMYFUNCTION("""COMPUTED_VALUE"""),"Alexandra Grant")</f>
        <v>Alexandra Grant</v>
      </c>
      <c r="C1167" s="118">
        <f ca="1">IFERROR(__xludf.DUMMYFUNCTION("""COMPUTED_VALUE"""),8)</f>
        <v>8</v>
      </c>
      <c r="D1167" s="118" t="str">
        <f ca="1">IFERROR(__xludf.DUMMYFUNCTION("""COMPUTED_VALUE"""),"G")</f>
        <v>G</v>
      </c>
      <c r="E1167" s="118" t="str">
        <f ca="1">IFERROR(__xludf.DUMMYFUNCTION("""COMPUTED_VALUE"""),"F")</f>
        <v>F</v>
      </c>
      <c r="F1167" s="118" t="str">
        <f ca="1">IFERROR(__xludf.DUMMYFUNCTION("""COMPUTED_VALUE"""),"J")</f>
        <v>J</v>
      </c>
      <c r="G1167" s="118">
        <f ca="1">IFERROR(__xludf.DUMMYFUNCTION("""COMPUTED_VALUE"""),6)</f>
        <v>6</v>
      </c>
      <c r="H1167" s="118" t="str">
        <f ca="1">IFERROR(__xludf.DUMMYFUNCTION("""COMPUTED_VALUE"""),"MHC")</f>
        <v>MHC</v>
      </c>
      <c r="I1167" s="118">
        <f ca="1">IFERROR(__xludf.DUMMYFUNCTION("""COMPUTED_VALUE"""),4)</f>
        <v>4</v>
      </c>
      <c r="J1167" s="118">
        <f ca="1">IFERROR(__xludf.DUMMYFUNCTION("""COMPUTED_VALUE"""),4)</f>
        <v>4</v>
      </c>
      <c r="K1167" s="120">
        <f ca="1">IFERROR(__xludf.DUMMYFUNCTION("""COMPUTED_VALUE"""),59.25)</f>
        <v>59.25</v>
      </c>
      <c r="L1167" s="121"/>
      <c r="M1167" s="120">
        <f ca="1">IFERROR(__xludf.DUMMYFUNCTION("""COMPUTED_VALUE"""),49.5)</f>
        <v>49.5</v>
      </c>
      <c r="N1167" s="121"/>
      <c r="O1167" s="120">
        <f ca="1">IFERROR(__xludf.DUMMYFUNCTION("""COMPUTED_VALUE"""),59.25)</f>
        <v>59.25</v>
      </c>
      <c r="P1167" s="122"/>
      <c r="Q1167" s="123"/>
      <c r="R1167" s="123"/>
      <c r="S1167" s="123" t="str">
        <f ca="1">IFERROR(__xludf.DUMMYFUNCTION("""COMPUTED_VALUE"""),"Sophia Niday")</f>
        <v>Sophia Niday</v>
      </c>
      <c r="T1167" s="123"/>
    </row>
    <row r="1168" spans="1:20" ht="13.8">
      <c r="A1168" s="118" t="str">
        <f ca="1">IFERROR(__xludf.DUMMYFUNCTION("""COMPUTED_VALUE"""),"MHC")</f>
        <v>MHC</v>
      </c>
      <c r="B1168" s="119" t="str">
        <f ca="1">IFERROR(__xludf.DUMMYFUNCTION("""COMPUTED_VALUE"""),"Clara Bryant")</f>
        <v>Clara Bryant</v>
      </c>
      <c r="C1168" s="118">
        <f ca="1">IFERROR(__xludf.DUMMYFUNCTION("""COMPUTED_VALUE"""),7)</f>
        <v>7</v>
      </c>
      <c r="D1168" s="118" t="str">
        <f ca="1">IFERROR(__xludf.DUMMYFUNCTION("""COMPUTED_VALUE"""),"G")</f>
        <v>G</v>
      </c>
      <c r="E1168" s="118" t="str">
        <f ca="1">IFERROR(__xludf.DUMMYFUNCTION("""COMPUTED_VALUE"""),"F")</f>
        <v>F</v>
      </c>
      <c r="F1168" s="118" t="str">
        <f ca="1">IFERROR(__xludf.DUMMYFUNCTION("""COMPUTED_VALUE"""),"J")</f>
        <v>J</v>
      </c>
      <c r="G1168" s="118">
        <f ca="1">IFERROR(__xludf.DUMMYFUNCTION("""COMPUTED_VALUE"""),6)</f>
        <v>6</v>
      </c>
      <c r="H1168" s="118" t="str">
        <f ca="1">IFERROR(__xludf.DUMMYFUNCTION("""COMPUTED_VALUE"""),"MHC")</f>
        <v>MHC</v>
      </c>
      <c r="I1168" s="118">
        <f ca="1">IFERROR(__xludf.DUMMYFUNCTION("""COMPUTED_VALUE"""),4)</f>
        <v>4</v>
      </c>
      <c r="J1168" s="118">
        <f ca="1">IFERROR(__xludf.DUMMYFUNCTION("""COMPUTED_VALUE"""),3)</f>
        <v>3</v>
      </c>
      <c r="K1168" s="120">
        <f ca="1">IFERROR(__xludf.DUMMYFUNCTION("""COMPUTED_VALUE"""),21.45)</f>
        <v>21.45</v>
      </c>
      <c r="L1168" s="121"/>
      <c r="M1168" s="120">
        <f ca="1">IFERROR(__xludf.DUMMYFUNCTION("""COMPUTED_VALUE"""),11.5)</f>
        <v>11.5</v>
      </c>
      <c r="N1168" s="121"/>
      <c r="O1168" s="120"/>
      <c r="P1168" s="122"/>
      <c r="Q1168" s="123"/>
      <c r="R1168" s="123"/>
      <c r="S1168" s="123" t="str">
        <f ca="1">IFERROR(__xludf.DUMMYFUNCTION("""COMPUTED_VALUE"""),"Sophie Bittenbender")</f>
        <v>Sophie Bittenbender</v>
      </c>
      <c r="T1168" s="123"/>
    </row>
    <row r="1169" spans="1:20" ht="13.8">
      <c r="A1169" s="118" t="str">
        <f ca="1">IFERROR(__xludf.DUMMYFUNCTION("""COMPUTED_VALUE"""),"MHC")</f>
        <v>MHC</v>
      </c>
      <c r="B1169" s="119" t="str">
        <f ca="1">IFERROR(__xludf.DUMMYFUNCTION("""COMPUTED_VALUE"""),"Ellie Collins")</f>
        <v>Ellie Collins</v>
      </c>
      <c r="C1169" s="118">
        <f ca="1">IFERROR(__xludf.DUMMYFUNCTION("""COMPUTED_VALUE"""),8)</f>
        <v>8</v>
      </c>
      <c r="D1169" s="118" t="str">
        <f ca="1">IFERROR(__xludf.DUMMYFUNCTION("""COMPUTED_VALUE"""),"G")</f>
        <v>G</v>
      </c>
      <c r="E1169" s="118" t="str">
        <f ca="1">IFERROR(__xludf.DUMMYFUNCTION("""COMPUTED_VALUE"""),"F")</f>
        <v>F</v>
      </c>
      <c r="F1169" s="118" t="str">
        <f ca="1">IFERROR(__xludf.DUMMYFUNCTION("""COMPUTED_VALUE"""),"J")</f>
        <v>J</v>
      </c>
      <c r="G1169" s="118">
        <f ca="1">IFERROR(__xludf.DUMMYFUNCTION("""COMPUTED_VALUE"""),6)</f>
        <v>6</v>
      </c>
      <c r="H1169" s="118" t="str">
        <f ca="1">IFERROR(__xludf.DUMMYFUNCTION("""COMPUTED_VALUE"""),"MHC")</f>
        <v>MHC</v>
      </c>
      <c r="I1169" s="118">
        <f ca="1">IFERROR(__xludf.DUMMYFUNCTION("""COMPUTED_VALUE"""),4)</f>
        <v>4</v>
      </c>
      <c r="J1169" s="118">
        <f ca="1">IFERROR(__xludf.DUMMYFUNCTION("""COMPUTED_VALUE"""),5)</f>
        <v>5</v>
      </c>
      <c r="K1169" s="120">
        <f ca="1">IFERROR(__xludf.DUMMYFUNCTION("""COMPUTED_VALUE"""),42.1)</f>
        <v>42.1</v>
      </c>
      <c r="L1169" s="121"/>
      <c r="M1169" s="120">
        <f ca="1">IFERROR(__xludf.DUMMYFUNCTION("""COMPUTED_VALUE"""),12.5)</f>
        <v>12.5</v>
      </c>
      <c r="N1169" s="121"/>
      <c r="O1169" s="120">
        <f ca="1">IFERROR(__xludf.DUMMYFUNCTION("""COMPUTED_VALUE"""),25.5)</f>
        <v>25.5</v>
      </c>
      <c r="P1169" s="122"/>
      <c r="Q1169" s="123"/>
      <c r="R1169" s="123"/>
      <c r="S1169" s="123" t="str">
        <f ca="1">IFERROR(__xludf.DUMMYFUNCTION("""COMPUTED_VALUE"""),"Sophie Bourdelais")</f>
        <v>Sophie Bourdelais</v>
      </c>
      <c r="T1169" s="123"/>
    </row>
    <row r="1170" spans="1:20" ht="13.8">
      <c r="A1170" s="118" t="str">
        <f ca="1">IFERROR(__xludf.DUMMYFUNCTION("""COMPUTED_VALUE"""),"MHC")</f>
        <v>MHC</v>
      </c>
      <c r="B1170" s="119" t="str">
        <f ca="1">IFERROR(__xludf.DUMMYFUNCTION("""COMPUTED_VALUE"""),"Maggie Navarro")</f>
        <v>Maggie Navarro</v>
      </c>
      <c r="C1170" s="118">
        <f ca="1">IFERROR(__xludf.DUMMYFUNCTION("""COMPUTED_VALUE"""),9)</f>
        <v>9</v>
      </c>
      <c r="D1170" s="118" t="str">
        <f ca="1">IFERROR(__xludf.DUMMYFUNCTION("""COMPUTED_VALUE"""),"G")</f>
        <v>G</v>
      </c>
      <c r="E1170" s="118" t="str">
        <f ca="1">IFERROR(__xludf.DUMMYFUNCTION("""COMPUTED_VALUE"""),"F")</f>
        <v>F</v>
      </c>
      <c r="F1170" s="118" t="str">
        <f ca="1">IFERROR(__xludf.DUMMYFUNCTION("""COMPUTED_VALUE"""),"J")</f>
        <v>J</v>
      </c>
      <c r="G1170" s="118">
        <f ca="1">IFERROR(__xludf.DUMMYFUNCTION("""COMPUTED_VALUE"""),6)</f>
        <v>6</v>
      </c>
      <c r="H1170" s="118" t="str">
        <f ca="1">IFERROR(__xludf.DUMMYFUNCTION("""COMPUTED_VALUE"""),"MHC")</f>
        <v>MHC</v>
      </c>
      <c r="I1170" s="118">
        <f ca="1">IFERROR(__xludf.DUMMYFUNCTION("""COMPUTED_VALUE"""),4)</f>
        <v>4</v>
      </c>
      <c r="J1170" s="118">
        <f ca="1">IFERROR(__xludf.DUMMYFUNCTION("""COMPUTED_VALUE"""),4)</f>
        <v>4</v>
      </c>
      <c r="K1170" s="120">
        <f ca="1">IFERROR(__xludf.DUMMYFUNCTION("""COMPUTED_VALUE"""),49.95)</f>
        <v>49.95</v>
      </c>
      <c r="L1170" s="121"/>
      <c r="M1170" s="120"/>
      <c r="N1170" s="121"/>
      <c r="O1170" s="120">
        <f ca="1">IFERROR(__xludf.DUMMYFUNCTION("""COMPUTED_VALUE"""),26.7)</f>
        <v>26.7</v>
      </c>
      <c r="P1170" s="122"/>
      <c r="Q1170" s="123"/>
      <c r="R1170" s="123"/>
      <c r="S1170" s="123" t="str">
        <f ca="1">IFERROR(__xludf.DUMMYFUNCTION("""COMPUTED_VALUE"""),"Sophie Burges")</f>
        <v>Sophie Burges</v>
      </c>
      <c r="T1170" s="123"/>
    </row>
    <row r="1171" spans="1:20" ht="13.8">
      <c r="A1171" s="118" t="str">
        <f ca="1">IFERROR(__xludf.DUMMYFUNCTION("""COMPUTED_VALUE"""),"MHC")</f>
        <v>MHC</v>
      </c>
      <c r="B1171" s="119" t="str">
        <f ca="1">IFERROR(__xludf.DUMMYFUNCTION("""COMPUTED_VALUE"""),"Felix Harte")</f>
        <v>Felix Harte</v>
      </c>
      <c r="C1171" s="118">
        <f ca="1">IFERROR(__xludf.DUMMYFUNCTION("""COMPUTED_VALUE"""),7)</f>
        <v>7</v>
      </c>
      <c r="D1171" s="118" t="str">
        <f ca="1">IFERROR(__xludf.DUMMYFUNCTION("""COMPUTED_VALUE"""),"B")</f>
        <v>B</v>
      </c>
      <c r="E1171" s="118" t="str">
        <f ca="1">IFERROR(__xludf.DUMMYFUNCTION("""COMPUTED_VALUE"""),"F")</f>
        <v>F</v>
      </c>
      <c r="F1171" s="118" t="str">
        <f ca="1">IFERROR(__xludf.DUMMYFUNCTION("""COMPUTED_VALUE"""),"J")</f>
        <v>J</v>
      </c>
      <c r="G1171" s="118">
        <f ca="1">IFERROR(__xludf.DUMMYFUNCTION("""COMPUTED_VALUE"""),6)</f>
        <v>6</v>
      </c>
      <c r="H1171" s="118" t="str">
        <f ca="1">IFERROR(__xludf.DUMMYFUNCTION("""COMPUTED_VALUE"""),"MHC")</f>
        <v>MHC</v>
      </c>
      <c r="I1171" s="118">
        <f ca="1">IFERROR(__xludf.DUMMYFUNCTION("""COMPUTED_VALUE"""),5)</f>
        <v>5</v>
      </c>
      <c r="J1171" s="118">
        <f ca="1">IFERROR(__xludf.DUMMYFUNCTION("""COMPUTED_VALUE"""),5)</f>
        <v>5</v>
      </c>
      <c r="K1171" s="120">
        <f ca="1">IFERROR(__xludf.DUMMYFUNCTION("""COMPUTED_VALUE"""),55.05)</f>
        <v>55.05</v>
      </c>
      <c r="L1171" s="121"/>
      <c r="M1171" s="120">
        <f ca="1">IFERROR(__xludf.DUMMYFUNCTION("""COMPUTED_VALUE"""),50.2)</f>
        <v>50.2</v>
      </c>
      <c r="N1171" s="121"/>
      <c r="O1171" s="120">
        <f ca="1">IFERROR(__xludf.DUMMYFUNCTION("""COMPUTED_VALUE"""),48.1)</f>
        <v>48.1</v>
      </c>
      <c r="P1171" s="122"/>
      <c r="Q1171" s="123"/>
      <c r="R1171" s="123"/>
      <c r="S1171" s="123" t="str">
        <f ca="1">IFERROR(__xludf.DUMMYFUNCTION("""COMPUTED_VALUE"""),"Sophie Deegan")</f>
        <v>Sophie Deegan</v>
      </c>
      <c r="T1171" s="123"/>
    </row>
    <row r="1172" spans="1:20" ht="13.8">
      <c r="A1172" s="118" t="str">
        <f ca="1">IFERROR(__xludf.DUMMYFUNCTION("""COMPUTED_VALUE"""),"MHC")</f>
        <v>MHC</v>
      </c>
      <c r="B1172" s="119" t="str">
        <f ca="1">IFERROR(__xludf.DUMMYFUNCTION("""COMPUTED_VALUE"""),"Thor Downie")</f>
        <v>Thor Downie</v>
      </c>
      <c r="C1172" s="118">
        <f ca="1">IFERROR(__xludf.DUMMYFUNCTION("""COMPUTED_VALUE"""),7)</f>
        <v>7</v>
      </c>
      <c r="D1172" s="118" t="str">
        <f ca="1">IFERROR(__xludf.DUMMYFUNCTION("""COMPUTED_VALUE"""),"B")</f>
        <v>B</v>
      </c>
      <c r="E1172" s="118" t="str">
        <f ca="1">IFERROR(__xludf.DUMMYFUNCTION("""COMPUTED_VALUE"""),"F")</f>
        <v>F</v>
      </c>
      <c r="F1172" s="118" t="str">
        <f ca="1">IFERROR(__xludf.DUMMYFUNCTION("""COMPUTED_VALUE"""),"J")</f>
        <v>J</v>
      </c>
      <c r="G1172" s="118">
        <f ca="1">IFERROR(__xludf.DUMMYFUNCTION("""COMPUTED_VALUE"""),6)</f>
        <v>6</v>
      </c>
      <c r="H1172" s="118" t="str">
        <f ca="1">IFERROR(__xludf.DUMMYFUNCTION("""COMPUTED_VALUE"""),"MHC")</f>
        <v>MHC</v>
      </c>
      <c r="I1172" s="118">
        <f ca="1">IFERROR(__xludf.DUMMYFUNCTION("""COMPUTED_VALUE"""),5)</f>
        <v>5</v>
      </c>
      <c r="J1172" s="118">
        <f ca="1">IFERROR(__xludf.DUMMYFUNCTION("""COMPUTED_VALUE"""),5)</f>
        <v>5</v>
      </c>
      <c r="K1172" s="120">
        <f ca="1">IFERROR(__xludf.DUMMYFUNCTION("""COMPUTED_VALUE"""),60.75)</f>
        <v>60.75</v>
      </c>
      <c r="L1172" s="121"/>
      <c r="M1172" s="120">
        <f ca="1">IFERROR(__xludf.DUMMYFUNCTION("""COMPUTED_VALUE"""),38.5)</f>
        <v>38.5</v>
      </c>
      <c r="N1172" s="121"/>
      <c r="O1172" s="120">
        <f ca="1">IFERROR(__xludf.DUMMYFUNCTION("""COMPUTED_VALUE"""),36.1)</f>
        <v>36.1</v>
      </c>
      <c r="P1172" s="122"/>
      <c r="Q1172" s="123"/>
      <c r="R1172" s="123"/>
      <c r="S1172" s="123" t="str">
        <f ca="1">IFERROR(__xludf.DUMMYFUNCTION("""COMPUTED_VALUE"""),"Sophie Genter")</f>
        <v>Sophie Genter</v>
      </c>
      <c r="T1172" s="123"/>
    </row>
    <row r="1173" spans="1:20" ht="13.8">
      <c r="A1173" s="118" t="str">
        <f ca="1">IFERROR(__xludf.DUMMYFUNCTION("""COMPUTED_VALUE"""),"MHC")</f>
        <v>MHC</v>
      </c>
      <c r="B1173" s="119" t="str">
        <f ca="1">IFERROR(__xludf.DUMMYFUNCTION("""COMPUTED_VALUE"""),"Will Fletcher")</f>
        <v>Will Fletcher</v>
      </c>
      <c r="C1173" s="118">
        <f ca="1">IFERROR(__xludf.DUMMYFUNCTION("""COMPUTED_VALUE"""),10)</f>
        <v>10</v>
      </c>
      <c r="D1173" s="118" t="str">
        <f ca="1">IFERROR(__xludf.DUMMYFUNCTION("""COMPUTED_VALUE"""),"B")</f>
        <v>B</v>
      </c>
      <c r="E1173" s="118" t="str">
        <f ca="1">IFERROR(__xludf.DUMMYFUNCTION("""COMPUTED_VALUE"""),"F")</f>
        <v>F</v>
      </c>
      <c r="F1173" s="118" t="str">
        <f ca="1">IFERROR(__xludf.DUMMYFUNCTION("""COMPUTED_VALUE"""),"J")</f>
        <v>J</v>
      </c>
      <c r="G1173" s="118">
        <f ca="1">IFERROR(__xludf.DUMMYFUNCTION("""COMPUTED_VALUE"""),6)</f>
        <v>6</v>
      </c>
      <c r="H1173" s="118" t="str">
        <f ca="1">IFERROR(__xludf.DUMMYFUNCTION("""COMPUTED_VALUE"""),"MHC")</f>
        <v>MHC</v>
      </c>
      <c r="I1173" s="118">
        <f ca="1">IFERROR(__xludf.DUMMYFUNCTION("""COMPUTED_VALUE"""),5)</f>
        <v>5</v>
      </c>
      <c r="J1173" s="118">
        <f ca="1">IFERROR(__xludf.DUMMYFUNCTION("""COMPUTED_VALUE"""),3)</f>
        <v>3</v>
      </c>
      <c r="K1173" s="120">
        <f ca="1">IFERROR(__xludf.DUMMYFUNCTION("""COMPUTED_VALUE"""),52.45)</f>
        <v>52.45</v>
      </c>
      <c r="L1173" s="121"/>
      <c r="M1173" s="120">
        <f ca="1">IFERROR(__xludf.DUMMYFUNCTION("""COMPUTED_VALUE"""),43.65)</f>
        <v>43.65</v>
      </c>
      <c r="N1173" s="121"/>
      <c r="O1173" s="120"/>
      <c r="P1173" s="122"/>
      <c r="Q1173" s="123"/>
      <c r="R1173" s="123"/>
      <c r="S1173" s="123" t="str">
        <f ca="1">IFERROR(__xludf.DUMMYFUNCTION("""COMPUTED_VALUE"""),"Sophie Leland")</f>
        <v>Sophie Leland</v>
      </c>
      <c r="T1173" s="123"/>
    </row>
    <row r="1174" spans="1:20" ht="13.8">
      <c r="A1174" s="118" t="str">
        <f ca="1">IFERROR(__xludf.DUMMYFUNCTION("""COMPUTED_VALUE"""),"MHC")</f>
        <v>MHC</v>
      </c>
      <c r="B1174" s="119" t="str">
        <f ca="1">IFERROR(__xludf.DUMMYFUNCTION("""COMPUTED_VALUE"""),"Lucy Navarro")</f>
        <v>Lucy Navarro</v>
      </c>
      <c r="C1174" s="118">
        <f ca="1">IFERROR(__xludf.DUMMYFUNCTION("""COMPUTED_VALUE"""),11)</f>
        <v>11</v>
      </c>
      <c r="D1174" s="118" t="str">
        <f ca="1">IFERROR(__xludf.DUMMYFUNCTION("""COMPUTED_VALUE"""),"G")</f>
        <v>G</v>
      </c>
      <c r="E1174" s="118" t="str">
        <f ca="1">IFERROR(__xludf.DUMMYFUNCTION("""COMPUTED_VALUE"""),"J")</f>
        <v>J</v>
      </c>
      <c r="F1174" s="118" t="str">
        <f ca="1">IFERROR(__xludf.DUMMYFUNCTION("""COMPUTED_VALUE"""),"I")</f>
        <v>I</v>
      </c>
      <c r="G1174" s="118">
        <f ca="1">IFERROR(__xludf.DUMMYFUNCTION("""COMPUTED_VALUE"""),6)</f>
        <v>6</v>
      </c>
      <c r="H1174" s="118" t="str">
        <f ca="1">IFERROR(__xludf.DUMMYFUNCTION("""COMPUTED_VALUE"""),"MHC")</f>
        <v>MHC</v>
      </c>
      <c r="I1174" s="118">
        <f ca="1">IFERROR(__xludf.DUMMYFUNCTION("""COMPUTED_VALUE"""),6)</f>
        <v>6</v>
      </c>
      <c r="J1174" s="118">
        <f ca="1">IFERROR(__xludf.DUMMYFUNCTION("""COMPUTED_VALUE"""),3)</f>
        <v>3</v>
      </c>
      <c r="K1174" s="120">
        <f ca="1">IFERROR(__xludf.DUMMYFUNCTION("""COMPUTED_VALUE"""),46.65)</f>
        <v>46.65</v>
      </c>
      <c r="L1174" s="121"/>
      <c r="M1174" s="120"/>
      <c r="N1174" s="121"/>
      <c r="O1174" s="120"/>
      <c r="P1174" s="122"/>
      <c r="Q1174" s="123"/>
      <c r="R1174" s="123"/>
      <c r="S1174" s="123" t="str">
        <f ca="1">IFERROR(__xludf.DUMMYFUNCTION("""COMPUTED_VALUE"""),"Sophie Ratner")</f>
        <v>Sophie Ratner</v>
      </c>
      <c r="T1174" s="123"/>
    </row>
    <row r="1175" spans="1:20" ht="13.8">
      <c r="A1175" s="118" t="str">
        <f ca="1">IFERROR(__xludf.DUMMYFUNCTION("""COMPUTED_VALUE"""),"MHC")</f>
        <v>MHC</v>
      </c>
      <c r="B1175" s="119" t="str">
        <f ca="1">IFERROR(__xludf.DUMMYFUNCTION("""COMPUTED_VALUE"""),"Austin Moss")</f>
        <v>Austin Moss</v>
      </c>
      <c r="C1175" s="118">
        <f ca="1">IFERROR(__xludf.DUMMYFUNCTION("""COMPUTED_VALUE"""),12)</f>
        <v>12</v>
      </c>
      <c r="D1175" s="118" t="str">
        <f ca="1">IFERROR(__xludf.DUMMYFUNCTION("""COMPUTED_VALUE"""),"B")</f>
        <v>B</v>
      </c>
      <c r="E1175" s="118" t="str">
        <f ca="1">IFERROR(__xludf.DUMMYFUNCTION("""COMPUTED_VALUE"""),"J")</f>
        <v>J</v>
      </c>
      <c r="F1175" s="118" t="str">
        <f ca="1">IFERROR(__xludf.DUMMYFUNCTION("""COMPUTED_VALUE"""),"I")</f>
        <v>I</v>
      </c>
      <c r="G1175" s="118">
        <f ca="1">IFERROR(__xludf.DUMMYFUNCTION("""COMPUTED_VALUE"""),6)</f>
        <v>6</v>
      </c>
      <c r="H1175" s="118" t="str">
        <f ca="1">IFERROR(__xludf.DUMMYFUNCTION("""COMPUTED_VALUE"""),"MHC")</f>
        <v>MHC</v>
      </c>
      <c r="I1175" s="118">
        <f ca="1">IFERROR(__xludf.DUMMYFUNCTION("""COMPUTED_VALUE"""),7)</f>
        <v>7</v>
      </c>
      <c r="J1175" s="118">
        <f ca="1">IFERROR(__xludf.DUMMYFUNCTION("""COMPUTED_VALUE"""),4)</f>
        <v>4</v>
      </c>
      <c r="K1175" s="120">
        <f ca="1">IFERROR(__xludf.DUMMYFUNCTION("""COMPUTED_VALUE"""),86.75)</f>
        <v>86.75</v>
      </c>
      <c r="L1175" s="121"/>
      <c r="M1175" s="120">
        <f ca="1">IFERROR(__xludf.DUMMYFUNCTION("""COMPUTED_VALUE"""),74.65)</f>
        <v>74.650000000000006</v>
      </c>
      <c r="N1175" s="121"/>
      <c r="O1175" s="120">
        <f ca="1">IFERROR(__xludf.DUMMYFUNCTION("""COMPUTED_VALUE"""),81.05)</f>
        <v>81.05</v>
      </c>
      <c r="P1175" s="122"/>
      <c r="Q1175" s="123"/>
      <c r="R1175" s="123"/>
      <c r="S1175" s="123" t="str">
        <f ca="1">IFERROR(__xludf.DUMMYFUNCTION("""COMPUTED_VALUE"""),"Sophie Ryan")</f>
        <v>Sophie Ryan</v>
      </c>
      <c r="T1175" s="123"/>
    </row>
    <row r="1176" spans="1:20" ht="13.8">
      <c r="A1176" s="118" t="str">
        <f ca="1">IFERROR(__xludf.DUMMYFUNCTION("""COMPUTED_VALUE"""),"MHC")</f>
        <v>MHC</v>
      </c>
      <c r="B1176" s="119" t="str">
        <f ca="1">IFERROR(__xludf.DUMMYFUNCTION("""COMPUTED_VALUE"""),"Patrick Donovan")</f>
        <v>Patrick Donovan</v>
      </c>
      <c r="C1176" s="118">
        <f ca="1">IFERROR(__xludf.DUMMYFUNCTION("""COMPUTED_VALUE"""),12)</f>
        <v>12</v>
      </c>
      <c r="D1176" s="118" t="str">
        <f ca="1">IFERROR(__xludf.DUMMYFUNCTION("""COMPUTED_VALUE"""),"B")</f>
        <v>B</v>
      </c>
      <c r="E1176" s="118" t="str">
        <f ca="1">IFERROR(__xludf.DUMMYFUNCTION("""COMPUTED_VALUE"""),"J")</f>
        <v>J</v>
      </c>
      <c r="F1176" s="118" t="str">
        <f ca="1">IFERROR(__xludf.DUMMYFUNCTION("""COMPUTED_VALUE"""),"I")</f>
        <v>I</v>
      </c>
      <c r="G1176" s="118">
        <f ca="1">IFERROR(__xludf.DUMMYFUNCTION("""COMPUTED_VALUE"""),6)</f>
        <v>6</v>
      </c>
      <c r="H1176" s="118" t="str">
        <f ca="1">IFERROR(__xludf.DUMMYFUNCTION("""COMPUTED_VALUE"""),"MHC")</f>
        <v>MHC</v>
      </c>
      <c r="I1176" s="118">
        <f ca="1">IFERROR(__xludf.DUMMYFUNCTION("""COMPUTED_VALUE"""),7)</f>
        <v>7</v>
      </c>
      <c r="J1176" s="118">
        <f ca="1">IFERROR(__xludf.DUMMYFUNCTION("""COMPUTED_VALUE"""),4)</f>
        <v>4</v>
      </c>
      <c r="K1176" s="120">
        <f ca="1">IFERROR(__xludf.DUMMYFUNCTION("""COMPUTED_VALUE"""),76.1)</f>
        <v>76.099999999999994</v>
      </c>
      <c r="L1176" s="121"/>
      <c r="M1176" s="120">
        <f ca="1">IFERROR(__xludf.DUMMYFUNCTION("""COMPUTED_VALUE"""),64.6)</f>
        <v>64.599999999999994</v>
      </c>
      <c r="N1176" s="121"/>
      <c r="O1176" s="120">
        <f ca="1">IFERROR(__xludf.DUMMYFUNCTION("""COMPUTED_VALUE"""),71.6)</f>
        <v>71.599999999999994</v>
      </c>
      <c r="P1176" s="122"/>
      <c r="Q1176" s="123"/>
      <c r="R1176" s="123"/>
      <c r="S1176" s="123" t="str">
        <f ca="1">IFERROR(__xludf.DUMMYFUNCTION("""COMPUTED_VALUE"""),"Sophie Ulen")</f>
        <v>Sophie Ulen</v>
      </c>
      <c r="T1176" s="123"/>
    </row>
    <row r="1177" spans="1:20" ht="13.8">
      <c r="A1177" s="118" t="str">
        <f ca="1">IFERROR(__xludf.DUMMYFUNCTION("""COMPUTED_VALUE"""),"MHC")</f>
        <v>MHC</v>
      </c>
      <c r="B1177" s="119" t="str">
        <f ca="1">IFERROR(__xludf.DUMMYFUNCTION("""COMPUTED_VALUE"""),"Ben Fletcher")</f>
        <v>Ben Fletcher</v>
      </c>
      <c r="C1177" s="118">
        <f ca="1">IFERROR(__xludf.DUMMYFUNCTION("""COMPUTED_VALUE"""),13)</f>
        <v>13</v>
      </c>
      <c r="D1177" s="118" t="str">
        <f ca="1">IFERROR(__xludf.DUMMYFUNCTION("""COMPUTED_VALUE"""),"B")</f>
        <v>B</v>
      </c>
      <c r="E1177" s="118" t="str">
        <f ca="1">IFERROR(__xludf.DUMMYFUNCTION("""COMPUTED_VALUE"""),"I")</f>
        <v>I</v>
      </c>
      <c r="F1177" s="118" t="str">
        <f ca="1">IFERROR(__xludf.DUMMYFUNCTION("""COMPUTED_VALUE"""),"S")</f>
        <v>S</v>
      </c>
      <c r="G1177" s="118">
        <f ca="1">IFERROR(__xludf.DUMMYFUNCTION("""COMPUTED_VALUE"""),6)</f>
        <v>6</v>
      </c>
      <c r="H1177" s="118" t="str">
        <f ca="1">IFERROR(__xludf.DUMMYFUNCTION("""COMPUTED_VALUE"""),"MHC")</f>
        <v>MHC</v>
      </c>
      <c r="I1177" s="118">
        <f ca="1">IFERROR(__xludf.DUMMYFUNCTION("""COMPUTED_VALUE"""),9)</f>
        <v>9</v>
      </c>
      <c r="J1177" s="118">
        <f ca="1">IFERROR(__xludf.DUMMYFUNCTION("""COMPUTED_VALUE"""),3)</f>
        <v>3</v>
      </c>
      <c r="K1177" s="120">
        <f ca="1">IFERROR(__xludf.DUMMYFUNCTION("""COMPUTED_VALUE"""),111.2)</f>
        <v>111.2</v>
      </c>
      <c r="L1177" s="121"/>
      <c r="M1177" s="120"/>
      <c r="N1177" s="121"/>
      <c r="O1177" s="120">
        <f ca="1">IFERROR(__xludf.DUMMYFUNCTION("""COMPUTED_VALUE"""),111.2)</f>
        <v>111.2</v>
      </c>
      <c r="P1177" s="122"/>
      <c r="Q1177" s="123"/>
      <c r="R1177" s="123"/>
      <c r="S1177" s="123" t="str">
        <f ca="1">IFERROR(__xludf.DUMMYFUNCTION("""COMPUTED_VALUE"""),"Soraya Hashemi")</f>
        <v>Soraya Hashemi</v>
      </c>
      <c r="T1177" s="123"/>
    </row>
    <row r="1178" spans="1:20" ht="13.8">
      <c r="A1178" s="118" t="str">
        <f ca="1">IFERROR(__xludf.DUMMYFUNCTION("""COMPUTED_VALUE"""),"MHC")</f>
        <v>MHC</v>
      </c>
      <c r="B1178" s="119" t="str">
        <f ca="1">IFERROR(__xludf.DUMMYFUNCTION("""COMPUTED_VALUE"""),"Jared Navarro")</f>
        <v>Jared Navarro</v>
      </c>
      <c r="C1178" s="118">
        <f ca="1">IFERROR(__xludf.DUMMYFUNCTION("""COMPUTED_VALUE"""),13)</f>
        <v>13</v>
      </c>
      <c r="D1178" s="118" t="str">
        <f ca="1">IFERROR(__xludf.DUMMYFUNCTION("""COMPUTED_VALUE"""),"B")</f>
        <v>B</v>
      </c>
      <c r="E1178" s="118" t="str">
        <f ca="1">IFERROR(__xludf.DUMMYFUNCTION("""COMPUTED_VALUE"""),"I")</f>
        <v>I</v>
      </c>
      <c r="F1178" s="118" t="str">
        <f ca="1">IFERROR(__xludf.DUMMYFUNCTION("""COMPUTED_VALUE"""),"S")</f>
        <v>S</v>
      </c>
      <c r="G1178" s="118">
        <f ca="1">IFERROR(__xludf.DUMMYFUNCTION("""COMPUTED_VALUE"""),6)</f>
        <v>6</v>
      </c>
      <c r="H1178" s="118" t="str">
        <f ca="1">IFERROR(__xludf.DUMMYFUNCTION("""COMPUTED_VALUE"""),"MHC")</f>
        <v>MHC</v>
      </c>
      <c r="I1178" s="118">
        <f ca="1">IFERROR(__xludf.DUMMYFUNCTION("""COMPUTED_VALUE"""),9)</f>
        <v>9</v>
      </c>
      <c r="J1178" s="118">
        <f ca="1">IFERROR(__xludf.DUMMYFUNCTION("""COMPUTED_VALUE"""),4)</f>
        <v>4</v>
      </c>
      <c r="K1178" s="120">
        <f ca="1">IFERROR(__xludf.DUMMYFUNCTION("""COMPUTED_VALUE"""),105.75)</f>
        <v>105.75</v>
      </c>
      <c r="L1178" s="121"/>
      <c r="M1178" s="120"/>
      <c r="N1178" s="121"/>
      <c r="O1178" s="120">
        <f ca="1">IFERROR(__xludf.DUMMYFUNCTION("""COMPUTED_VALUE"""),105.05)</f>
        <v>105.05</v>
      </c>
      <c r="P1178" s="122"/>
      <c r="Q1178" s="123"/>
      <c r="R1178" s="123"/>
      <c r="S1178" s="123" t="str">
        <f ca="1">IFERROR(__xludf.DUMMYFUNCTION("""COMPUTED_VALUE"""),"Soraya Lora-Pena")</f>
        <v>Soraya Lora-Pena</v>
      </c>
      <c r="T1178" s="123"/>
    </row>
    <row r="1179" spans="1:20" ht="13.8">
      <c r="A1179" s="118" t="str">
        <f ca="1">IFERROR(__xludf.DUMMYFUNCTION("""COMPUTED_VALUE"""),"MHC")</f>
        <v>MHC</v>
      </c>
      <c r="B1179" s="119" t="str">
        <f ca="1">IFERROR(__xludf.DUMMYFUNCTION("""COMPUTED_VALUE"""),"Owen Thomas")</f>
        <v>Owen Thomas</v>
      </c>
      <c r="C1179" s="118">
        <f ca="1">IFERROR(__xludf.DUMMYFUNCTION("""COMPUTED_VALUE"""),14)</f>
        <v>14</v>
      </c>
      <c r="D1179" s="118" t="str">
        <f ca="1">IFERROR(__xludf.DUMMYFUNCTION("""COMPUTED_VALUE"""),"B")</f>
        <v>B</v>
      </c>
      <c r="E1179" s="118" t="str">
        <f ca="1">IFERROR(__xludf.DUMMYFUNCTION("""COMPUTED_VALUE"""),"I")</f>
        <v>I</v>
      </c>
      <c r="F1179" s="118" t="str">
        <f ca="1">IFERROR(__xludf.DUMMYFUNCTION("""COMPUTED_VALUE"""),"S")</f>
        <v>S</v>
      </c>
      <c r="G1179" s="118">
        <f ca="1">IFERROR(__xludf.DUMMYFUNCTION("""COMPUTED_VALUE"""),6)</f>
        <v>6</v>
      </c>
      <c r="H1179" s="118" t="str">
        <f ca="1">IFERROR(__xludf.DUMMYFUNCTION("""COMPUTED_VALUE"""),"MHC")</f>
        <v>MHC</v>
      </c>
      <c r="I1179" s="118">
        <f ca="1">IFERROR(__xludf.DUMMYFUNCTION("""COMPUTED_VALUE"""),9)</f>
        <v>9</v>
      </c>
      <c r="J1179" s="118">
        <f ca="1">IFERROR(__xludf.DUMMYFUNCTION("""COMPUTED_VALUE"""),3)</f>
        <v>3</v>
      </c>
      <c r="K1179" s="120">
        <f ca="1">IFERROR(__xludf.DUMMYFUNCTION("""COMPUTED_VALUE"""),-131.3)</f>
        <v>-131.30000000000001</v>
      </c>
      <c r="L1179" s="121"/>
      <c r="M1179" s="120">
        <f ca="1">IFERROR(__xludf.DUMMYFUNCTION("""COMPUTED_VALUE"""),-136.4)</f>
        <v>-136.4</v>
      </c>
      <c r="N1179" s="121"/>
      <c r="O1179" s="120">
        <f ca="1">IFERROR(__xludf.DUMMYFUNCTION("""COMPUTED_VALUE"""),-159.3)</f>
        <v>-159.30000000000001</v>
      </c>
      <c r="P1179" s="122"/>
      <c r="Q1179" s="123"/>
      <c r="R1179" s="123"/>
      <c r="S1179" s="123" t="str">
        <f ca="1">IFERROR(__xludf.DUMMYFUNCTION("""COMPUTED_VALUE"""),"Stella Baldeon Masturzo")</f>
        <v>Stella Baldeon Masturzo</v>
      </c>
      <c r="T1179" s="123"/>
    </row>
    <row r="1180" spans="1:20" ht="13.8">
      <c r="A1180" s="118" t="str">
        <f ca="1">IFERROR(__xludf.DUMMYFUNCTION("""COMPUTED_VALUE"""),"MHC")</f>
        <v>MHC</v>
      </c>
      <c r="B1180" s="119" t="str">
        <f ca="1">IFERROR(__xludf.DUMMYFUNCTION("""COMPUTED_VALUE"""),"Sam Carrado")</f>
        <v>Sam Carrado</v>
      </c>
      <c r="C1180" s="118">
        <f ca="1">IFERROR(__xludf.DUMMYFUNCTION("""COMPUTED_VALUE"""),13)</f>
        <v>13</v>
      </c>
      <c r="D1180" s="118" t="str">
        <f ca="1">IFERROR(__xludf.DUMMYFUNCTION("""COMPUTED_VALUE"""),"B")</f>
        <v>B</v>
      </c>
      <c r="E1180" s="118" t="str">
        <f ca="1">IFERROR(__xludf.DUMMYFUNCTION("""COMPUTED_VALUE"""),"I")</f>
        <v>I</v>
      </c>
      <c r="F1180" s="118" t="str">
        <f ca="1">IFERROR(__xludf.DUMMYFUNCTION("""COMPUTED_VALUE"""),"S")</f>
        <v>S</v>
      </c>
      <c r="G1180" s="118">
        <f ca="1">IFERROR(__xludf.DUMMYFUNCTION("""COMPUTED_VALUE"""),6)</f>
        <v>6</v>
      </c>
      <c r="H1180" s="118" t="str">
        <f ca="1">IFERROR(__xludf.DUMMYFUNCTION("""COMPUTED_VALUE"""),"MHC")</f>
        <v>MHC</v>
      </c>
      <c r="I1180" s="118">
        <f ca="1">IFERROR(__xludf.DUMMYFUNCTION("""COMPUTED_VALUE"""),9)</f>
        <v>9</v>
      </c>
      <c r="J1180" s="118">
        <f ca="1">IFERROR(__xludf.DUMMYFUNCTION("""COMPUTED_VALUE"""),4)</f>
        <v>4</v>
      </c>
      <c r="K1180" s="120">
        <f ca="1">IFERROR(__xludf.DUMMYFUNCTION("""COMPUTED_VALUE"""),122.95)</f>
        <v>122.95</v>
      </c>
      <c r="L1180" s="121"/>
      <c r="M1180" s="120">
        <f ca="1">IFERROR(__xludf.DUMMYFUNCTION("""COMPUTED_VALUE"""),108.35)</f>
        <v>108.35</v>
      </c>
      <c r="N1180" s="121"/>
      <c r="O1180" s="120">
        <f ca="1">IFERROR(__xludf.DUMMYFUNCTION("""COMPUTED_VALUE"""),115.75)</f>
        <v>115.75</v>
      </c>
      <c r="P1180" s="122"/>
      <c r="Q1180" s="123"/>
      <c r="R1180" s="123"/>
      <c r="S1180" s="123" t="str">
        <f ca="1">IFERROR(__xludf.DUMMYFUNCTION("""COMPUTED_VALUE"""),"Stella Barclay")</f>
        <v>Stella Barclay</v>
      </c>
      <c r="T1180" s="123"/>
    </row>
    <row r="1181" spans="1:20" ht="13.8">
      <c r="A1181" s="118" t="str">
        <f ca="1">IFERROR(__xludf.DUMMYFUNCTION("""COMPUTED_VALUE"""),"MHC")</f>
        <v>MHC</v>
      </c>
      <c r="B1181" s="119" t="str">
        <f ca="1">IFERROR(__xludf.DUMMYFUNCTION("""COMPUTED_VALUE"""),"Allie Duffield")</f>
        <v>Allie Duffield</v>
      </c>
      <c r="C1181" s="118">
        <f ca="1">IFERROR(__xludf.DUMMYFUNCTION("""COMPUTED_VALUE"""),15)</f>
        <v>15</v>
      </c>
      <c r="D1181" s="118" t="str">
        <f ca="1">IFERROR(__xludf.DUMMYFUNCTION("""COMPUTED_VALUE"""),"G")</f>
        <v>G</v>
      </c>
      <c r="E1181" s="118" t="str">
        <f ca="1">IFERROR(__xludf.DUMMYFUNCTION("""COMPUTED_VALUE"""),"S")</f>
        <v>S</v>
      </c>
      <c r="F1181" s="118" t="str">
        <f ca="1">IFERROR(__xludf.DUMMYFUNCTION("""COMPUTED_VALUE"""),"S")</f>
        <v>S</v>
      </c>
      <c r="G1181" s="118">
        <f ca="1">IFERROR(__xludf.DUMMYFUNCTION("""COMPUTED_VALUE"""),6)</f>
        <v>6</v>
      </c>
      <c r="H1181" s="118" t="str">
        <f ca="1">IFERROR(__xludf.DUMMYFUNCTION("""COMPUTED_VALUE"""),"MHC")</f>
        <v>MHC</v>
      </c>
      <c r="I1181" s="118">
        <f ca="1">IFERROR(__xludf.DUMMYFUNCTION("""COMPUTED_VALUE"""),10)</f>
        <v>10</v>
      </c>
      <c r="J1181" s="118">
        <f ca="1">IFERROR(__xludf.DUMMYFUNCTION("""COMPUTED_VALUE"""),5)</f>
        <v>5</v>
      </c>
      <c r="K1181" s="120">
        <f ca="1">IFERROR(__xludf.DUMMYFUNCTION("""COMPUTED_VALUE"""),162.4)</f>
        <v>162.4</v>
      </c>
      <c r="L1181" s="121"/>
      <c r="M1181" s="120">
        <f ca="1">IFERROR(__xludf.DUMMYFUNCTION("""COMPUTED_VALUE"""),122.85)</f>
        <v>122.85</v>
      </c>
      <c r="N1181" s="121"/>
      <c r="O1181" s="120">
        <f ca="1">IFERROR(__xludf.DUMMYFUNCTION("""COMPUTED_VALUE"""),147.15)</f>
        <v>147.15</v>
      </c>
      <c r="P1181" s="122"/>
      <c r="Q1181" s="123"/>
      <c r="R1181" s="123"/>
      <c r="S1181" s="123" t="str">
        <f ca="1">IFERROR(__xludf.DUMMYFUNCTION("""COMPUTED_VALUE"""),"Stella Beaman")</f>
        <v>Stella Beaman</v>
      </c>
      <c r="T1181" s="123"/>
    </row>
    <row r="1182" spans="1:20" ht="13.8">
      <c r="A1182" s="118" t="str">
        <f ca="1">IFERROR(__xludf.DUMMYFUNCTION("""COMPUTED_VALUE"""),"MHC")</f>
        <v>MHC</v>
      </c>
      <c r="B1182" s="119" t="str">
        <f ca="1">IFERROR(__xludf.DUMMYFUNCTION("""COMPUTED_VALUE"""),"Sandra Kay")</f>
        <v>Sandra Kay</v>
      </c>
      <c r="C1182" s="118">
        <f ca="1">IFERROR(__xludf.DUMMYFUNCTION("""COMPUTED_VALUE"""),16)</f>
        <v>16</v>
      </c>
      <c r="D1182" s="118" t="str">
        <f ca="1">IFERROR(__xludf.DUMMYFUNCTION("""COMPUTED_VALUE"""),"G")</f>
        <v>G</v>
      </c>
      <c r="E1182" s="118" t="str">
        <f ca="1">IFERROR(__xludf.DUMMYFUNCTION("""COMPUTED_VALUE"""),"S")</f>
        <v>S</v>
      </c>
      <c r="F1182" s="118" t="str">
        <f ca="1">IFERROR(__xludf.DUMMYFUNCTION("""COMPUTED_VALUE"""),"S")</f>
        <v>S</v>
      </c>
      <c r="G1182" s="118">
        <f ca="1">IFERROR(__xludf.DUMMYFUNCTION("""COMPUTED_VALUE"""),6)</f>
        <v>6</v>
      </c>
      <c r="H1182" s="118" t="str">
        <f ca="1">IFERROR(__xludf.DUMMYFUNCTION("""COMPUTED_VALUE"""),"MHC")</f>
        <v>MHC</v>
      </c>
      <c r="I1182" s="118">
        <f ca="1">IFERROR(__xludf.DUMMYFUNCTION("""COMPUTED_VALUE"""),10)</f>
        <v>10</v>
      </c>
      <c r="J1182" s="118">
        <f ca="1">IFERROR(__xludf.DUMMYFUNCTION("""COMPUTED_VALUE"""),3)</f>
        <v>3</v>
      </c>
      <c r="K1182" s="120">
        <f ca="1">IFERROR(__xludf.DUMMYFUNCTION("""COMPUTED_VALUE"""),141.6)</f>
        <v>141.6</v>
      </c>
      <c r="L1182" s="121"/>
      <c r="M1182" s="120">
        <f ca="1">IFERROR(__xludf.DUMMYFUNCTION("""COMPUTED_VALUE"""),125.5)</f>
        <v>125.5</v>
      </c>
      <c r="N1182" s="121"/>
      <c r="O1182" s="120">
        <f ca="1">IFERROR(__xludf.DUMMYFUNCTION("""COMPUTED_VALUE"""),141.6)</f>
        <v>141.6</v>
      </c>
      <c r="P1182" s="122"/>
      <c r="Q1182" s="123"/>
      <c r="R1182" s="123"/>
      <c r="S1182" s="123" t="str">
        <f ca="1">IFERROR(__xludf.DUMMYFUNCTION("""COMPUTED_VALUE"""),"Stella Boger")</f>
        <v>Stella Boger</v>
      </c>
      <c r="T1182" s="123"/>
    </row>
    <row r="1183" spans="1:20" ht="13.8">
      <c r="A1183" s="118" t="str">
        <f ca="1">IFERROR(__xludf.DUMMYFUNCTION("""COMPUTED_VALUE"""),"MHC")</f>
        <v>MHC</v>
      </c>
      <c r="B1183" s="119" t="str">
        <f ca="1">IFERROR(__xludf.DUMMYFUNCTION("""COMPUTED_VALUE"""),"Tabitha Thomas")</f>
        <v>Tabitha Thomas</v>
      </c>
      <c r="C1183" s="118">
        <f ca="1">IFERROR(__xludf.DUMMYFUNCTION("""COMPUTED_VALUE"""),17)</f>
        <v>17</v>
      </c>
      <c r="D1183" s="118" t="str">
        <f ca="1">IFERROR(__xludf.DUMMYFUNCTION("""COMPUTED_VALUE"""),"G")</f>
        <v>G</v>
      </c>
      <c r="E1183" s="118" t="str">
        <f ca="1">IFERROR(__xludf.DUMMYFUNCTION("""COMPUTED_VALUE"""),"S")</f>
        <v>S</v>
      </c>
      <c r="F1183" s="118" t="str">
        <f ca="1">IFERROR(__xludf.DUMMYFUNCTION("""COMPUTED_VALUE"""),"S")</f>
        <v>S</v>
      </c>
      <c r="G1183" s="118">
        <f ca="1">IFERROR(__xludf.DUMMYFUNCTION("""COMPUTED_VALUE"""),6)</f>
        <v>6</v>
      </c>
      <c r="H1183" s="118" t="str">
        <f ca="1">IFERROR(__xludf.DUMMYFUNCTION("""COMPUTED_VALUE"""),"MHC")</f>
        <v>MHC</v>
      </c>
      <c r="I1183" s="118">
        <f ca="1">IFERROR(__xludf.DUMMYFUNCTION("""COMPUTED_VALUE"""),10)</f>
        <v>10</v>
      </c>
      <c r="J1183" s="118">
        <f ca="1">IFERROR(__xludf.DUMMYFUNCTION("""COMPUTED_VALUE"""),3)</f>
        <v>3</v>
      </c>
      <c r="K1183" s="120">
        <f ca="1">IFERROR(__xludf.DUMMYFUNCTION("""COMPUTED_VALUE"""),116.6)</f>
        <v>116.6</v>
      </c>
      <c r="L1183" s="121"/>
      <c r="M1183" s="120">
        <f ca="1">IFERROR(__xludf.DUMMYFUNCTION("""COMPUTED_VALUE"""),105.35)</f>
        <v>105.35</v>
      </c>
      <c r="N1183" s="121"/>
      <c r="O1183" s="120">
        <f ca="1">IFERROR(__xludf.DUMMYFUNCTION("""COMPUTED_VALUE"""),116.6)</f>
        <v>116.6</v>
      </c>
      <c r="P1183" s="122"/>
      <c r="Q1183" s="123"/>
      <c r="R1183" s="123"/>
      <c r="S1183" s="123" t="str">
        <f ca="1">IFERROR(__xludf.DUMMYFUNCTION("""COMPUTED_VALUE"""),"Stella Budiu")</f>
        <v>Stella Budiu</v>
      </c>
      <c r="T1183" s="123"/>
    </row>
    <row r="1184" spans="1:20" ht="13.8">
      <c r="A1184" s="118" t="str">
        <f ca="1">IFERROR(__xludf.DUMMYFUNCTION("""COMPUTED_VALUE"""),"MHC")</f>
        <v>MHC</v>
      </c>
      <c r="B1184" s="119" t="str">
        <f ca="1">IFERROR(__xludf.DUMMYFUNCTION("""COMPUTED_VALUE"""),"Zoe Askin")</f>
        <v>Zoe Askin</v>
      </c>
      <c r="C1184" s="118">
        <f ca="1">IFERROR(__xludf.DUMMYFUNCTION("""COMPUTED_VALUE"""),18)</f>
        <v>18</v>
      </c>
      <c r="D1184" s="118" t="str">
        <f ca="1">IFERROR(__xludf.DUMMYFUNCTION("""COMPUTED_VALUE"""),"G")</f>
        <v>G</v>
      </c>
      <c r="E1184" s="118" t="str">
        <f ca="1">IFERROR(__xludf.DUMMYFUNCTION("""COMPUTED_VALUE"""),"S")</f>
        <v>S</v>
      </c>
      <c r="F1184" s="118" t="str">
        <f ca="1">IFERROR(__xludf.DUMMYFUNCTION("""COMPUTED_VALUE"""),"S")</f>
        <v>S</v>
      </c>
      <c r="G1184" s="118">
        <f ca="1">IFERROR(__xludf.DUMMYFUNCTION("""COMPUTED_VALUE"""),6)</f>
        <v>6</v>
      </c>
      <c r="H1184" s="118" t="str">
        <f ca="1">IFERROR(__xludf.DUMMYFUNCTION("""COMPUTED_VALUE"""),"MHC")</f>
        <v>MHC</v>
      </c>
      <c r="I1184" s="118">
        <f ca="1">IFERROR(__xludf.DUMMYFUNCTION("""COMPUTED_VALUE"""),10)</f>
        <v>10</v>
      </c>
      <c r="J1184" s="118">
        <f ca="1">IFERROR(__xludf.DUMMYFUNCTION("""COMPUTED_VALUE"""),5)</f>
        <v>5</v>
      </c>
      <c r="K1184" s="120">
        <f ca="1">IFERROR(__xludf.DUMMYFUNCTION("""COMPUTED_VALUE"""),162.15)</f>
        <v>162.15</v>
      </c>
      <c r="L1184" s="121"/>
      <c r="M1184" s="120">
        <f ca="1">IFERROR(__xludf.DUMMYFUNCTION("""COMPUTED_VALUE"""),148.4)</f>
        <v>148.4</v>
      </c>
      <c r="N1184" s="121"/>
      <c r="O1184" s="120">
        <f ca="1">IFERROR(__xludf.DUMMYFUNCTION("""COMPUTED_VALUE"""),147.15)</f>
        <v>147.15</v>
      </c>
      <c r="P1184" s="122"/>
      <c r="Q1184" s="123"/>
      <c r="R1184" s="123"/>
      <c r="S1184" s="123" t="str">
        <f ca="1">IFERROR(__xludf.DUMMYFUNCTION("""COMPUTED_VALUE"""),"Stella Gilbert")</f>
        <v>Stella Gilbert</v>
      </c>
      <c r="T1184" s="123"/>
    </row>
    <row r="1185" spans="1:20" ht="13.8">
      <c r="A1185" s="118" t="str">
        <f ca="1">IFERROR(__xludf.DUMMYFUNCTION("""COMPUTED_VALUE"""),"NS")</f>
        <v>NS</v>
      </c>
      <c r="B1185" s="119" t="str">
        <f ca="1">IFERROR(__xludf.DUMMYFUNCTION("""COMPUTED_VALUE"""),"Eva Pereira")</f>
        <v>Eva Pereira</v>
      </c>
      <c r="C1185" s="118">
        <f ca="1">IFERROR(__xludf.DUMMYFUNCTION("""COMPUTED_VALUE"""),7)</f>
        <v>7</v>
      </c>
      <c r="D1185" s="118" t="str">
        <f ca="1">IFERROR(__xludf.DUMMYFUNCTION("""COMPUTED_VALUE"""),"G")</f>
        <v>G</v>
      </c>
      <c r="E1185" s="118" t="str">
        <f ca="1">IFERROR(__xludf.DUMMYFUNCTION("""COMPUTED_VALUE"""),"F")</f>
        <v>F</v>
      </c>
      <c r="F1185" s="118" t="str">
        <f ca="1">IFERROR(__xludf.DUMMYFUNCTION("""COMPUTED_VALUE"""),"J")</f>
        <v>J</v>
      </c>
      <c r="G1185" s="118">
        <f ca="1">IFERROR(__xludf.DUMMYFUNCTION("""COMPUTED_VALUE"""),7)</f>
        <v>7</v>
      </c>
      <c r="H1185" s="118" t="str">
        <f ca="1">IFERROR(__xludf.DUMMYFUNCTION("""COMPUTED_VALUE"""),"NS")</f>
        <v>NS</v>
      </c>
      <c r="I1185" s="118">
        <f ca="1">IFERROR(__xludf.DUMMYFUNCTION("""COMPUTED_VALUE"""),4)</f>
        <v>4</v>
      </c>
      <c r="J1185" s="118">
        <f ca="1">IFERROR(__xludf.DUMMYFUNCTION("""COMPUTED_VALUE"""),5)</f>
        <v>5</v>
      </c>
      <c r="K1185" s="120">
        <f ca="1">IFERROR(__xludf.DUMMYFUNCTION("""COMPUTED_VALUE"""),38.95)</f>
        <v>38.950000000000003</v>
      </c>
      <c r="L1185" s="121"/>
      <c r="M1185" s="120">
        <f ca="1">IFERROR(__xludf.DUMMYFUNCTION("""COMPUTED_VALUE"""),19.5)</f>
        <v>19.5</v>
      </c>
      <c r="N1185" s="121"/>
      <c r="O1185" s="120">
        <f ca="1">IFERROR(__xludf.DUMMYFUNCTION("""COMPUTED_VALUE"""),37.05)</f>
        <v>37.049999999999997</v>
      </c>
      <c r="P1185" s="122"/>
      <c r="Q1185" s="123"/>
      <c r="R1185" s="123"/>
      <c r="S1185" s="123" t="str">
        <f ca="1">IFERROR(__xludf.DUMMYFUNCTION("""COMPUTED_VALUE"""),"Stella Klein")</f>
        <v>Stella Klein</v>
      </c>
      <c r="T1185" s="123"/>
    </row>
    <row r="1186" spans="1:20" ht="13.8">
      <c r="A1186" s="118" t="str">
        <f ca="1">IFERROR(__xludf.DUMMYFUNCTION("""COMPUTED_VALUE"""),"NS")</f>
        <v>NS</v>
      </c>
      <c r="B1186" s="119" t="str">
        <f ca="1">IFERROR(__xludf.DUMMYFUNCTION("""COMPUTED_VALUE"""),"Julieta Iguina Espinoza")</f>
        <v>Julieta Iguina Espinoza</v>
      </c>
      <c r="C1186" s="118">
        <f ca="1">IFERROR(__xludf.DUMMYFUNCTION("""COMPUTED_VALUE"""),10)</f>
        <v>10</v>
      </c>
      <c r="D1186" s="118" t="str">
        <f ca="1">IFERROR(__xludf.DUMMYFUNCTION("""COMPUTED_VALUE"""),"G")</f>
        <v>G</v>
      </c>
      <c r="E1186" s="118" t="str">
        <f ca="1">IFERROR(__xludf.DUMMYFUNCTION("""COMPUTED_VALUE"""),"F")</f>
        <v>F</v>
      </c>
      <c r="F1186" s="118" t="str">
        <f ca="1">IFERROR(__xludf.DUMMYFUNCTION("""COMPUTED_VALUE"""),"J")</f>
        <v>J</v>
      </c>
      <c r="G1186" s="118">
        <f ca="1">IFERROR(__xludf.DUMMYFUNCTION("""COMPUTED_VALUE"""),7)</f>
        <v>7</v>
      </c>
      <c r="H1186" s="118" t="str">
        <f ca="1">IFERROR(__xludf.DUMMYFUNCTION("""COMPUTED_VALUE"""),"NS")</f>
        <v>NS</v>
      </c>
      <c r="I1186" s="118">
        <f ca="1">IFERROR(__xludf.DUMMYFUNCTION("""COMPUTED_VALUE"""),4)</f>
        <v>4</v>
      </c>
      <c r="J1186" s="118">
        <f ca="1">IFERROR(__xludf.DUMMYFUNCTION("""COMPUTED_VALUE"""),4)</f>
        <v>4</v>
      </c>
      <c r="K1186" s="120">
        <f ca="1">IFERROR(__xludf.DUMMYFUNCTION("""COMPUTED_VALUE"""),59.5)</f>
        <v>59.5</v>
      </c>
      <c r="L1186" s="121"/>
      <c r="M1186" s="120"/>
      <c r="N1186" s="121"/>
      <c r="O1186" s="120">
        <f ca="1">IFERROR(__xludf.DUMMYFUNCTION("""COMPUTED_VALUE"""),27.4)</f>
        <v>27.4</v>
      </c>
      <c r="P1186" s="122"/>
      <c r="Q1186" s="123"/>
      <c r="R1186" s="123"/>
      <c r="S1186" s="123" t="str">
        <f ca="1">IFERROR(__xludf.DUMMYFUNCTION("""COMPUTED_VALUE"""),"Stella Lesser")</f>
        <v>Stella Lesser</v>
      </c>
      <c r="T1186" s="123"/>
    </row>
    <row r="1187" spans="1:20" ht="13.8">
      <c r="A1187" s="118" t="str">
        <f ca="1">IFERROR(__xludf.DUMMYFUNCTION("""COMPUTED_VALUE"""),"NS")</f>
        <v>NS</v>
      </c>
      <c r="B1187" s="119" t="str">
        <f ca="1">IFERROR(__xludf.DUMMYFUNCTION("""COMPUTED_VALUE"""),"Liesl Birkelbach")</f>
        <v>Liesl Birkelbach</v>
      </c>
      <c r="C1187" s="118">
        <f ca="1">IFERROR(__xludf.DUMMYFUNCTION("""COMPUTED_VALUE"""),8)</f>
        <v>8</v>
      </c>
      <c r="D1187" s="118" t="str">
        <f ca="1">IFERROR(__xludf.DUMMYFUNCTION("""COMPUTED_VALUE"""),"G")</f>
        <v>G</v>
      </c>
      <c r="E1187" s="118" t="str">
        <f ca="1">IFERROR(__xludf.DUMMYFUNCTION("""COMPUTED_VALUE"""),"F")</f>
        <v>F</v>
      </c>
      <c r="F1187" s="118" t="str">
        <f ca="1">IFERROR(__xludf.DUMMYFUNCTION("""COMPUTED_VALUE"""),"J")</f>
        <v>J</v>
      </c>
      <c r="G1187" s="118">
        <f ca="1">IFERROR(__xludf.DUMMYFUNCTION("""COMPUTED_VALUE"""),7)</f>
        <v>7</v>
      </c>
      <c r="H1187" s="118" t="str">
        <f ca="1">IFERROR(__xludf.DUMMYFUNCTION("""COMPUTED_VALUE"""),"NS")</f>
        <v>NS</v>
      </c>
      <c r="I1187" s="118">
        <f ca="1">IFERROR(__xludf.DUMMYFUNCTION("""COMPUTED_VALUE"""),4)</f>
        <v>4</v>
      </c>
      <c r="J1187" s="118">
        <f ca="1">IFERROR(__xludf.DUMMYFUNCTION("""COMPUTED_VALUE"""),5)</f>
        <v>5</v>
      </c>
      <c r="K1187" s="120">
        <f ca="1">IFERROR(__xludf.DUMMYFUNCTION("""COMPUTED_VALUE"""),22.25)</f>
        <v>22.25</v>
      </c>
      <c r="L1187" s="121"/>
      <c r="M1187" s="120">
        <f ca="1">IFERROR(__xludf.DUMMYFUNCTION("""COMPUTED_VALUE"""),22.25)</f>
        <v>22.25</v>
      </c>
      <c r="N1187" s="121"/>
      <c r="O1187" s="120">
        <f ca="1">IFERROR(__xludf.DUMMYFUNCTION("""COMPUTED_VALUE"""),11.5)</f>
        <v>11.5</v>
      </c>
      <c r="P1187" s="122"/>
      <c r="Q1187" s="123"/>
      <c r="R1187" s="123"/>
      <c r="S1187" s="123" t="str">
        <f ca="1">IFERROR(__xludf.DUMMYFUNCTION("""COMPUTED_VALUE"""),"Stella McCormack")</f>
        <v>Stella McCormack</v>
      </c>
      <c r="T1187" s="123"/>
    </row>
    <row r="1188" spans="1:20" ht="13.8">
      <c r="A1188" s="118" t="str">
        <f ca="1">IFERROR(__xludf.DUMMYFUNCTION("""COMPUTED_VALUE"""),"NS")</f>
        <v>NS</v>
      </c>
      <c r="B1188" s="119" t="str">
        <f ca="1">IFERROR(__xludf.DUMMYFUNCTION("""COMPUTED_VALUE"""),"Maeve Tompkins")</f>
        <v>Maeve Tompkins</v>
      </c>
      <c r="C1188" s="118">
        <f ca="1">IFERROR(__xludf.DUMMYFUNCTION("""COMPUTED_VALUE"""),8)</f>
        <v>8</v>
      </c>
      <c r="D1188" s="118" t="str">
        <f ca="1">IFERROR(__xludf.DUMMYFUNCTION("""COMPUTED_VALUE"""),"G")</f>
        <v>G</v>
      </c>
      <c r="E1188" s="118" t="str">
        <f ca="1">IFERROR(__xludf.DUMMYFUNCTION("""COMPUTED_VALUE"""),"F")</f>
        <v>F</v>
      </c>
      <c r="F1188" s="118" t="str">
        <f ca="1">IFERROR(__xludf.DUMMYFUNCTION("""COMPUTED_VALUE"""),"J")</f>
        <v>J</v>
      </c>
      <c r="G1188" s="118">
        <f ca="1">IFERROR(__xludf.DUMMYFUNCTION("""COMPUTED_VALUE"""),7)</f>
        <v>7</v>
      </c>
      <c r="H1188" s="118" t="str">
        <f ca="1">IFERROR(__xludf.DUMMYFUNCTION("""COMPUTED_VALUE"""),"NS")</f>
        <v>NS</v>
      </c>
      <c r="I1188" s="118">
        <f ca="1">IFERROR(__xludf.DUMMYFUNCTION("""COMPUTED_VALUE"""),4)</f>
        <v>4</v>
      </c>
      <c r="J1188" s="118">
        <f ca="1">IFERROR(__xludf.DUMMYFUNCTION("""COMPUTED_VALUE"""),5)</f>
        <v>5</v>
      </c>
      <c r="K1188" s="120">
        <f ca="1">IFERROR(__xludf.DUMMYFUNCTION("""COMPUTED_VALUE"""),57.1)</f>
        <v>57.1</v>
      </c>
      <c r="L1188" s="121"/>
      <c r="M1188" s="120">
        <f ca="1">IFERROR(__xludf.DUMMYFUNCTION("""COMPUTED_VALUE"""),57.1)</f>
        <v>57.1</v>
      </c>
      <c r="N1188" s="121"/>
      <c r="O1188" s="120">
        <f ca="1">IFERROR(__xludf.DUMMYFUNCTION("""COMPUTED_VALUE"""),49.8)</f>
        <v>49.8</v>
      </c>
      <c r="P1188" s="122"/>
      <c r="Q1188" s="123"/>
      <c r="R1188" s="123"/>
      <c r="S1188" s="123" t="str">
        <f ca="1">IFERROR(__xludf.DUMMYFUNCTION("""COMPUTED_VALUE"""),"Stella Pierre")</f>
        <v>Stella Pierre</v>
      </c>
      <c r="T1188" s="123"/>
    </row>
    <row r="1189" spans="1:20" ht="13.8">
      <c r="A1189" s="118" t="str">
        <f ca="1">IFERROR(__xludf.DUMMYFUNCTION("""COMPUTED_VALUE"""),"NS")</f>
        <v>NS</v>
      </c>
      <c r="B1189" s="119" t="str">
        <f ca="1">IFERROR(__xludf.DUMMYFUNCTION("""COMPUTED_VALUE"""),"Morgan Autry")</f>
        <v>Morgan Autry</v>
      </c>
      <c r="C1189" s="118">
        <f ca="1">IFERROR(__xludf.DUMMYFUNCTION("""COMPUTED_VALUE"""),8)</f>
        <v>8</v>
      </c>
      <c r="D1189" s="118" t="str">
        <f ca="1">IFERROR(__xludf.DUMMYFUNCTION("""COMPUTED_VALUE"""),"G")</f>
        <v>G</v>
      </c>
      <c r="E1189" s="118" t="str">
        <f ca="1">IFERROR(__xludf.DUMMYFUNCTION("""COMPUTED_VALUE"""),"F")</f>
        <v>F</v>
      </c>
      <c r="F1189" s="118" t="str">
        <f ca="1">IFERROR(__xludf.DUMMYFUNCTION("""COMPUTED_VALUE"""),"J")</f>
        <v>J</v>
      </c>
      <c r="G1189" s="118">
        <f ca="1">IFERROR(__xludf.DUMMYFUNCTION("""COMPUTED_VALUE"""),7)</f>
        <v>7</v>
      </c>
      <c r="H1189" s="118" t="str">
        <f ca="1">IFERROR(__xludf.DUMMYFUNCTION("""COMPUTED_VALUE"""),"NS")</f>
        <v>NS</v>
      </c>
      <c r="I1189" s="118">
        <f ca="1">IFERROR(__xludf.DUMMYFUNCTION("""COMPUTED_VALUE"""),4)</f>
        <v>4</v>
      </c>
      <c r="J1189" s="118">
        <f ca="1">IFERROR(__xludf.DUMMYFUNCTION("""COMPUTED_VALUE"""),3)</f>
        <v>3</v>
      </c>
      <c r="K1189" s="120">
        <f ca="1">IFERROR(__xludf.DUMMYFUNCTION("""COMPUTED_VALUE"""),28.1)</f>
        <v>28.1</v>
      </c>
      <c r="L1189" s="121"/>
      <c r="M1189" s="120">
        <f ca="1">IFERROR(__xludf.DUMMYFUNCTION("""COMPUTED_VALUE"""),28.1)</f>
        <v>28.1</v>
      </c>
      <c r="N1189" s="121"/>
      <c r="O1189" s="120">
        <f ca="1">IFERROR(__xludf.DUMMYFUNCTION("""COMPUTED_VALUE"""),19.45)</f>
        <v>19.45</v>
      </c>
      <c r="P1189" s="122"/>
      <c r="Q1189" s="123"/>
      <c r="R1189" s="123"/>
      <c r="S1189" s="123" t="str">
        <f ca="1">IFERROR(__xludf.DUMMYFUNCTION("""COMPUTED_VALUE"""),"Stella Tuttle")</f>
        <v>Stella Tuttle</v>
      </c>
      <c r="T1189" s="123"/>
    </row>
    <row r="1190" spans="1:20" ht="13.8">
      <c r="A1190" s="118" t="str">
        <f ca="1">IFERROR(__xludf.DUMMYFUNCTION("""COMPUTED_VALUE"""),"NS")</f>
        <v>NS</v>
      </c>
      <c r="B1190" s="119" t="str">
        <f ca="1">IFERROR(__xludf.DUMMYFUNCTION("""COMPUTED_VALUE"""),"Olivia Dyer")</f>
        <v>Olivia Dyer</v>
      </c>
      <c r="C1190" s="118">
        <f ca="1">IFERROR(__xludf.DUMMYFUNCTION("""COMPUTED_VALUE"""),7)</f>
        <v>7</v>
      </c>
      <c r="D1190" s="118" t="str">
        <f ca="1">IFERROR(__xludf.DUMMYFUNCTION("""COMPUTED_VALUE"""),"G")</f>
        <v>G</v>
      </c>
      <c r="E1190" s="118" t="str">
        <f ca="1">IFERROR(__xludf.DUMMYFUNCTION("""COMPUTED_VALUE"""),"F")</f>
        <v>F</v>
      </c>
      <c r="F1190" s="118" t="str">
        <f ca="1">IFERROR(__xludf.DUMMYFUNCTION("""COMPUTED_VALUE"""),"J")</f>
        <v>J</v>
      </c>
      <c r="G1190" s="118">
        <f ca="1">IFERROR(__xludf.DUMMYFUNCTION("""COMPUTED_VALUE"""),7)</f>
        <v>7</v>
      </c>
      <c r="H1190" s="118" t="str">
        <f ca="1">IFERROR(__xludf.DUMMYFUNCTION("""COMPUTED_VALUE"""),"NS")</f>
        <v>NS</v>
      </c>
      <c r="I1190" s="118">
        <f ca="1">IFERROR(__xludf.DUMMYFUNCTION("""COMPUTED_VALUE"""),4)</f>
        <v>4</v>
      </c>
      <c r="J1190" s="118">
        <f ca="1">IFERROR(__xludf.DUMMYFUNCTION("""COMPUTED_VALUE"""),4)</f>
        <v>4</v>
      </c>
      <c r="K1190" s="120">
        <f ca="1">IFERROR(__xludf.DUMMYFUNCTION("""COMPUTED_VALUE"""),26.5)</f>
        <v>26.5</v>
      </c>
      <c r="L1190" s="121"/>
      <c r="M1190" s="120">
        <f ca="1">IFERROR(__xludf.DUMMYFUNCTION("""COMPUTED_VALUE"""),26.5)</f>
        <v>26.5</v>
      </c>
      <c r="N1190" s="121"/>
      <c r="O1190" s="120">
        <f ca="1">IFERROR(__xludf.DUMMYFUNCTION("""COMPUTED_VALUE"""),12)</f>
        <v>12</v>
      </c>
      <c r="P1190" s="122"/>
      <c r="Q1190" s="123"/>
      <c r="R1190" s="123"/>
      <c r="S1190" s="123" t="str">
        <f ca="1">IFERROR(__xludf.DUMMYFUNCTION("""COMPUTED_VALUE"""),"Suki Golley")</f>
        <v>Suki Golley</v>
      </c>
      <c r="T1190" s="123"/>
    </row>
    <row r="1191" spans="1:20" ht="13.8">
      <c r="A1191" s="118" t="str">
        <f ca="1">IFERROR(__xludf.DUMMYFUNCTION("""COMPUTED_VALUE"""),"NS")</f>
        <v>NS</v>
      </c>
      <c r="B1191" s="119" t="str">
        <f ca="1">IFERROR(__xludf.DUMMYFUNCTION("""COMPUTED_VALUE"""),"Bradley Johnson")</f>
        <v>Bradley Johnson</v>
      </c>
      <c r="C1191" s="118">
        <f ca="1">IFERROR(__xludf.DUMMYFUNCTION("""COMPUTED_VALUE"""),10)</f>
        <v>10</v>
      </c>
      <c r="D1191" s="118" t="str">
        <f ca="1">IFERROR(__xludf.DUMMYFUNCTION("""COMPUTED_VALUE"""),"B")</f>
        <v>B</v>
      </c>
      <c r="E1191" s="118" t="str">
        <f ca="1">IFERROR(__xludf.DUMMYFUNCTION("""COMPUTED_VALUE"""),"F")</f>
        <v>F</v>
      </c>
      <c r="F1191" s="118" t="str">
        <f ca="1">IFERROR(__xludf.DUMMYFUNCTION("""COMPUTED_VALUE"""),"J")</f>
        <v>J</v>
      </c>
      <c r="G1191" s="118">
        <f ca="1">IFERROR(__xludf.DUMMYFUNCTION("""COMPUTED_VALUE"""),7)</f>
        <v>7</v>
      </c>
      <c r="H1191" s="118" t="str">
        <f ca="1">IFERROR(__xludf.DUMMYFUNCTION("""COMPUTED_VALUE"""),"NS")</f>
        <v>NS</v>
      </c>
      <c r="I1191" s="118">
        <f ca="1">IFERROR(__xludf.DUMMYFUNCTION("""COMPUTED_VALUE"""),5)</f>
        <v>5</v>
      </c>
      <c r="J1191" s="118">
        <f ca="1">IFERROR(__xludf.DUMMYFUNCTION("""COMPUTED_VALUE"""),3)</f>
        <v>3</v>
      </c>
      <c r="K1191" s="120">
        <f ca="1">IFERROR(__xludf.DUMMYFUNCTION("""COMPUTED_VALUE"""),41.3)</f>
        <v>41.3</v>
      </c>
      <c r="L1191" s="121"/>
      <c r="M1191" s="120"/>
      <c r="N1191" s="121"/>
      <c r="O1191" s="120">
        <f ca="1">IFERROR(__xludf.DUMMYFUNCTION("""COMPUTED_VALUE"""),30)</f>
        <v>30</v>
      </c>
      <c r="P1191" s="122"/>
      <c r="Q1191" s="123"/>
      <c r="R1191" s="123"/>
      <c r="S1191" s="123" t="str">
        <f ca="1">IFERROR(__xludf.DUMMYFUNCTION("""COMPUTED_VALUE"""),"Sunny Smythe")</f>
        <v>Sunny Smythe</v>
      </c>
      <c r="T1191" s="123"/>
    </row>
    <row r="1192" spans="1:20" ht="13.8">
      <c r="A1192" s="118" t="str">
        <f ca="1">IFERROR(__xludf.DUMMYFUNCTION("""COMPUTED_VALUE"""),"NS")</f>
        <v>NS</v>
      </c>
      <c r="B1192" s="119" t="str">
        <f ca="1">IFERROR(__xludf.DUMMYFUNCTION("""COMPUTED_VALUE"""),"Euston Birkelbach")</f>
        <v>Euston Birkelbach</v>
      </c>
      <c r="C1192" s="118">
        <f ca="1">IFERROR(__xludf.DUMMYFUNCTION("""COMPUTED_VALUE"""),10)</f>
        <v>10</v>
      </c>
      <c r="D1192" s="118" t="str">
        <f ca="1">IFERROR(__xludf.DUMMYFUNCTION("""COMPUTED_VALUE"""),"B")</f>
        <v>B</v>
      </c>
      <c r="E1192" s="118" t="str">
        <f ca="1">IFERROR(__xludf.DUMMYFUNCTION("""COMPUTED_VALUE"""),"F")</f>
        <v>F</v>
      </c>
      <c r="F1192" s="118" t="str">
        <f ca="1">IFERROR(__xludf.DUMMYFUNCTION("""COMPUTED_VALUE"""),"J")</f>
        <v>J</v>
      </c>
      <c r="G1192" s="118">
        <f ca="1">IFERROR(__xludf.DUMMYFUNCTION("""COMPUTED_VALUE"""),7)</f>
        <v>7</v>
      </c>
      <c r="H1192" s="118" t="str">
        <f ca="1">IFERROR(__xludf.DUMMYFUNCTION("""COMPUTED_VALUE"""),"NS")</f>
        <v>NS</v>
      </c>
      <c r="I1192" s="118">
        <f ca="1">IFERROR(__xludf.DUMMYFUNCTION("""COMPUTED_VALUE"""),5)</f>
        <v>5</v>
      </c>
      <c r="J1192" s="118">
        <f ca="1">IFERROR(__xludf.DUMMYFUNCTION("""COMPUTED_VALUE"""),5)</f>
        <v>5</v>
      </c>
      <c r="K1192" s="120">
        <f ca="1">IFERROR(__xludf.DUMMYFUNCTION("""COMPUTED_VALUE"""),38.05)</f>
        <v>38.049999999999997</v>
      </c>
      <c r="L1192" s="121"/>
      <c r="M1192" s="120">
        <f ca="1">IFERROR(__xludf.DUMMYFUNCTION("""COMPUTED_VALUE"""),38.05)</f>
        <v>38.049999999999997</v>
      </c>
      <c r="N1192" s="121"/>
      <c r="O1192" s="120">
        <f ca="1">IFERROR(__xludf.DUMMYFUNCTION("""COMPUTED_VALUE"""),35.25)</f>
        <v>35.25</v>
      </c>
      <c r="P1192" s="122"/>
      <c r="Q1192" s="123"/>
      <c r="R1192" s="123"/>
      <c r="S1192" s="123" t="str">
        <f ca="1">IFERROR(__xludf.DUMMYFUNCTION("""COMPUTED_VALUE"""),"Susan Miller")</f>
        <v>Susan Miller</v>
      </c>
      <c r="T1192" s="123"/>
    </row>
    <row r="1193" spans="1:20" ht="13.8">
      <c r="A1193" s="118" t="str">
        <f ca="1">IFERROR(__xludf.DUMMYFUNCTION("""COMPUTED_VALUE"""),"NS")</f>
        <v>NS</v>
      </c>
      <c r="B1193" s="119" t="str">
        <f ca="1">IFERROR(__xludf.DUMMYFUNCTION("""COMPUTED_VALUE"""),"Isaiah Phillips")</f>
        <v>Isaiah Phillips</v>
      </c>
      <c r="C1193" s="118">
        <f ca="1">IFERROR(__xludf.DUMMYFUNCTION("""COMPUTED_VALUE"""),10)</f>
        <v>10</v>
      </c>
      <c r="D1193" s="118" t="str">
        <f ca="1">IFERROR(__xludf.DUMMYFUNCTION("""COMPUTED_VALUE"""),"B")</f>
        <v>B</v>
      </c>
      <c r="E1193" s="118" t="str">
        <f ca="1">IFERROR(__xludf.DUMMYFUNCTION("""COMPUTED_VALUE"""),"F")</f>
        <v>F</v>
      </c>
      <c r="F1193" s="118" t="str">
        <f ca="1">IFERROR(__xludf.DUMMYFUNCTION("""COMPUTED_VALUE"""),"J")</f>
        <v>J</v>
      </c>
      <c r="G1193" s="118">
        <f ca="1">IFERROR(__xludf.DUMMYFUNCTION("""COMPUTED_VALUE"""),7)</f>
        <v>7</v>
      </c>
      <c r="H1193" s="118" t="str">
        <f ca="1">IFERROR(__xludf.DUMMYFUNCTION("""COMPUTED_VALUE"""),"NS")</f>
        <v>NS</v>
      </c>
      <c r="I1193" s="118">
        <f ca="1">IFERROR(__xludf.DUMMYFUNCTION("""COMPUTED_VALUE"""),5)</f>
        <v>5</v>
      </c>
      <c r="J1193" s="118">
        <f ca="1">IFERROR(__xludf.DUMMYFUNCTION("""COMPUTED_VALUE"""),0)</f>
        <v>0</v>
      </c>
      <c r="K1193" s="120"/>
      <c r="L1193" s="121"/>
      <c r="M1193" s="120"/>
      <c r="N1193" s="121"/>
      <c r="O1193" s="120"/>
      <c r="P1193" s="122"/>
      <c r="Q1193" s="123"/>
      <c r="R1193" s="123"/>
      <c r="S1193" s="123" t="str">
        <f ca="1">IFERROR(__xludf.DUMMYFUNCTION("""COMPUTED_VALUE"""),"Susannah Hill")</f>
        <v>Susannah Hill</v>
      </c>
      <c r="T1193" s="123"/>
    </row>
    <row r="1194" spans="1:20" ht="13.8">
      <c r="A1194" s="118" t="str">
        <f ca="1">IFERROR(__xludf.DUMMYFUNCTION("""COMPUTED_VALUE"""),"NS")</f>
        <v>NS</v>
      </c>
      <c r="B1194" s="119" t="str">
        <f ca="1">IFERROR(__xludf.DUMMYFUNCTION("""COMPUTED_VALUE"""),"Jasper Albers")</f>
        <v>Jasper Albers</v>
      </c>
      <c r="C1194" s="118">
        <f ca="1">IFERROR(__xludf.DUMMYFUNCTION("""COMPUTED_VALUE"""),8)</f>
        <v>8</v>
      </c>
      <c r="D1194" s="118" t="str">
        <f ca="1">IFERROR(__xludf.DUMMYFUNCTION("""COMPUTED_VALUE"""),"B")</f>
        <v>B</v>
      </c>
      <c r="E1194" s="118" t="str">
        <f ca="1">IFERROR(__xludf.DUMMYFUNCTION("""COMPUTED_VALUE"""),"F")</f>
        <v>F</v>
      </c>
      <c r="F1194" s="118" t="str">
        <f ca="1">IFERROR(__xludf.DUMMYFUNCTION("""COMPUTED_VALUE"""),"J")</f>
        <v>J</v>
      </c>
      <c r="G1194" s="118">
        <f ca="1">IFERROR(__xludf.DUMMYFUNCTION("""COMPUTED_VALUE"""),7)</f>
        <v>7</v>
      </c>
      <c r="H1194" s="118" t="str">
        <f ca="1">IFERROR(__xludf.DUMMYFUNCTION("""COMPUTED_VALUE"""),"NS")</f>
        <v>NS</v>
      </c>
      <c r="I1194" s="118">
        <f ca="1">IFERROR(__xludf.DUMMYFUNCTION("""COMPUTED_VALUE"""),5)</f>
        <v>5</v>
      </c>
      <c r="J1194" s="118">
        <f ca="1">IFERROR(__xludf.DUMMYFUNCTION("""COMPUTED_VALUE"""),5)</f>
        <v>5</v>
      </c>
      <c r="K1194" s="120">
        <f ca="1">IFERROR(__xludf.DUMMYFUNCTION("""COMPUTED_VALUE"""),65.85)</f>
        <v>65.849999999999994</v>
      </c>
      <c r="L1194" s="121"/>
      <c r="M1194" s="120">
        <f ca="1">IFERROR(__xludf.DUMMYFUNCTION("""COMPUTED_VALUE"""),54.75)</f>
        <v>54.75</v>
      </c>
      <c r="N1194" s="121"/>
      <c r="O1194" s="120">
        <f ca="1">IFERROR(__xludf.DUMMYFUNCTION("""COMPUTED_VALUE"""),50.2)</f>
        <v>50.2</v>
      </c>
      <c r="P1194" s="122"/>
      <c r="Q1194" s="123"/>
      <c r="R1194" s="123"/>
      <c r="S1194" s="123" t="str">
        <f ca="1">IFERROR(__xludf.DUMMYFUNCTION("""COMPUTED_VALUE"""),"Sutton Boyd")</f>
        <v>Sutton Boyd</v>
      </c>
      <c r="T1194" s="123"/>
    </row>
    <row r="1195" spans="1:20" ht="13.8">
      <c r="A1195" s="118" t="str">
        <f ca="1">IFERROR(__xludf.DUMMYFUNCTION("""COMPUTED_VALUE"""),"NS")</f>
        <v>NS</v>
      </c>
      <c r="B1195" s="119" t="str">
        <f ca="1">IFERROR(__xludf.DUMMYFUNCTION("""COMPUTED_VALUE"""),"Kenzo Bills")</f>
        <v>Kenzo Bills</v>
      </c>
      <c r="C1195" s="118">
        <f ca="1">IFERROR(__xludf.DUMMYFUNCTION("""COMPUTED_VALUE"""),8)</f>
        <v>8</v>
      </c>
      <c r="D1195" s="118" t="str">
        <f ca="1">IFERROR(__xludf.DUMMYFUNCTION("""COMPUTED_VALUE"""),"B")</f>
        <v>B</v>
      </c>
      <c r="E1195" s="118" t="str">
        <f ca="1">IFERROR(__xludf.DUMMYFUNCTION("""COMPUTED_VALUE"""),"F")</f>
        <v>F</v>
      </c>
      <c r="F1195" s="118" t="str">
        <f ca="1">IFERROR(__xludf.DUMMYFUNCTION("""COMPUTED_VALUE"""),"J")</f>
        <v>J</v>
      </c>
      <c r="G1195" s="118">
        <f ca="1">IFERROR(__xludf.DUMMYFUNCTION("""COMPUTED_VALUE"""),7)</f>
        <v>7</v>
      </c>
      <c r="H1195" s="118" t="str">
        <f ca="1">IFERROR(__xludf.DUMMYFUNCTION("""COMPUTED_VALUE"""),"NS")</f>
        <v>NS</v>
      </c>
      <c r="I1195" s="118">
        <f ca="1">IFERROR(__xludf.DUMMYFUNCTION("""COMPUTED_VALUE"""),5)</f>
        <v>5</v>
      </c>
      <c r="J1195" s="118">
        <f ca="1">IFERROR(__xludf.DUMMYFUNCTION("""COMPUTED_VALUE"""),5)</f>
        <v>5</v>
      </c>
      <c r="K1195" s="120">
        <f ca="1">IFERROR(__xludf.DUMMYFUNCTION("""COMPUTED_VALUE"""),65.6)</f>
        <v>65.599999999999994</v>
      </c>
      <c r="L1195" s="121"/>
      <c r="M1195" s="120">
        <f ca="1">IFERROR(__xludf.DUMMYFUNCTION("""COMPUTED_VALUE"""),45.35)</f>
        <v>45.35</v>
      </c>
      <c r="N1195" s="121"/>
      <c r="O1195" s="120">
        <f ca="1">IFERROR(__xludf.DUMMYFUNCTION("""COMPUTED_VALUE"""),52.4)</f>
        <v>52.4</v>
      </c>
      <c r="P1195" s="122"/>
      <c r="Q1195" s="123"/>
      <c r="R1195" s="123"/>
      <c r="S1195" s="123" t="str">
        <f ca="1">IFERROR(__xludf.DUMMYFUNCTION("""COMPUTED_VALUE"""),"Swara Vadlamani")</f>
        <v>Swara Vadlamani</v>
      </c>
      <c r="T1195" s="123"/>
    </row>
    <row r="1196" spans="1:20" ht="13.8">
      <c r="A1196" s="118" t="str">
        <f ca="1">IFERROR(__xludf.DUMMYFUNCTION("""COMPUTED_VALUE"""),"NS")</f>
        <v>NS</v>
      </c>
      <c r="B1196" s="119" t="str">
        <f ca="1">IFERROR(__xludf.DUMMYFUNCTION("""COMPUTED_VALUE"""),"Orion Albers")</f>
        <v>Orion Albers</v>
      </c>
      <c r="C1196" s="118">
        <f ca="1">IFERROR(__xludf.DUMMYFUNCTION("""COMPUTED_VALUE"""),6)</f>
        <v>6</v>
      </c>
      <c r="D1196" s="118" t="str">
        <f ca="1">IFERROR(__xludf.DUMMYFUNCTION("""COMPUTED_VALUE"""),"B")</f>
        <v>B</v>
      </c>
      <c r="E1196" s="118" t="str">
        <f ca="1">IFERROR(__xludf.DUMMYFUNCTION("""COMPUTED_VALUE"""),"F")</f>
        <v>F</v>
      </c>
      <c r="F1196" s="118" t="str">
        <f ca="1">IFERROR(__xludf.DUMMYFUNCTION("""COMPUTED_VALUE"""),"J")</f>
        <v>J</v>
      </c>
      <c r="G1196" s="118">
        <f ca="1">IFERROR(__xludf.DUMMYFUNCTION("""COMPUTED_VALUE"""),7)</f>
        <v>7</v>
      </c>
      <c r="H1196" s="118" t="str">
        <f ca="1">IFERROR(__xludf.DUMMYFUNCTION("""COMPUTED_VALUE"""),"NS")</f>
        <v>NS</v>
      </c>
      <c r="I1196" s="118">
        <f ca="1">IFERROR(__xludf.DUMMYFUNCTION("""COMPUTED_VALUE"""),5)</f>
        <v>5</v>
      </c>
      <c r="J1196" s="118">
        <f ca="1">IFERROR(__xludf.DUMMYFUNCTION("""COMPUTED_VALUE"""),5)</f>
        <v>5</v>
      </c>
      <c r="K1196" s="120">
        <f ca="1">IFERROR(__xludf.DUMMYFUNCTION("""COMPUTED_VALUE"""),13.6)</f>
        <v>13.6</v>
      </c>
      <c r="L1196" s="121"/>
      <c r="M1196" s="120">
        <f ca="1">IFERROR(__xludf.DUMMYFUNCTION("""COMPUTED_VALUE"""),10.5)</f>
        <v>10.5</v>
      </c>
      <c r="N1196" s="121"/>
      <c r="O1196" s="120">
        <f ca="1">IFERROR(__xludf.DUMMYFUNCTION("""COMPUTED_VALUE"""),13.6)</f>
        <v>13.6</v>
      </c>
      <c r="P1196" s="122"/>
      <c r="Q1196" s="123"/>
      <c r="R1196" s="123"/>
      <c r="S1196" s="123" t="str">
        <f ca="1">IFERROR(__xludf.DUMMYFUNCTION("""COMPUTED_VALUE"""),"Sydney Lawyer")</f>
        <v>Sydney Lawyer</v>
      </c>
      <c r="T1196" s="123"/>
    </row>
    <row r="1197" spans="1:20" ht="13.8">
      <c r="A1197" s="118" t="str">
        <f ca="1">IFERROR(__xludf.DUMMYFUNCTION("""COMPUTED_VALUE"""),"NS")</f>
        <v>NS</v>
      </c>
      <c r="B1197" s="119" t="str">
        <f ca="1">IFERROR(__xludf.DUMMYFUNCTION("""COMPUTED_VALUE"""),"Avery Nguyen")</f>
        <v>Avery Nguyen</v>
      </c>
      <c r="C1197" s="118">
        <f ca="1">IFERROR(__xludf.DUMMYFUNCTION("""COMPUTED_VALUE"""),11)</f>
        <v>11</v>
      </c>
      <c r="D1197" s="118" t="str">
        <f ca="1">IFERROR(__xludf.DUMMYFUNCTION("""COMPUTED_VALUE"""),"G")</f>
        <v>G</v>
      </c>
      <c r="E1197" s="118" t="str">
        <f ca="1">IFERROR(__xludf.DUMMYFUNCTION("""COMPUTED_VALUE"""),"J")</f>
        <v>J</v>
      </c>
      <c r="F1197" s="118" t="str">
        <f ca="1">IFERROR(__xludf.DUMMYFUNCTION("""COMPUTED_VALUE"""),"I")</f>
        <v>I</v>
      </c>
      <c r="G1197" s="118">
        <f ca="1">IFERROR(__xludf.DUMMYFUNCTION("""COMPUTED_VALUE"""),7)</f>
        <v>7</v>
      </c>
      <c r="H1197" s="118" t="str">
        <f ca="1">IFERROR(__xludf.DUMMYFUNCTION("""COMPUTED_VALUE"""),"NS")</f>
        <v>NS</v>
      </c>
      <c r="I1197" s="118">
        <f ca="1">IFERROR(__xludf.DUMMYFUNCTION("""COMPUTED_VALUE"""),6)</f>
        <v>6</v>
      </c>
      <c r="J1197" s="118">
        <f ca="1">IFERROR(__xludf.DUMMYFUNCTION("""COMPUTED_VALUE"""),3)</f>
        <v>3</v>
      </c>
      <c r="K1197" s="120">
        <f ca="1">IFERROR(__xludf.DUMMYFUNCTION("""COMPUTED_VALUE"""),62.75)</f>
        <v>62.75</v>
      </c>
      <c r="L1197" s="121"/>
      <c r="M1197" s="120"/>
      <c r="N1197" s="121"/>
      <c r="O1197" s="120"/>
      <c r="P1197" s="122"/>
      <c r="Q1197" s="123"/>
      <c r="R1197" s="123"/>
      <c r="S1197" s="123" t="str">
        <f ca="1">IFERROR(__xludf.DUMMYFUNCTION("""COMPUTED_VALUE"""),"Sydney Magnuson")</f>
        <v>Sydney Magnuson</v>
      </c>
      <c r="T1197" s="123"/>
    </row>
    <row r="1198" spans="1:20" ht="13.8">
      <c r="A1198" s="118" t="str">
        <f ca="1">IFERROR(__xludf.DUMMYFUNCTION("""COMPUTED_VALUE"""),"NS")</f>
        <v>NS</v>
      </c>
      <c r="B1198" s="119" t="str">
        <f ca="1">IFERROR(__xludf.DUMMYFUNCTION("""COMPUTED_VALUE"""),"Chloe Field")</f>
        <v>Chloe Field</v>
      </c>
      <c r="C1198" s="118">
        <f ca="1">IFERROR(__xludf.DUMMYFUNCTION("""COMPUTED_VALUE"""),12)</f>
        <v>12</v>
      </c>
      <c r="D1198" s="118" t="str">
        <f ca="1">IFERROR(__xludf.DUMMYFUNCTION("""COMPUTED_VALUE"""),"G")</f>
        <v>G</v>
      </c>
      <c r="E1198" s="118" t="str">
        <f ca="1">IFERROR(__xludf.DUMMYFUNCTION("""COMPUTED_VALUE"""),"J")</f>
        <v>J</v>
      </c>
      <c r="F1198" s="118" t="str">
        <f ca="1">IFERROR(__xludf.DUMMYFUNCTION("""COMPUTED_VALUE"""),"I")</f>
        <v>I</v>
      </c>
      <c r="G1198" s="118">
        <f ca="1">IFERROR(__xludf.DUMMYFUNCTION("""COMPUTED_VALUE"""),7)</f>
        <v>7</v>
      </c>
      <c r="H1198" s="118" t="str">
        <f ca="1">IFERROR(__xludf.DUMMYFUNCTION("""COMPUTED_VALUE"""),"NS")</f>
        <v>NS</v>
      </c>
      <c r="I1198" s="118">
        <f ca="1">IFERROR(__xludf.DUMMYFUNCTION("""COMPUTED_VALUE"""),6)</f>
        <v>6</v>
      </c>
      <c r="J1198" s="118">
        <f ca="1">IFERROR(__xludf.DUMMYFUNCTION("""COMPUTED_VALUE"""),3)</f>
        <v>3</v>
      </c>
      <c r="K1198" s="120">
        <f ca="1">IFERROR(__xludf.DUMMYFUNCTION("""COMPUTED_VALUE"""),84.55)</f>
        <v>84.55</v>
      </c>
      <c r="L1198" s="121"/>
      <c r="M1198" s="120">
        <f ca="1">IFERROR(__xludf.DUMMYFUNCTION("""COMPUTED_VALUE"""),84.55)</f>
        <v>84.55</v>
      </c>
      <c r="N1198" s="121"/>
      <c r="O1198" s="120">
        <f ca="1">IFERROR(__xludf.DUMMYFUNCTION("""COMPUTED_VALUE"""),80.8)</f>
        <v>80.8</v>
      </c>
      <c r="P1198" s="122"/>
      <c r="Q1198" s="123"/>
      <c r="R1198" s="123"/>
      <c r="S1198" s="123" t="str">
        <f ca="1">IFERROR(__xludf.DUMMYFUNCTION("""COMPUTED_VALUE"""),"Sydney Stewart")</f>
        <v>Sydney Stewart</v>
      </c>
      <c r="T1198" s="123"/>
    </row>
    <row r="1199" spans="1:20" ht="13.8">
      <c r="A1199" s="118" t="str">
        <f ca="1">IFERROR(__xludf.DUMMYFUNCTION("""COMPUTED_VALUE"""),"NS")</f>
        <v>NS</v>
      </c>
      <c r="B1199" s="119" t="str">
        <f ca="1">IFERROR(__xludf.DUMMYFUNCTION("""COMPUTED_VALUE"""),"Evie Spickelmier")</f>
        <v>Evie Spickelmier</v>
      </c>
      <c r="C1199" s="118">
        <f ca="1">IFERROR(__xludf.DUMMYFUNCTION("""COMPUTED_VALUE"""),11)</f>
        <v>11</v>
      </c>
      <c r="D1199" s="118" t="str">
        <f ca="1">IFERROR(__xludf.DUMMYFUNCTION("""COMPUTED_VALUE"""),"G")</f>
        <v>G</v>
      </c>
      <c r="E1199" s="118" t="str">
        <f ca="1">IFERROR(__xludf.DUMMYFUNCTION("""COMPUTED_VALUE"""),"J")</f>
        <v>J</v>
      </c>
      <c r="F1199" s="118" t="str">
        <f ca="1">IFERROR(__xludf.DUMMYFUNCTION("""COMPUTED_VALUE"""),"I")</f>
        <v>I</v>
      </c>
      <c r="G1199" s="118">
        <f ca="1">IFERROR(__xludf.DUMMYFUNCTION("""COMPUTED_VALUE"""),7)</f>
        <v>7</v>
      </c>
      <c r="H1199" s="118" t="str">
        <f ca="1">IFERROR(__xludf.DUMMYFUNCTION("""COMPUTED_VALUE"""),"NS")</f>
        <v>NS</v>
      </c>
      <c r="I1199" s="118">
        <f ca="1">IFERROR(__xludf.DUMMYFUNCTION("""COMPUTED_VALUE"""),6)</f>
        <v>6</v>
      </c>
      <c r="J1199" s="118">
        <f ca="1">IFERROR(__xludf.DUMMYFUNCTION("""COMPUTED_VALUE"""),4)</f>
        <v>4</v>
      </c>
      <c r="K1199" s="120">
        <f ca="1">IFERROR(__xludf.DUMMYFUNCTION("""COMPUTED_VALUE"""),81.3)</f>
        <v>81.3</v>
      </c>
      <c r="L1199" s="121"/>
      <c r="M1199" s="120"/>
      <c r="N1199" s="121"/>
      <c r="O1199" s="120">
        <f ca="1">IFERROR(__xludf.DUMMYFUNCTION("""COMPUTED_VALUE"""),81.3)</f>
        <v>81.3</v>
      </c>
      <c r="P1199" s="122"/>
      <c r="Q1199" s="123"/>
      <c r="R1199" s="123"/>
      <c r="S1199" s="123" t="str">
        <f ca="1">IFERROR(__xludf.DUMMYFUNCTION("""COMPUTED_VALUE"""),"Sydney White")</f>
        <v>Sydney White</v>
      </c>
      <c r="T1199" s="123"/>
    </row>
    <row r="1200" spans="1:20" ht="13.8">
      <c r="A1200" s="118" t="str">
        <f ca="1">IFERROR(__xludf.DUMMYFUNCTION("""COMPUTED_VALUE"""),"NS")</f>
        <v>NS</v>
      </c>
      <c r="B1200" s="119" t="str">
        <f ca="1">IFERROR(__xludf.DUMMYFUNCTION("""COMPUTED_VALUE"""),"Gabi Simone")</f>
        <v>Gabi Simone</v>
      </c>
      <c r="C1200" s="118">
        <f ca="1">IFERROR(__xludf.DUMMYFUNCTION("""COMPUTED_VALUE"""),12)</f>
        <v>12</v>
      </c>
      <c r="D1200" s="118" t="str">
        <f ca="1">IFERROR(__xludf.DUMMYFUNCTION("""COMPUTED_VALUE"""),"G")</f>
        <v>G</v>
      </c>
      <c r="E1200" s="118" t="str">
        <f ca="1">IFERROR(__xludf.DUMMYFUNCTION("""COMPUTED_VALUE"""),"J")</f>
        <v>J</v>
      </c>
      <c r="F1200" s="118" t="str">
        <f ca="1">IFERROR(__xludf.DUMMYFUNCTION("""COMPUTED_VALUE"""),"I")</f>
        <v>I</v>
      </c>
      <c r="G1200" s="118">
        <f ca="1">IFERROR(__xludf.DUMMYFUNCTION("""COMPUTED_VALUE"""),7)</f>
        <v>7</v>
      </c>
      <c r="H1200" s="118" t="str">
        <f ca="1">IFERROR(__xludf.DUMMYFUNCTION("""COMPUTED_VALUE"""),"NS")</f>
        <v>NS</v>
      </c>
      <c r="I1200" s="118">
        <f ca="1">IFERROR(__xludf.DUMMYFUNCTION("""COMPUTED_VALUE"""),6)</f>
        <v>6</v>
      </c>
      <c r="J1200" s="118">
        <f ca="1">IFERROR(__xludf.DUMMYFUNCTION("""COMPUTED_VALUE"""),5)</f>
        <v>5</v>
      </c>
      <c r="K1200" s="120">
        <f ca="1">IFERROR(__xludf.DUMMYFUNCTION("""COMPUTED_VALUE"""),91.65)</f>
        <v>91.65</v>
      </c>
      <c r="L1200" s="121"/>
      <c r="M1200" s="120">
        <f ca="1">IFERROR(__xludf.DUMMYFUNCTION("""COMPUTED_VALUE"""),91.65)</f>
        <v>91.65</v>
      </c>
      <c r="N1200" s="121"/>
      <c r="O1200" s="120">
        <f ca="1">IFERROR(__xludf.DUMMYFUNCTION("""COMPUTED_VALUE"""),90)</f>
        <v>90</v>
      </c>
      <c r="P1200" s="122"/>
      <c r="Q1200" s="123"/>
      <c r="R1200" s="123"/>
      <c r="S1200" s="123" t="str">
        <f ca="1">IFERROR(__xludf.DUMMYFUNCTION("""COMPUTED_VALUE"""),"Tabby Shimooka")</f>
        <v>Tabby Shimooka</v>
      </c>
      <c r="T1200" s="123"/>
    </row>
    <row r="1201" spans="1:20" ht="13.8">
      <c r="A1201" s="118" t="str">
        <f ca="1">IFERROR(__xludf.DUMMYFUNCTION("""COMPUTED_VALUE"""),"NS")</f>
        <v>NS</v>
      </c>
      <c r="B1201" s="119" t="str">
        <f ca="1">IFERROR(__xludf.DUMMYFUNCTION("""COMPUTED_VALUE"""),"Natalia Haley")</f>
        <v>Natalia Haley</v>
      </c>
      <c r="C1201" s="118">
        <f ca="1">IFERROR(__xludf.DUMMYFUNCTION("""COMPUTED_VALUE"""),12)</f>
        <v>12</v>
      </c>
      <c r="D1201" s="118" t="str">
        <f ca="1">IFERROR(__xludf.DUMMYFUNCTION("""COMPUTED_VALUE"""),"G")</f>
        <v>G</v>
      </c>
      <c r="E1201" s="118" t="str">
        <f ca="1">IFERROR(__xludf.DUMMYFUNCTION("""COMPUTED_VALUE"""),"J")</f>
        <v>J</v>
      </c>
      <c r="F1201" s="118" t="str">
        <f ca="1">IFERROR(__xludf.DUMMYFUNCTION("""COMPUTED_VALUE"""),"I")</f>
        <v>I</v>
      </c>
      <c r="G1201" s="118">
        <f ca="1">IFERROR(__xludf.DUMMYFUNCTION("""COMPUTED_VALUE"""),7)</f>
        <v>7</v>
      </c>
      <c r="H1201" s="118" t="str">
        <f ca="1">IFERROR(__xludf.DUMMYFUNCTION("""COMPUTED_VALUE"""),"NS")</f>
        <v>NS</v>
      </c>
      <c r="I1201" s="118">
        <f ca="1">IFERROR(__xludf.DUMMYFUNCTION("""COMPUTED_VALUE"""),6)</f>
        <v>6</v>
      </c>
      <c r="J1201" s="118">
        <f ca="1">IFERROR(__xludf.DUMMYFUNCTION("""COMPUTED_VALUE"""),5)</f>
        <v>5</v>
      </c>
      <c r="K1201" s="120">
        <f ca="1">IFERROR(__xludf.DUMMYFUNCTION("""COMPUTED_VALUE"""),105)</f>
        <v>105</v>
      </c>
      <c r="L1201" s="121"/>
      <c r="M1201" s="120">
        <f ca="1">IFERROR(__xludf.DUMMYFUNCTION("""COMPUTED_VALUE"""),105)</f>
        <v>105</v>
      </c>
      <c r="N1201" s="121"/>
      <c r="O1201" s="120">
        <f ca="1">IFERROR(__xludf.DUMMYFUNCTION("""COMPUTED_VALUE"""),-113.15)</f>
        <v>-113.15</v>
      </c>
      <c r="P1201" s="122"/>
      <c r="Q1201" s="123"/>
      <c r="R1201" s="123"/>
      <c r="S1201" s="123" t="str">
        <f ca="1">IFERROR(__xludf.DUMMYFUNCTION("""COMPUTED_VALUE"""),"Tabitha Thomas")</f>
        <v>Tabitha Thomas</v>
      </c>
      <c r="T1201" s="123"/>
    </row>
    <row r="1202" spans="1:20" ht="13.8">
      <c r="A1202" s="118" t="str">
        <f ca="1">IFERROR(__xludf.DUMMYFUNCTION("""COMPUTED_VALUE"""),"NS")</f>
        <v>NS</v>
      </c>
      <c r="B1202" s="119" t="str">
        <f ca="1">IFERROR(__xludf.DUMMYFUNCTION("""COMPUTED_VALUE"""),"Alexi Ramis")</f>
        <v>Alexi Ramis</v>
      </c>
      <c r="C1202" s="118">
        <f ca="1">IFERROR(__xludf.DUMMYFUNCTION("""COMPUTED_VALUE"""),11)</f>
        <v>11</v>
      </c>
      <c r="D1202" s="118" t="str">
        <f ca="1">IFERROR(__xludf.DUMMYFUNCTION("""COMPUTED_VALUE"""),"B")</f>
        <v>B</v>
      </c>
      <c r="E1202" s="118" t="str">
        <f ca="1">IFERROR(__xludf.DUMMYFUNCTION("""COMPUTED_VALUE"""),"J")</f>
        <v>J</v>
      </c>
      <c r="F1202" s="118" t="str">
        <f ca="1">IFERROR(__xludf.DUMMYFUNCTION("""COMPUTED_VALUE"""),"I")</f>
        <v>I</v>
      </c>
      <c r="G1202" s="118">
        <f ca="1">IFERROR(__xludf.DUMMYFUNCTION("""COMPUTED_VALUE"""),7)</f>
        <v>7</v>
      </c>
      <c r="H1202" s="118" t="str">
        <f ca="1">IFERROR(__xludf.DUMMYFUNCTION("""COMPUTED_VALUE"""),"NS")</f>
        <v>NS</v>
      </c>
      <c r="I1202" s="118">
        <f ca="1">IFERROR(__xludf.DUMMYFUNCTION("""COMPUTED_VALUE"""),7)</f>
        <v>7</v>
      </c>
      <c r="J1202" s="118">
        <f ca="1">IFERROR(__xludf.DUMMYFUNCTION("""COMPUTED_VALUE"""),2)</f>
        <v>2</v>
      </c>
      <c r="K1202" s="120">
        <f ca="1">IFERROR(__xludf.DUMMYFUNCTION("""COMPUTED_VALUE"""),57.75)</f>
        <v>57.75</v>
      </c>
      <c r="L1202" s="121"/>
      <c r="M1202" s="120"/>
      <c r="N1202" s="121"/>
      <c r="O1202" s="120"/>
      <c r="P1202" s="122"/>
      <c r="Q1202" s="123"/>
      <c r="R1202" s="123"/>
      <c r="S1202" s="123" t="str">
        <f ca="1">IFERROR(__xludf.DUMMYFUNCTION("""COMPUTED_VALUE"""),"Taityn Speier")</f>
        <v>Taityn Speier</v>
      </c>
      <c r="T1202" s="123"/>
    </row>
    <row r="1203" spans="1:20" ht="13.8">
      <c r="A1203" s="118" t="str">
        <f ca="1">IFERROR(__xludf.DUMMYFUNCTION("""COMPUTED_VALUE"""),"NS")</f>
        <v>NS</v>
      </c>
      <c r="B1203" s="119" t="str">
        <f ca="1">IFERROR(__xludf.DUMMYFUNCTION("""COMPUTED_VALUE"""),"Bennett Birkelbach")</f>
        <v>Bennett Birkelbach</v>
      </c>
      <c r="C1203" s="118">
        <f ca="1">IFERROR(__xludf.DUMMYFUNCTION("""COMPUTED_VALUE"""),12)</f>
        <v>12</v>
      </c>
      <c r="D1203" s="118" t="str">
        <f ca="1">IFERROR(__xludf.DUMMYFUNCTION("""COMPUTED_VALUE"""),"B")</f>
        <v>B</v>
      </c>
      <c r="E1203" s="118" t="str">
        <f ca="1">IFERROR(__xludf.DUMMYFUNCTION("""COMPUTED_VALUE"""),"J")</f>
        <v>J</v>
      </c>
      <c r="F1203" s="118" t="str">
        <f ca="1">IFERROR(__xludf.DUMMYFUNCTION("""COMPUTED_VALUE"""),"I")</f>
        <v>I</v>
      </c>
      <c r="G1203" s="118">
        <f ca="1">IFERROR(__xludf.DUMMYFUNCTION("""COMPUTED_VALUE"""),7)</f>
        <v>7</v>
      </c>
      <c r="H1203" s="118" t="str">
        <f ca="1">IFERROR(__xludf.DUMMYFUNCTION("""COMPUTED_VALUE"""),"NS")</f>
        <v>NS</v>
      </c>
      <c r="I1203" s="118">
        <f ca="1">IFERROR(__xludf.DUMMYFUNCTION("""COMPUTED_VALUE"""),7)</f>
        <v>7</v>
      </c>
      <c r="J1203" s="118">
        <f ca="1">IFERROR(__xludf.DUMMYFUNCTION("""COMPUTED_VALUE"""),4)</f>
        <v>4</v>
      </c>
      <c r="K1203" s="120">
        <f ca="1">IFERROR(__xludf.DUMMYFUNCTION("""COMPUTED_VALUE"""),52)</f>
        <v>52</v>
      </c>
      <c r="L1203" s="121"/>
      <c r="M1203" s="120">
        <f ca="1">IFERROR(__xludf.DUMMYFUNCTION("""COMPUTED_VALUE"""),27.9)</f>
        <v>27.9</v>
      </c>
      <c r="N1203" s="121"/>
      <c r="O1203" s="120">
        <f ca="1">IFERROR(__xludf.DUMMYFUNCTION("""COMPUTED_VALUE"""),52)</f>
        <v>52</v>
      </c>
      <c r="P1203" s="122"/>
      <c r="Q1203" s="123"/>
      <c r="R1203" s="123"/>
      <c r="S1203" s="123" t="str">
        <f ca="1">IFERROR(__xludf.DUMMYFUNCTION("""COMPUTED_VALUE"""),"Talya Wright")</f>
        <v>Talya Wright</v>
      </c>
      <c r="T1203" s="123"/>
    </row>
    <row r="1204" spans="1:20" ht="13.8">
      <c r="A1204" s="118" t="str">
        <f ca="1">IFERROR(__xludf.DUMMYFUNCTION("""COMPUTED_VALUE"""),"NS")</f>
        <v>NS</v>
      </c>
      <c r="B1204" s="119" t="str">
        <f ca="1">IFERROR(__xludf.DUMMYFUNCTION("""COMPUTED_VALUE"""),"Carlos Manuel Iguina Espinoza")</f>
        <v>Carlos Manuel Iguina Espinoza</v>
      </c>
      <c r="C1204" s="118">
        <f ca="1">IFERROR(__xludf.DUMMYFUNCTION("""COMPUTED_VALUE"""),12)</f>
        <v>12</v>
      </c>
      <c r="D1204" s="118" t="str">
        <f ca="1">IFERROR(__xludf.DUMMYFUNCTION("""COMPUTED_VALUE"""),"B")</f>
        <v>B</v>
      </c>
      <c r="E1204" s="118" t="str">
        <f ca="1">IFERROR(__xludf.DUMMYFUNCTION("""COMPUTED_VALUE"""),"J")</f>
        <v>J</v>
      </c>
      <c r="F1204" s="118" t="str">
        <f ca="1">IFERROR(__xludf.DUMMYFUNCTION("""COMPUTED_VALUE"""),"I")</f>
        <v>I</v>
      </c>
      <c r="G1204" s="118">
        <f ca="1">IFERROR(__xludf.DUMMYFUNCTION("""COMPUTED_VALUE"""),7)</f>
        <v>7</v>
      </c>
      <c r="H1204" s="118" t="str">
        <f ca="1">IFERROR(__xludf.DUMMYFUNCTION("""COMPUTED_VALUE"""),"NS")</f>
        <v>NS</v>
      </c>
      <c r="I1204" s="118">
        <f ca="1">IFERROR(__xludf.DUMMYFUNCTION("""COMPUTED_VALUE"""),7)</f>
        <v>7</v>
      </c>
      <c r="J1204" s="118">
        <f ca="1">IFERROR(__xludf.DUMMYFUNCTION("""COMPUTED_VALUE"""),4)</f>
        <v>4</v>
      </c>
      <c r="K1204" s="120">
        <f ca="1">IFERROR(__xludf.DUMMYFUNCTION("""COMPUTED_VALUE"""),95.6)</f>
        <v>95.6</v>
      </c>
      <c r="L1204" s="121"/>
      <c r="M1204" s="120"/>
      <c r="N1204" s="121"/>
      <c r="O1204" s="120">
        <f ca="1">IFERROR(__xludf.DUMMYFUNCTION("""COMPUTED_VALUE"""),95.6)</f>
        <v>95.6</v>
      </c>
      <c r="P1204" s="122"/>
      <c r="Q1204" s="123"/>
      <c r="R1204" s="123"/>
      <c r="S1204" s="123" t="str">
        <f ca="1">IFERROR(__xludf.DUMMYFUNCTION("""COMPUTED_VALUE"""),"Tamar Davitian")</f>
        <v>Tamar Davitian</v>
      </c>
      <c r="T1204" s="123"/>
    </row>
    <row r="1205" spans="1:20" ht="13.8">
      <c r="A1205" s="118" t="str">
        <f ca="1">IFERROR(__xludf.DUMMYFUNCTION("""COMPUTED_VALUE"""),"NS")</f>
        <v>NS</v>
      </c>
      <c r="B1205" s="119" t="str">
        <f ca="1">IFERROR(__xludf.DUMMYFUNCTION("""COMPUTED_VALUE"""),"Phil Bernard")</f>
        <v>Phil Bernard</v>
      </c>
      <c r="C1205" s="118">
        <f ca="1">IFERROR(__xludf.DUMMYFUNCTION("""COMPUTED_VALUE"""),12)</f>
        <v>12</v>
      </c>
      <c r="D1205" s="118" t="str">
        <f ca="1">IFERROR(__xludf.DUMMYFUNCTION("""COMPUTED_VALUE"""),"B")</f>
        <v>B</v>
      </c>
      <c r="E1205" s="118" t="str">
        <f ca="1">IFERROR(__xludf.DUMMYFUNCTION("""COMPUTED_VALUE"""),"J")</f>
        <v>J</v>
      </c>
      <c r="F1205" s="118" t="str">
        <f ca="1">IFERROR(__xludf.DUMMYFUNCTION("""COMPUTED_VALUE"""),"I")</f>
        <v>I</v>
      </c>
      <c r="G1205" s="118">
        <f ca="1">IFERROR(__xludf.DUMMYFUNCTION("""COMPUTED_VALUE"""),7)</f>
        <v>7</v>
      </c>
      <c r="H1205" s="118" t="str">
        <f ca="1">IFERROR(__xludf.DUMMYFUNCTION("""COMPUTED_VALUE"""),"NS")</f>
        <v>NS</v>
      </c>
      <c r="I1205" s="118">
        <f ca="1">IFERROR(__xludf.DUMMYFUNCTION("""COMPUTED_VALUE"""),7)</f>
        <v>7</v>
      </c>
      <c r="J1205" s="118">
        <f ca="1">IFERROR(__xludf.DUMMYFUNCTION("""COMPUTED_VALUE"""),4)</f>
        <v>4</v>
      </c>
      <c r="K1205" s="120">
        <f ca="1">IFERROR(__xludf.DUMMYFUNCTION("""COMPUTED_VALUE"""),78.7)</f>
        <v>78.7</v>
      </c>
      <c r="L1205" s="121"/>
      <c r="M1205" s="120"/>
      <c r="N1205" s="121"/>
      <c r="O1205" s="120">
        <f ca="1">IFERROR(__xludf.DUMMYFUNCTION("""COMPUTED_VALUE"""),73.55)</f>
        <v>73.55</v>
      </c>
      <c r="P1205" s="122"/>
      <c r="Q1205" s="123"/>
      <c r="R1205" s="123"/>
      <c r="S1205" s="123" t="str">
        <f ca="1">IFERROR(__xludf.DUMMYFUNCTION("""COMPUTED_VALUE"""),"Tanisa Kanchanawanchai")</f>
        <v>Tanisa Kanchanawanchai</v>
      </c>
      <c r="T1205" s="123"/>
    </row>
    <row r="1206" spans="1:20" ht="13.8">
      <c r="A1206" s="118" t="str">
        <f ca="1">IFERROR(__xludf.DUMMYFUNCTION("""COMPUTED_VALUE"""),"NS")</f>
        <v>NS</v>
      </c>
      <c r="B1206" s="119" t="str">
        <f ca="1">IFERROR(__xludf.DUMMYFUNCTION("""COMPUTED_VALUE"""),"Ryan Guy")</f>
        <v>Ryan Guy</v>
      </c>
      <c r="C1206" s="118">
        <f ca="1">IFERROR(__xludf.DUMMYFUNCTION("""COMPUTED_VALUE"""),12)</f>
        <v>12</v>
      </c>
      <c r="D1206" s="118" t="str">
        <f ca="1">IFERROR(__xludf.DUMMYFUNCTION("""COMPUTED_VALUE"""),"B")</f>
        <v>B</v>
      </c>
      <c r="E1206" s="118" t="str">
        <f ca="1">IFERROR(__xludf.DUMMYFUNCTION("""COMPUTED_VALUE"""),"J")</f>
        <v>J</v>
      </c>
      <c r="F1206" s="118" t="str">
        <f ca="1">IFERROR(__xludf.DUMMYFUNCTION("""COMPUTED_VALUE"""),"I")</f>
        <v>I</v>
      </c>
      <c r="G1206" s="118">
        <f ca="1">IFERROR(__xludf.DUMMYFUNCTION("""COMPUTED_VALUE"""),7)</f>
        <v>7</v>
      </c>
      <c r="H1206" s="118" t="str">
        <f ca="1">IFERROR(__xludf.DUMMYFUNCTION("""COMPUTED_VALUE"""),"NS")</f>
        <v>NS</v>
      </c>
      <c r="I1206" s="118">
        <f ca="1">IFERROR(__xludf.DUMMYFUNCTION("""COMPUTED_VALUE"""),7)</f>
        <v>7</v>
      </c>
      <c r="J1206" s="118">
        <f ca="1">IFERROR(__xludf.DUMMYFUNCTION("""COMPUTED_VALUE"""),3)</f>
        <v>3</v>
      </c>
      <c r="K1206" s="120">
        <f ca="1">IFERROR(__xludf.DUMMYFUNCTION("""COMPUTED_VALUE"""),80.15)</f>
        <v>80.150000000000006</v>
      </c>
      <c r="L1206" s="121"/>
      <c r="M1206" s="120">
        <f ca="1">IFERROR(__xludf.DUMMYFUNCTION("""COMPUTED_VALUE"""),77.6)</f>
        <v>77.599999999999994</v>
      </c>
      <c r="N1206" s="121"/>
      <c r="O1206" s="120">
        <f ca="1">IFERROR(__xludf.DUMMYFUNCTION("""COMPUTED_VALUE"""),80.15)</f>
        <v>80.150000000000006</v>
      </c>
      <c r="P1206" s="122"/>
      <c r="Q1206" s="123"/>
      <c r="R1206" s="123"/>
      <c r="S1206" s="123" t="str">
        <f ca="1">IFERROR(__xludf.DUMMYFUNCTION("""COMPUTED_VALUE"""),"Tara Farid")</f>
        <v>Tara Farid</v>
      </c>
      <c r="T1206" s="123"/>
    </row>
    <row r="1207" spans="1:20" ht="13.8">
      <c r="A1207" s="118" t="str">
        <f ca="1">IFERROR(__xludf.DUMMYFUNCTION("""COMPUTED_VALUE"""),"NS")</f>
        <v>NS</v>
      </c>
      <c r="B1207" s="119" t="str">
        <f ca="1">IFERROR(__xludf.DUMMYFUNCTION("""COMPUTED_VALUE"""),"Yousef Chawki")</f>
        <v>Yousef Chawki</v>
      </c>
      <c r="C1207" s="118">
        <f ca="1">IFERROR(__xludf.DUMMYFUNCTION("""COMPUTED_VALUE"""),12)</f>
        <v>12</v>
      </c>
      <c r="D1207" s="118" t="str">
        <f ca="1">IFERROR(__xludf.DUMMYFUNCTION("""COMPUTED_VALUE"""),"B")</f>
        <v>B</v>
      </c>
      <c r="E1207" s="118" t="str">
        <f ca="1">IFERROR(__xludf.DUMMYFUNCTION("""COMPUTED_VALUE"""),"J")</f>
        <v>J</v>
      </c>
      <c r="F1207" s="118" t="str">
        <f ca="1">IFERROR(__xludf.DUMMYFUNCTION("""COMPUTED_VALUE"""),"I")</f>
        <v>I</v>
      </c>
      <c r="G1207" s="118">
        <f ca="1">IFERROR(__xludf.DUMMYFUNCTION("""COMPUTED_VALUE"""),7)</f>
        <v>7</v>
      </c>
      <c r="H1207" s="118" t="str">
        <f ca="1">IFERROR(__xludf.DUMMYFUNCTION("""COMPUTED_VALUE"""),"NS")</f>
        <v>NS</v>
      </c>
      <c r="I1207" s="118">
        <f ca="1">IFERROR(__xludf.DUMMYFUNCTION("""COMPUTED_VALUE"""),7)</f>
        <v>7</v>
      </c>
      <c r="J1207" s="118">
        <f ca="1">IFERROR(__xludf.DUMMYFUNCTION("""COMPUTED_VALUE"""),0)</f>
        <v>0</v>
      </c>
      <c r="K1207" s="120"/>
      <c r="L1207" s="121"/>
      <c r="M1207" s="120"/>
      <c r="N1207" s="121"/>
      <c r="O1207" s="120"/>
      <c r="P1207" s="122"/>
      <c r="Q1207" s="123"/>
      <c r="R1207" s="123"/>
      <c r="S1207" s="123" t="str">
        <f ca="1">IFERROR(__xludf.DUMMYFUNCTION("""COMPUTED_VALUE"""),"Taryn Kaiser")</f>
        <v>Taryn Kaiser</v>
      </c>
      <c r="T1207" s="123"/>
    </row>
    <row r="1208" spans="1:20" ht="13.8">
      <c r="A1208" s="118" t="str">
        <f ca="1">IFERROR(__xludf.DUMMYFUNCTION("""COMPUTED_VALUE"""),"NS")</f>
        <v>NS</v>
      </c>
      <c r="B1208" s="119" t="str">
        <f ca="1">IFERROR(__xludf.DUMMYFUNCTION("""COMPUTED_VALUE"""),"Emily Field")</f>
        <v>Emily Field</v>
      </c>
      <c r="C1208" s="118">
        <f ca="1">IFERROR(__xludf.DUMMYFUNCTION("""COMPUTED_VALUE"""),14)</f>
        <v>14</v>
      </c>
      <c r="D1208" s="118" t="str">
        <f ca="1">IFERROR(__xludf.DUMMYFUNCTION("""COMPUTED_VALUE"""),"G")</f>
        <v>G</v>
      </c>
      <c r="E1208" s="118" t="str">
        <f ca="1">IFERROR(__xludf.DUMMYFUNCTION("""COMPUTED_VALUE"""),"I")</f>
        <v>I</v>
      </c>
      <c r="F1208" s="118" t="str">
        <f ca="1">IFERROR(__xludf.DUMMYFUNCTION("""COMPUTED_VALUE"""),"S")</f>
        <v>S</v>
      </c>
      <c r="G1208" s="118">
        <f ca="1">IFERROR(__xludf.DUMMYFUNCTION("""COMPUTED_VALUE"""),7)</f>
        <v>7</v>
      </c>
      <c r="H1208" s="118" t="str">
        <f ca="1">IFERROR(__xludf.DUMMYFUNCTION("""COMPUTED_VALUE"""),"NS")</f>
        <v>NS</v>
      </c>
      <c r="I1208" s="118">
        <f ca="1">IFERROR(__xludf.DUMMYFUNCTION("""COMPUTED_VALUE"""),8)</f>
        <v>8</v>
      </c>
      <c r="J1208" s="118">
        <f ca="1">IFERROR(__xludf.DUMMYFUNCTION("""COMPUTED_VALUE"""),0)</f>
        <v>0</v>
      </c>
      <c r="K1208" s="120"/>
      <c r="L1208" s="121"/>
      <c r="M1208" s="120"/>
      <c r="N1208" s="121"/>
      <c r="O1208" s="120"/>
      <c r="P1208" s="122"/>
      <c r="Q1208" s="123"/>
      <c r="R1208" s="123"/>
      <c r="S1208" s="123" t="str">
        <f ca="1">IFERROR(__xludf.DUMMYFUNCTION("""COMPUTED_VALUE"""),"Tasanee Verasin")</f>
        <v>Tasanee Verasin</v>
      </c>
      <c r="T1208" s="123"/>
    </row>
    <row r="1209" spans="1:20" ht="13.8">
      <c r="A1209" s="118" t="str">
        <f ca="1">IFERROR(__xludf.DUMMYFUNCTION("""COMPUTED_VALUE"""),"NS")</f>
        <v>NS</v>
      </c>
      <c r="B1209" s="119" t="str">
        <f ca="1">IFERROR(__xludf.DUMMYFUNCTION("""COMPUTED_VALUE"""),"Isabella D'Ambrogi")</f>
        <v>Isabella D'Ambrogi</v>
      </c>
      <c r="C1209" s="118">
        <f ca="1">IFERROR(__xludf.DUMMYFUNCTION("""COMPUTED_VALUE"""),13)</f>
        <v>13</v>
      </c>
      <c r="D1209" s="118" t="str">
        <f ca="1">IFERROR(__xludf.DUMMYFUNCTION("""COMPUTED_VALUE"""),"G")</f>
        <v>G</v>
      </c>
      <c r="E1209" s="118" t="str">
        <f ca="1">IFERROR(__xludf.DUMMYFUNCTION("""COMPUTED_VALUE"""),"I")</f>
        <v>I</v>
      </c>
      <c r="F1209" s="118" t="str">
        <f ca="1">IFERROR(__xludf.DUMMYFUNCTION("""COMPUTED_VALUE"""),"S")</f>
        <v>S</v>
      </c>
      <c r="G1209" s="118">
        <f ca="1">IFERROR(__xludf.DUMMYFUNCTION("""COMPUTED_VALUE"""),7)</f>
        <v>7</v>
      </c>
      <c r="H1209" s="118" t="str">
        <f ca="1">IFERROR(__xludf.DUMMYFUNCTION("""COMPUTED_VALUE"""),"NS")</f>
        <v>NS</v>
      </c>
      <c r="I1209" s="118">
        <f ca="1">IFERROR(__xludf.DUMMYFUNCTION("""COMPUTED_VALUE"""),8)</f>
        <v>8</v>
      </c>
      <c r="J1209" s="118">
        <f ca="1">IFERROR(__xludf.DUMMYFUNCTION("""COMPUTED_VALUE"""),5)</f>
        <v>5</v>
      </c>
      <c r="K1209" s="120">
        <f ca="1">IFERROR(__xludf.DUMMYFUNCTION("""COMPUTED_VALUE"""),100.8)</f>
        <v>100.8</v>
      </c>
      <c r="L1209" s="121"/>
      <c r="M1209" s="120">
        <f ca="1">IFERROR(__xludf.DUMMYFUNCTION("""COMPUTED_VALUE"""),100.8)</f>
        <v>100.8</v>
      </c>
      <c r="N1209" s="121"/>
      <c r="O1209" s="120">
        <f ca="1">IFERROR(__xludf.DUMMYFUNCTION("""COMPUTED_VALUE"""),86.55)</f>
        <v>86.55</v>
      </c>
      <c r="P1209" s="122"/>
      <c r="Q1209" s="123"/>
      <c r="R1209" s="123"/>
      <c r="S1209" s="123" t="str">
        <f ca="1">IFERROR(__xludf.DUMMYFUNCTION("""COMPUTED_VALUE"""),"Tavi Mohammed")</f>
        <v>Tavi Mohammed</v>
      </c>
      <c r="T1209" s="123"/>
    </row>
    <row r="1210" spans="1:20" ht="13.8">
      <c r="A1210" s="118" t="str">
        <f ca="1">IFERROR(__xludf.DUMMYFUNCTION("""COMPUTED_VALUE"""),"NS")</f>
        <v>NS</v>
      </c>
      <c r="B1210" s="119" t="str">
        <f ca="1">IFERROR(__xludf.DUMMYFUNCTION("""COMPUTED_VALUE"""),"Alberto Tolentino")</f>
        <v>Alberto Tolentino</v>
      </c>
      <c r="C1210" s="118">
        <f ca="1">IFERROR(__xludf.DUMMYFUNCTION("""COMPUTED_VALUE"""),14)</f>
        <v>14</v>
      </c>
      <c r="D1210" s="118" t="str">
        <f ca="1">IFERROR(__xludf.DUMMYFUNCTION("""COMPUTED_VALUE"""),"B")</f>
        <v>B</v>
      </c>
      <c r="E1210" s="118" t="str">
        <f ca="1">IFERROR(__xludf.DUMMYFUNCTION("""COMPUTED_VALUE"""),"I")</f>
        <v>I</v>
      </c>
      <c r="F1210" s="118" t="str">
        <f ca="1">IFERROR(__xludf.DUMMYFUNCTION("""COMPUTED_VALUE"""),"S")</f>
        <v>S</v>
      </c>
      <c r="G1210" s="118">
        <f ca="1">IFERROR(__xludf.DUMMYFUNCTION("""COMPUTED_VALUE"""),7)</f>
        <v>7</v>
      </c>
      <c r="H1210" s="118" t="str">
        <f ca="1">IFERROR(__xludf.DUMMYFUNCTION("""COMPUTED_VALUE"""),"NS")</f>
        <v>NS</v>
      </c>
      <c r="I1210" s="118">
        <f ca="1">IFERROR(__xludf.DUMMYFUNCTION("""COMPUTED_VALUE"""),9)</f>
        <v>9</v>
      </c>
      <c r="J1210" s="118">
        <f ca="1">IFERROR(__xludf.DUMMYFUNCTION("""COMPUTED_VALUE"""),3)</f>
        <v>3</v>
      </c>
      <c r="K1210" s="120">
        <f ca="1">IFERROR(__xludf.DUMMYFUNCTION("""COMPUTED_VALUE"""),84.55)</f>
        <v>84.55</v>
      </c>
      <c r="L1210" s="121"/>
      <c r="M1210" s="120"/>
      <c r="N1210" s="121"/>
      <c r="O1210" s="120">
        <f ca="1">IFERROR(__xludf.DUMMYFUNCTION("""COMPUTED_VALUE"""),-113.4)</f>
        <v>-113.4</v>
      </c>
      <c r="P1210" s="122"/>
      <c r="Q1210" s="123"/>
      <c r="R1210" s="123"/>
      <c r="S1210" s="123" t="str">
        <f ca="1">IFERROR(__xludf.DUMMYFUNCTION("""COMPUTED_VALUE"""),"Taylor Kluger")</f>
        <v>Taylor Kluger</v>
      </c>
      <c r="T1210" s="123"/>
    </row>
    <row r="1211" spans="1:20" ht="13.8">
      <c r="A1211" s="118" t="str">
        <f ca="1">IFERROR(__xludf.DUMMYFUNCTION("""COMPUTED_VALUE"""),"NS")</f>
        <v>NS</v>
      </c>
      <c r="B1211" s="119" t="str">
        <f ca="1">IFERROR(__xludf.DUMMYFUNCTION("""COMPUTED_VALUE"""),"Ethan Dalrymple")</f>
        <v>Ethan Dalrymple</v>
      </c>
      <c r="C1211" s="118">
        <f ca="1">IFERROR(__xludf.DUMMYFUNCTION("""COMPUTED_VALUE"""),13)</f>
        <v>13</v>
      </c>
      <c r="D1211" s="118" t="str">
        <f ca="1">IFERROR(__xludf.DUMMYFUNCTION("""COMPUTED_VALUE"""),"B")</f>
        <v>B</v>
      </c>
      <c r="E1211" s="118" t="str">
        <f ca="1">IFERROR(__xludf.DUMMYFUNCTION("""COMPUTED_VALUE"""),"I")</f>
        <v>I</v>
      </c>
      <c r="F1211" s="118" t="str">
        <f ca="1">IFERROR(__xludf.DUMMYFUNCTION("""COMPUTED_VALUE"""),"S")</f>
        <v>S</v>
      </c>
      <c r="G1211" s="118">
        <f ca="1">IFERROR(__xludf.DUMMYFUNCTION("""COMPUTED_VALUE"""),7)</f>
        <v>7</v>
      </c>
      <c r="H1211" s="118" t="str">
        <f ca="1">IFERROR(__xludf.DUMMYFUNCTION("""COMPUTED_VALUE"""),"NS")</f>
        <v>NS</v>
      </c>
      <c r="I1211" s="118">
        <f ca="1">IFERROR(__xludf.DUMMYFUNCTION("""COMPUTED_VALUE"""),9)</f>
        <v>9</v>
      </c>
      <c r="J1211" s="118">
        <f ca="1">IFERROR(__xludf.DUMMYFUNCTION("""COMPUTED_VALUE"""),4)</f>
        <v>4</v>
      </c>
      <c r="K1211" s="120">
        <f ca="1">IFERROR(__xludf.DUMMYFUNCTION("""COMPUTED_VALUE"""),97.3)</f>
        <v>97.3</v>
      </c>
      <c r="L1211" s="121"/>
      <c r="M1211" s="120"/>
      <c r="N1211" s="121"/>
      <c r="O1211" s="120">
        <f ca="1">IFERROR(__xludf.DUMMYFUNCTION("""COMPUTED_VALUE"""),84.3)</f>
        <v>84.3</v>
      </c>
      <c r="P1211" s="122"/>
      <c r="Q1211" s="123"/>
      <c r="R1211" s="123"/>
      <c r="S1211" s="123" t="str">
        <f ca="1">IFERROR(__xludf.DUMMYFUNCTION("""COMPUTED_VALUE"""),"Taylor Lehmann")</f>
        <v>Taylor Lehmann</v>
      </c>
      <c r="T1211" s="123"/>
    </row>
    <row r="1212" spans="1:20" ht="13.8">
      <c r="A1212" s="118" t="str">
        <f ca="1">IFERROR(__xludf.DUMMYFUNCTION("""COMPUTED_VALUE"""),"NS")</f>
        <v>NS</v>
      </c>
      <c r="B1212" s="119" t="str">
        <f ca="1">IFERROR(__xludf.DUMMYFUNCTION("""COMPUTED_VALUE"""),"Keira Dalrymple")</f>
        <v>Keira Dalrymple</v>
      </c>
      <c r="C1212" s="118">
        <f ca="1">IFERROR(__xludf.DUMMYFUNCTION("""COMPUTED_VALUE"""),18)</f>
        <v>18</v>
      </c>
      <c r="D1212" s="118" t="str">
        <f ca="1">IFERROR(__xludf.DUMMYFUNCTION("""COMPUTED_VALUE"""),"G")</f>
        <v>G</v>
      </c>
      <c r="E1212" s="118" t="str">
        <f ca="1">IFERROR(__xludf.DUMMYFUNCTION("""COMPUTED_VALUE"""),"S")</f>
        <v>S</v>
      </c>
      <c r="F1212" s="118" t="str">
        <f ca="1">IFERROR(__xludf.DUMMYFUNCTION("""COMPUTED_VALUE"""),"S")</f>
        <v>S</v>
      </c>
      <c r="G1212" s="118">
        <f ca="1">IFERROR(__xludf.DUMMYFUNCTION("""COMPUTED_VALUE"""),7)</f>
        <v>7</v>
      </c>
      <c r="H1212" s="118" t="str">
        <f ca="1">IFERROR(__xludf.DUMMYFUNCTION("""COMPUTED_VALUE"""),"NS")</f>
        <v>NS</v>
      </c>
      <c r="I1212" s="118">
        <f ca="1">IFERROR(__xludf.DUMMYFUNCTION("""COMPUTED_VALUE"""),10)</f>
        <v>10</v>
      </c>
      <c r="J1212" s="118">
        <f ca="1">IFERROR(__xludf.DUMMYFUNCTION("""COMPUTED_VALUE"""),4)</f>
        <v>4</v>
      </c>
      <c r="K1212" s="120">
        <f ca="1">IFERROR(__xludf.DUMMYFUNCTION("""COMPUTED_VALUE"""),122)</f>
        <v>122</v>
      </c>
      <c r="L1212" s="121"/>
      <c r="M1212" s="120"/>
      <c r="N1212" s="121"/>
      <c r="O1212" s="120">
        <f ca="1">IFERROR(__xludf.DUMMYFUNCTION("""COMPUTED_VALUE"""),95.95)</f>
        <v>95.95</v>
      </c>
      <c r="P1212" s="122"/>
      <c r="Q1212" s="123"/>
      <c r="R1212" s="123"/>
      <c r="S1212" s="123" t="str">
        <f ca="1">IFERROR(__xludf.DUMMYFUNCTION("""COMPUTED_VALUE"""),"Taylor McDonnell")</f>
        <v>Taylor McDonnell</v>
      </c>
      <c r="T1212" s="123"/>
    </row>
    <row r="1213" spans="1:20" ht="13.8">
      <c r="A1213" s="118" t="str">
        <f ca="1">IFERROR(__xludf.DUMMYFUNCTION("""COMPUTED_VALUE"""),"NS")</f>
        <v>NS</v>
      </c>
      <c r="B1213" s="119" t="str">
        <f ca="1">IFERROR(__xludf.DUMMYFUNCTION("""COMPUTED_VALUE"""),"Morgan Milman")</f>
        <v>Morgan Milman</v>
      </c>
      <c r="C1213" s="118">
        <f ca="1">IFERROR(__xludf.DUMMYFUNCTION("""COMPUTED_VALUE"""),18)</f>
        <v>18</v>
      </c>
      <c r="D1213" s="118" t="str">
        <f ca="1">IFERROR(__xludf.DUMMYFUNCTION("""COMPUTED_VALUE"""),"G")</f>
        <v>G</v>
      </c>
      <c r="E1213" s="118" t="str">
        <f ca="1">IFERROR(__xludf.DUMMYFUNCTION("""COMPUTED_VALUE"""),"S")</f>
        <v>S</v>
      </c>
      <c r="F1213" s="118" t="str">
        <f ca="1">IFERROR(__xludf.DUMMYFUNCTION("""COMPUTED_VALUE"""),"S")</f>
        <v>S</v>
      </c>
      <c r="G1213" s="118">
        <f ca="1">IFERROR(__xludf.DUMMYFUNCTION("""COMPUTED_VALUE"""),7)</f>
        <v>7</v>
      </c>
      <c r="H1213" s="118" t="str">
        <f ca="1">IFERROR(__xludf.DUMMYFUNCTION("""COMPUTED_VALUE"""),"NS")</f>
        <v>NS</v>
      </c>
      <c r="I1213" s="118">
        <f ca="1">IFERROR(__xludf.DUMMYFUNCTION("""COMPUTED_VALUE"""),10)</f>
        <v>10</v>
      </c>
      <c r="J1213" s="118">
        <f ca="1">IFERROR(__xludf.DUMMYFUNCTION("""COMPUTED_VALUE"""),4)</f>
        <v>4</v>
      </c>
      <c r="K1213" s="120">
        <f ca="1">IFERROR(__xludf.DUMMYFUNCTION("""COMPUTED_VALUE"""),164.05)</f>
        <v>164.05</v>
      </c>
      <c r="L1213" s="121"/>
      <c r="M1213" s="120">
        <f ca="1">IFERROR(__xludf.DUMMYFUNCTION("""COMPUTED_VALUE"""),164.05)</f>
        <v>164.05</v>
      </c>
      <c r="N1213" s="121"/>
      <c r="O1213" s="120">
        <f ca="1">IFERROR(__xludf.DUMMYFUNCTION("""COMPUTED_VALUE"""),149.95)</f>
        <v>149.94999999999999</v>
      </c>
      <c r="P1213" s="122"/>
      <c r="Q1213" s="123"/>
      <c r="R1213" s="123"/>
      <c r="S1213" s="123" t="str">
        <f ca="1">IFERROR(__xludf.DUMMYFUNCTION("""COMPUTED_VALUE"""),"Taylor Randazzo")</f>
        <v>Taylor Randazzo</v>
      </c>
      <c r="T1213" s="123"/>
    </row>
    <row r="1214" spans="1:20" ht="13.8">
      <c r="A1214" s="118" t="str">
        <f ca="1">IFERROR(__xludf.DUMMYFUNCTION("""COMPUTED_VALUE"""),"NS")</f>
        <v>NS</v>
      </c>
      <c r="B1214" s="119" t="str">
        <f ca="1">IFERROR(__xludf.DUMMYFUNCTION("""COMPUTED_VALUE"""),"Ethan Simone")</f>
        <v>Ethan Simone</v>
      </c>
      <c r="C1214" s="118">
        <f ca="1">IFERROR(__xludf.DUMMYFUNCTION("""COMPUTED_VALUE"""),16)</f>
        <v>16</v>
      </c>
      <c r="D1214" s="118" t="str">
        <f ca="1">IFERROR(__xludf.DUMMYFUNCTION("""COMPUTED_VALUE"""),"B")</f>
        <v>B</v>
      </c>
      <c r="E1214" s="118" t="str">
        <f ca="1">IFERROR(__xludf.DUMMYFUNCTION("""COMPUTED_VALUE"""),"S")</f>
        <v>S</v>
      </c>
      <c r="F1214" s="118" t="str">
        <f ca="1">IFERROR(__xludf.DUMMYFUNCTION("""COMPUTED_VALUE"""),"S")</f>
        <v>S</v>
      </c>
      <c r="G1214" s="118">
        <f ca="1">IFERROR(__xludf.DUMMYFUNCTION("""COMPUTED_VALUE"""),7)</f>
        <v>7</v>
      </c>
      <c r="H1214" s="118" t="str">
        <f ca="1">IFERROR(__xludf.DUMMYFUNCTION("""COMPUTED_VALUE"""),"NS")</f>
        <v>NS</v>
      </c>
      <c r="I1214" s="118">
        <f ca="1">IFERROR(__xludf.DUMMYFUNCTION("""COMPUTED_VALUE"""),11)</f>
        <v>11</v>
      </c>
      <c r="J1214" s="118">
        <f ca="1">IFERROR(__xludf.DUMMYFUNCTION("""COMPUTED_VALUE"""),4)</f>
        <v>4</v>
      </c>
      <c r="K1214" s="120">
        <f ca="1">IFERROR(__xludf.DUMMYFUNCTION("""COMPUTED_VALUE"""),144.9)</f>
        <v>144.9</v>
      </c>
      <c r="L1214" s="121"/>
      <c r="M1214" s="120">
        <f ca="1">IFERROR(__xludf.DUMMYFUNCTION("""COMPUTED_VALUE"""),144.9)</f>
        <v>144.9</v>
      </c>
      <c r="N1214" s="121"/>
      <c r="O1214" s="120"/>
      <c r="P1214" s="122"/>
      <c r="Q1214" s="123"/>
      <c r="R1214" s="123"/>
      <c r="S1214" s="123" t="str">
        <f ca="1">IFERROR(__xludf.DUMMYFUNCTION("""COMPUTED_VALUE"""),"Taylor Smith")</f>
        <v>Taylor Smith</v>
      </c>
      <c r="T1214" s="123"/>
    </row>
    <row r="1215" spans="1:20" ht="13.8">
      <c r="A1215" s="118" t="str">
        <f ca="1">IFERROR(__xludf.DUMMYFUNCTION("""COMPUTED_VALUE"""),"O")</f>
        <v>O</v>
      </c>
      <c r="B1215" s="119" t="str">
        <f ca="1">IFERROR(__xludf.DUMMYFUNCTION("""COMPUTED_VALUE"""),"Abigail Akers")</f>
        <v>Abigail Akers</v>
      </c>
      <c r="C1215" s="118">
        <f ca="1">IFERROR(__xludf.DUMMYFUNCTION("""COMPUTED_VALUE"""),6)</f>
        <v>6</v>
      </c>
      <c r="D1215" s="118" t="str">
        <f ca="1">IFERROR(__xludf.DUMMYFUNCTION("""COMPUTED_VALUE"""),"G")</f>
        <v>G</v>
      </c>
      <c r="E1215" s="118" t="str">
        <f ca="1">IFERROR(__xludf.DUMMYFUNCTION("""COMPUTED_VALUE"""),"F")</f>
        <v>F</v>
      </c>
      <c r="F1215" s="118" t="str">
        <f ca="1">IFERROR(__xludf.DUMMYFUNCTION("""COMPUTED_VALUE"""),"J")</f>
        <v>J</v>
      </c>
      <c r="G1215" s="118">
        <f ca="1">IFERROR(__xludf.DUMMYFUNCTION("""COMPUTED_VALUE"""),1)</f>
        <v>1</v>
      </c>
      <c r="H1215" s="118" t="str">
        <f ca="1">IFERROR(__xludf.DUMMYFUNCTION("""COMPUTED_VALUE"""),"O")</f>
        <v>O</v>
      </c>
      <c r="I1215" s="118">
        <f ca="1">IFERROR(__xludf.DUMMYFUNCTION("""COMPUTED_VALUE"""),4)</f>
        <v>4</v>
      </c>
      <c r="J1215" s="118">
        <f ca="1">IFERROR(__xludf.DUMMYFUNCTION("""COMPUTED_VALUE"""),0)</f>
        <v>0</v>
      </c>
      <c r="K1215" s="120"/>
      <c r="L1215" s="121"/>
      <c r="M1215" s="120"/>
      <c r="N1215" s="121"/>
      <c r="O1215" s="120"/>
      <c r="P1215" s="122"/>
      <c r="Q1215" s="123"/>
      <c r="R1215" s="123"/>
      <c r="S1215" s="123" t="str">
        <f ca="1">IFERROR(__xludf.DUMMYFUNCTION("""COMPUTED_VALUE"""),"Teagan Johns")</f>
        <v>Teagan Johns</v>
      </c>
      <c r="T1215" s="123"/>
    </row>
    <row r="1216" spans="1:20" ht="13.8">
      <c r="A1216" s="118" t="str">
        <f ca="1">IFERROR(__xludf.DUMMYFUNCTION("""COMPUTED_VALUE"""),"O")</f>
        <v>O</v>
      </c>
      <c r="B1216" s="119" t="str">
        <f ca="1">IFERROR(__xludf.DUMMYFUNCTION("""COMPUTED_VALUE"""),"Abigail Hoggins")</f>
        <v>Abigail Hoggins</v>
      </c>
      <c r="C1216" s="118">
        <f ca="1">IFERROR(__xludf.DUMMYFUNCTION("""COMPUTED_VALUE"""),8)</f>
        <v>8</v>
      </c>
      <c r="D1216" s="118" t="str">
        <f ca="1">IFERROR(__xludf.DUMMYFUNCTION("""COMPUTED_VALUE"""),"G")</f>
        <v>G</v>
      </c>
      <c r="E1216" s="118" t="str">
        <f ca="1">IFERROR(__xludf.DUMMYFUNCTION("""COMPUTED_VALUE"""),"F")</f>
        <v>F</v>
      </c>
      <c r="F1216" s="118" t="str">
        <f ca="1">IFERROR(__xludf.DUMMYFUNCTION("""COMPUTED_VALUE"""),"J")</f>
        <v>J</v>
      </c>
      <c r="G1216" s="118">
        <f ca="1">IFERROR(__xludf.DUMMYFUNCTION("""COMPUTED_VALUE"""),1)</f>
        <v>1</v>
      </c>
      <c r="H1216" s="118" t="str">
        <f ca="1">IFERROR(__xludf.DUMMYFUNCTION("""COMPUTED_VALUE"""),"O")</f>
        <v>O</v>
      </c>
      <c r="I1216" s="118">
        <f ca="1">IFERROR(__xludf.DUMMYFUNCTION("""COMPUTED_VALUE"""),4)</f>
        <v>4</v>
      </c>
      <c r="J1216" s="118">
        <f ca="1">IFERROR(__xludf.DUMMYFUNCTION("""COMPUTED_VALUE"""),0)</f>
        <v>0</v>
      </c>
      <c r="K1216" s="120"/>
      <c r="L1216" s="121"/>
      <c r="M1216" s="120"/>
      <c r="N1216" s="121"/>
      <c r="O1216" s="120"/>
      <c r="P1216" s="122"/>
      <c r="Q1216" s="123"/>
      <c r="R1216" s="123"/>
      <c r="S1216" s="123" t="str">
        <f ca="1">IFERROR(__xludf.DUMMYFUNCTION("""COMPUTED_VALUE"""),"Teagan Wielechowski")</f>
        <v>Teagan Wielechowski</v>
      </c>
      <c r="T1216" s="123"/>
    </row>
    <row r="1217" spans="1:20" ht="13.8">
      <c r="A1217" s="118" t="str">
        <f ca="1">IFERROR(__xludf.DUMMYFUNCTION("""COMPUTED_VALUE"""),"O")</f>
        <v>O</v>
      </c>
      <c r="B1217" s="119" t="str">
        <f ca="1">IFERROR(__xludf.DUMMYFUNCTION("""COMPUTED_VALUE"""),"Addie Gaylor")</f>
        <v>Addie Gaylor</v>
      </c>
      <c r="C1217" s="118">
        <f ca="1">IFERROR(__xludf.DUMMYFUNCTION("""COMPUTED_VALUE"""),10)</f>
        <v>10</v>
      </c>
      <c r="D1217" s="118" t="str">
        <f ca="1">IFERROR(__xludf.DUMMYFUNCTION("""COMPUTED_VALUE"""),"G")</f>
        <v>G</v>
      </c>
      <c r="E1217" s="118" t="str">
        <f ca="1">IFERROR(__xludf.DUMMYFUNCTION("""COMPUTED_VALUE"""),"F")</f>
        <v>F</v>
      </c>
      <c r="F1217" s="118" t="str">
        <f ca="1">IFERROR(__xludf.DUMMYFUNCTION("""COMPUTED_VALUE"""),"J")</f>
        <v>J</v>
      </c>
      <c r="G1217" s="118">
        <f ca="1">IFERROR(__xludf.DUMMYFUNCTION("""COMPUTED_VALUE"""),1)</f>
        <v>1</v>
      </c>
      <c r="H1217" s="118" t="str">
        <f ca="1">IFERROR(__xludf.DUMMYFUNCTION("""COMPUTED_VALUE"""),"O")</f>
        <v>O</v>
      </c>
      <c r="I1217" s="118">
        <f ca="1">IFERROR(__xludf.DUMMYFUNCTION("""COMPUTED_VALUE"""),4)</f>
        <v>4</v>
      </c>
      <c r="J1217" s="118">
        <f ca="1">IFERROR(__xludf.DUMMYFUNCTION("""COMPUTED_VALUE"""),2)</f>
        <v>2</v>
      </c>
      <c r="K1217" s="120">
        <f ca="1">IFERROR(__xludf.DUMMYFUNCTION("""COMPUTED_VALUE"""),62.5)</f>
        <v>62.5</v>
      </c>
      <c r="L1217" s="121"/>
      <c r="M1217" s="120">
        <f ca="1">IFERROR(__xludf.DUMMYFUNCTION("""COMPUTED_VALUE"""),62.5)</f>
        <v>62.5</v>
      </c>
      <c r="N1217" s="121"/>
      <c r="O1217" s="120"/>
      <c r="P1217" s="122"/>
      <c r="Q1217" s="123"/>
      <c r="R1217" s="123"/>
      <c r="S1217" s="123" t="str">
        <f ca="1">IFERROR(__xludf.DUMMYFUNCTION("""COMPUTED_VALUE"""),"Teagan Williams")</f>
        <v>Teagan Williams</v>
      </c>
      <c r="T1217" s="123"/>
    </row>
    <row r="1218" spans="1:20" ht="13.8">
      <c r="A1218" s="118" t="str">
        <f ca="1">IFERROR(__xludf.DUMMYFUNCTION("""COMPUTED_VALUE"""),"O")</f>
        <v>O</v>
      </c>
      <c r="B1218" s="119" t="str">
        <f ca="1">IFERROR(__xludf.DUMMYFUNCTION("""COMPUTED_VALUE"""),"Audrey Mitchell")</f>
        <v>Audrey Mitchell</v>
      </c>
      <c r="C1218" s="118">
        <f ca="1">IFERROR(__xludf.DUMMYFUNCTION("""COMPUTED_VALUE"""),9)</f>
        <v>9</v>
      </c>
      <c r="D1218" s="118" t="str">
        <f ca="1">IFERROR(__xludf.DUMMYFUNCTION("""COMPUTED_VALUE"""),"G")</f>
        <v>G</v>
      </c>
      <c r="E1218" s="118" t="str">
        <f ca="1">IFERROR(__xludf.DUMMYFUNCTION("""COMPUTED_VALUE"""),"F")</f>
        <v>F</v>
      </c>
      <c r="F1218" s="118" t="str">
        <f ca="1">IFERROR(__xludf.DUMMYFUNCTION("""COMPUTED_VALUE"""),"J")</f>
        <v>J</v>
      </c>
      <c r="G1218" s="118">
        <f ca="1">IFERROR(__xludf.DUMMYFUNCTION("""COMPUTED_VALUE"""),1)</f>
        <v>1</v>
      </c>
      <c r="H1218" s="118" t="str">
        <f ca="1">IFERROR(__xludf.DUMMYFUNCTION("""COMPUTED_VALUE"""),"O")</f>
        <v>O</v>
      </c>
      <c r="I1218" s="118">
        <f ca="1">IFERROR(__xludf.DUMMYFUNCTION("""COMPUTED_VALUE"""),4)</f>
        <v>4</v>
      </c>
      <c r="J1218" s="118">
        <f ca="1">IFERROR(__xludf.DUMMYFUNCTION("""COMPUTED_VALUE"""),3)</f>
        <v>3</v>
      </c>
      <c r="K1218" s="120">
        <f ca="1">IFERROR(__xludf.DUMMYFUNCTION("""COMPUTED_VALUE"""),69.95)</f>
        <v>69.95</v>
      </c>
      <c r="L1218" s="121"/>
      <c r="M1218" s="120">
        <f ca="1">IFERROR(__xludf.DUMMYFUNCTION("""COMPUTED_VALUE"""),53.5)</f>
        <v>53.5</v>
      </c>
      <c r="N1218" s="121"/>
      <c r="O1218" s="120"/>
      <c r="P1218" s="122"/>
      <c r="Q1218" s="123"/>
      <c r="R1218" s="123"/>
      <c r="S1218" s="123" t="str">
        <f ca="1">IFERROR(__xludf.DUMMYFUNCTION("""COMPUTED_VALUE"""),"Tennley Jackson")</f>
        <v>Tennley Jackson</v>
      </c>
      <c r="T1218" s="123"/>
    </row>
    <row r="1219" spans="1:20" ht="13.8">
      <c r="A1219" s="118" t="str">
        <f ca="1">IFERROR(__xludf.DUMMYFUNCTION("""COMPUTED_VALUE"""),"O")</f>
        <v>O</v>
      </c>
      <c r="B1219" s="119" t="str">
        <f ca="1">IFERROR(__xludf.DUMMYFUNCTION("""COMPUTED_VALUE"""),"Brooke Nichols")</f>
        <v>Brooke Nichols</v>
      </c>
      <c r="C1219" s="118">
        <f ca="1">IFERROR(__xludf.DUMMYFUNCTION("""COMPUTED_VALUE"""),9)</f>
        <v>9</v>
      </c>
      <c r="D1219" s="118" t="str">
        <f ca="1">IFERROR(__xludf.DUMMYFUNCTION("""COMPUTED_VALUE"""),"G")</f>
        <v>G</v>
      </c>
      <c r="E1219" s="118" t="str">
        <f ca="1">IFERROR(__xludf.DUMMYFUNCTION("""COMPUTED_VALUE"""),"F")</f>
        <v>F</v>
      </c>
      <c r="F1219" s="118" t="str">
        <f ca="1">IFERROR(__xludf.DUMMYFUNCTION("""COMPUTED_VALUE"""),"J")</f>
        <v>J</v>
      </c>
      <c r="G1219" s="118">
        <f ca="1">IFERROR(__xludf.DUMMYFUNCTION("""COMPUTED_VALUE"""),1)</f>
        <v>1</v>
      </c>
      <c r="H1219" s="118" t="str">
        <f ca="1">IFERROR(__xludf.DUMMYFUNCTION("""COMPUTED_VALUE"""),"O")</f>
        <v>O</v>
      </c>
      <c r="I1219" s="118">
        <f ca="1">IFERROR(__xludf.DUMMYFUNCTION("""COMPUTED_VALUE"""),4)</f>
        <v>4</v>
      </c>
      <c r="J1219" s="118">
        <f ca="1">IFERROR(__xludf.DUMMYFUNCTION("""COMPUTED_VALUE"""),0)</f>
        <v>0</v>
      </c>
      <c r="K1219" s="120"/>
      <c r="L1219" s="121"/>
      <c r="M1219" s="120"/>
      <c r="N1219" s="121"/>
      <c r="O1219" s="120"/>
      <c r="P1219" s="122"/>
      <c r="Q1219" s="123"/>
      <c r="R1219" s="123"/>
      <c r="S1219" s="123" t="str">
        <f ca="1">IFERROR(__xludf.DUMMYFUNCTION("""COMPUTED_VALUE"""),"Teny Davitian")</f>
        <v>Teny Davitian</v>
      </c>
      <c r="T1219" s="123"/>
    </row>
    <row r="1220" spans="1:20" ht="13.8">
      <c r="A1220" s="118" t="str">
        <f ca="1">IFERROR(__xludf.DUMMYFUNCTION("""COMPUTED_VALUE"""),"O")</f>
        <v>O</v>
      </c>
      <c r="B1220" s="119" t="str">
        <f ca="1">IFERROR(__xludf.DUMMYFUNCTION("""COMPUTED_VALUE"""),"Charleigh Cravens")</f>
        <v>Charleigh Cravens</v>
      </c>
      <c r="C1220" s="118">
        <f ca="1">IFERROR(__xludf.DUMMYFUNCTION("""COMPUTED_VALUE"""),8)</f>
        <v>8</v>
      </c>
      <c r="D1220" s="118" t="str">
        <f ca="1">IFERROR(__xludf.DUMMYFUNCTION("""COMPUTED_VALUE"""),"G")</f>
        <v>G</v>
      </c>
      <c r="E1220" s="118" t="str">
        <f ca="1">IFERROR(__xludf.DUMMYFUNCTION("""COMPUTED_VALUE"""),"F")</f>
        <v>F</v>
      </c>
      <c r="F1220" s="118" t="str">
        <f ca="1">IFERROR(__xludf.DUMMYFUNCTION("""COMPUTED_VALUE"""),"J")</f>
        <v>J</v>
      </c>
      <c r="G1220" s="118">
        <f ca="1">IFERROR(__xludf.DUMMYFUNCTION("""COMPUTED_VALUE"""),1)</f>
        <v>1</v>
      </c>
      <c r="H1220" s="118" t="str">
        <f ca="1">IFERROR(__xludf.DUMMYFUNCTION("""COMPUTED_VALUE"""),"O")</f>
        <v>O</v>
      </c>
      <c r="I1220" s="118">
        <f ca="1">IFERROR(__xludf.DUMMYFUNCTION("""COMPUTED_VALUE"""),4)</f>
        <v>4</v>
      </c>
      <c r="J1220" s="118">
        <f ca="1">IFERROR(__xludf.DUMMYFUNCTION("""COMPUTED_VALUE"""),0)</f>
        <v>0</v>
      </c>
      <c r="K1220" s="120"/>
      <c r="L1220" s="121"/>
      <c r="M1220" s="120"/>
      <c r="N1220" s="121"/>
      <c r="O1220" s="120"/>
      <c r="P1220" s="122"/>
      <c r="Q1220" s="123"/>
      <c r="R1220" s="123"/>
      <c r="S1220" s="123" t="str">
        <f ca="1">IFERROR(__xludf.DUMMYFUNCTION("""COMPUTED_VALUE"""),"Tess Coleson")</f>
        <v>Tess Coleson</v>
      </c>
      <c r="T1220" s="123"/>
    </row>
    <row r="1221" spans="1:20" ht="13.8">
      <c r="A1221" s="118" t="str">
        <f ca="1">IFERROR(__xludf.DUMMYFUNCTION("""COMPUTED_VALUE"""),"O")</f>
        <v>O</v>
      </c>
      <c r="B1221" s="119" t="str">
        <f ca="1">IFERROR(__xludf.DUMMYFUNCTION("""COMPUTED_VALUE"""),"Cori Gaylor")</f>
        <v>Cori Gaylor</v>
      </c>
      <c r="C1221" s="118">
        <f ca="1">IFERROR(__xludf.DUMMYFUNCTION("""COMPUTED_VALUE"""),8)</f>
        <v>8</v>
      </c>
      <c r="D1221" s="118" t="str">
        <f ca="1">IFERROR(__xludf.DUMMYFUNCTION("""COMPUTED_VALUE"""),"G")</f>
        <v>G</v>
      </c>
      <c r="E1221" s="118" t="str">
        <f ca="1">IFERROR(__xludf.DUMMYFUNCTION("""COMPUTED_VALUE"""),"F")</f>
        <v>F</v>
      </c>
      <c r="F1221" s="118" t="str">
        <f ca="1">IFERROR(__xludf.DUMMYFUNCTION("""COMPUTED_VALUE"""),"J")</f>
        <v>J</v>
      </c>
      <c r="G1221" s="118">
        <f ca="1">IFERROR(__xludf.DUMMYFUNCTION("""COMPUTED_VALUE"""),1)</f>
        <v>1</v>
      </c>
      <c r="H1221" s="118" t="str">
        <f ca="1">IFERROR(__xludf.DUMMYFUNCTION("""COMPUTED_VALUE"""),"O")</f>
        <v>O</v>
      </c>
      <c r="I1221" s="118">
        <f ca="1">IFERROR(__xludf.DUMMYFUNCTION("""COMPUTED_VALUE"""),4)</f>
        <v>4</v>
      </c>
      <c r="J1221" s="118">
        <f ca="1">IFERROR(__xludf.DUMMYFUNCTION("""COMPUTED_VALUE"""),0)</f>
        <v>0</v>
      </c>
      <c r="K1221" s="120"/>
      <c r="L1221" s="121"/>
      <c r="M1221" s="120"/>
      <c r="N1221" s="121"/>
      <c r="O1221" s="120"/>
      <c r="P1221" s="122"/>
      <c r="Q1221" s="123"/>
      <c r="R1221" s="123"/>
      <c r="S1221" s="123" t="str">
        <f ca="1">IFERROR(__xludf.DUMMYFUNCTION("""COMPUTED_VALUE"""),"Tess Galway")</f>
        <v>Tess Galway</v>
      </c>
      <c r="T1221" s="123"/>
    </row>
    <row r="1222" spans="1:20" ht="13.8">
      <c r="A1222" s="118" t="str">
        <f ca="1">IFERROR(__xludf.DUMMYFUNCTION("""COMPUTED_VALUE"""),"O")</f>
        <v>O</v>
      </c>
      <c r="B1222" s="119" t="str">
        <f ca="1">IFERROR(__xludf.DUMMYFUNCTION("""COMPUTED_VALUE"""),"Eleanor Brown")</f>
        <v>Eleanor Brown</v>
      </c>
      <c r="C1222" s="118">
        <f ca="1">IFERROR(__xludf.DUMMYFUNCTION("""COMPUTED_VALUE"""),10)</f>
        <v>10</v>
      </c>
      <c r="D1222" s="118" t="str">
        <f ca="1">IFERROR(__xludf.DUMMYFUNCTION("""COMPUTED_VALUE"""),"G")</f>
        <v>G</v>
      </c>
      <c r="E1222" s="118" t="str">
        <f ca="1">IFERROR(__xludf.DUMMYFUNCTION("""COMPUTED_VALUE"""),"F")</f>
        <v>F</v>
      </c>
      <c r="F1222" s="118" t="str">
        <f ca="1">IFERROR(__xludf.DUMMYFUNCTION("""COMPUTED_VALUE"""),"J")</f>
        <v>J</v>
      </c>
      <c r="G1222" s="118">
        <f ca="1">IFERROR(__xludf.DUMMYFUNCTION("""COMPUTED_VALUE"""),1)</f>
        <v>1</v>
      </c>
      <c r="H1222" s="118" t="str">
        <f ca="1">IFERROR(__xludf.DUMMYFUNCTION("""COMPUTED_VALUE"""),"O")</f>
        <v>O</v>
      </c>
      <c r="I1222" s="118">
        <f ca="1">IFERROR(__xludf.DUMMYFUNCTION("""COMPUTED_VALUE"""),4)</f>
        <v>4</v>
      </c>
      <c r="J1222" s="118">
        <f ca="1">IFERROR(__xludf.DUMMYFUNCTION("""COMPUTED_VALUE"""),4)</f>
        <v>4</v>
      </c>
      <c r="K1222" s="120">
        <f ca="1">IFERROR(__xludf.DUMMYFUNCTION("""COMPUTED_VALUE"""),71.5)</f>
        <v>71.5</v>
      </c>
      <c r="L1222" s="121"/>
      <c r="M1222" s="120">
        <f ca="1">IFERROR(__xludf.DUMMYFUNCTION("""COMPUTED_VALUE"""),57.95)</f>
        <v>57.95</v>
      </c>
      <c r="N1222" s="121"/>
      <c r="O1222" s="120"/>
      <c r="P1222" s="122"/>
      <c r="Q1222" s="123"/>
      <c r="R1222" s="123"/>
      <c r="S1222" s="123" t="str">
        <f ca="1">IFERROR(__xludf.DUMMYFUNCTION("""COMPUTED_VALUE"""),"Tessa Iaci")</f>
        <v>Tessa Iaci</v>
      </c>
      <c r="T1222" s="123"/>
    </row>
    <row r="1223" spans="1:20" ht="13.8">
      <c r="A1223" s="118" t="str">
        <f ca="1">IFERROR(__xludf.DUMMYFUNCTION("""COMPUTED_VALUE"""),"O")</f>
        <v>O</v>
      </c>
      <c r="B1223" s="119" t="str">
        <f ca="1">IFERROR(__xludf.DUMMYFUNCTION("""COMPUTED_VALUE"""),"Ella Hudes")</f>
        <v>Ella Hudes</v>
      </c>
      <c r="C1223" s="118">
        <f ca="1">IFERROR(__xludf.DUMMYFUNCTION("""COMPUTED_VALUE"""),10)</f>
        <v>10</v>
      </c>
      <c r="D1223" s="118" t="str">
        <f ca="1">IFERROR(__xludf.DUMMYFUNCTION("""COMPUTED_VALUE"""),"G")</f>
        <v>G</v>
      </c>
      <c r="E1223" s="118" t="str">
        <f ca="1">IFERROR(__xludf.DUMMYFUNCTION("""COMPUTED_VALUE"""),"F")</f>
        <v>F</v>
      </c>
      <c r="F1223" s="118" t="str">
        <f ca="1">IFERROR(__xludf.DUMMYFUNCTION("""COMPUTED_VALUE"""),"J")</f>
        <v>J</v>
      </c>
      <c r="G1223" s="118">
        <f ca="1">IFERROR(__xludf.DUMMYFUNCTION("""COMPUTED_VALUE"""),1)</f>
        <v>1</v>
      </c>
      <c r="H1223" s="118" t="str">
        <f ca="1">IFERROR(__xludf.DUMMYFUNCTION("""COMPUTED_VALUE"""),"O")</f>
        <v>O</v>
      </c>
      <c r="I1223" s="118">
        <f ca="1">IFERROR(__xludf.DUMMYFUNCTION("""COMPUTED_VALUE"""),4)</f>
        <v>4</v>
      </c>
      <c r="J1223" s="118">
        <f ca="1">IFERROR(__xludf.DUMMYFUNCTION("""COMPUTED_VALUE"""),0)</f>
        <v>0</v>
      </c>
      <c r="K1223" s="120"/>
      <c r="L1223" s="121"/>
      <c r="M1223" s="120"/>
      <c r="N1223" s="121"/>
      <c r="O1223" s="120"/>
      <c r="P1223" s="122"/>
      <c r="Q1223" s="123"/>
      <c r="R1223" s="123"/>
      <c r="S1223" s="123" t="str">
        <f ca="1">IFERROR(__xludf.DUMMYFUNCTION("""COMPUTED_VALUE"""),"Thatchelle Boateng")</f>
        <v>Thatchelle Boateng</v>
      </c>
      <c r="T1223" s="123"/>
    </row>
    <row r="1224" spans="1:20" ht="13.8">
      <c r="A1224" s="118" t="str">
        <f ca="1">IFERROR(__xludf.DUMMYFUNCTION("""COMPUTED_VALUE"""),"O")</f>
        <v>O</v>
      </c>
      <c r="B1224" s="119" t="str">
        <f ca="1">IFERROR(__xludf.DUMMYFUNCTION("""COMPUTED_VALUE"""),"Erin Lee")</f>
        <v>Erin Lee</v>
      </c>
      <c r="C1224" s="118">
        <f ca="1">IFERROR(__xludf.DUMMYFUNCTION("""COMPUTED_VALUE"""),10)</f>
        <v>10</v>
      </c>
      <c r="D1224" s="118" t="str">
        <f ca="1">IFERROR(__xludf.DUMMYFUNCTION("""COMPUTED_VALUE"""),"G")</f>
        <v>G</v>
      </c>
      <c r="E1224" s="118" t="str">
        <f ca="1">IFERROR(__xludf.DUMMYFUNCTION("""COMPUTED_VALUE"""),"F")</f>
        <v>F</v>
      </c>
      <c r="F1224" s="118" t="str">
        <f ca="1">IFERROR(__xludf.DUMMYFUNCTION("""COMPUTED_VALUE"""),"J")</f>
        <v>J</v>
      </c>
      <c r="G1224" s="118">
        <f ca="1">IFERROR(__xludf.DUMMYFUNCTION("""COMPUTED_VALUE"""),1)</f>
        <v>1</v>
      </c>
      <c r="H1224" s="118" t="str">
        <f ca="1">IFERROR(__xludf.DUMMYFUNCTION("""COMPUTED_VALUE"""),"O")</f>
        <v>O</v>
      </c>
      <c r="I1224" s="118">
        <f ca="1">IFERROR(__xludf.DUMMYFUNCTION("""COMPUTED_VALUE"""),4)</f>
        <v>4</v>
      </c>
      <c r="J1224" s="118">
        <f ca="1">IFERROR(__xludf.DUMMYFUNCTION("""COMPUTED_VALUE"""),5)</f>
        <v>5</v>
      </c>
      <c r="K1224" s="120">
        <f ca="1">IFERROR(__xludf.DUMMYFUNCTION("""COMPUTED_VALUE"""),61.85)</f>
        <v>61.85</v>
      </c>
      <c r="L1224" s="121"/>
      <c r="M1224" s="120">
        <f ca="1">IFERROR(__xludf.DUMMYFUNCTION("""COMPUTED_VALUE"""),56.9)</f>
        <v>56.9</v>
      </c>
      <c r="N1224" s="121"/>
      <c r="O1224" s="120">
        <f ca="1">IFERROR(__xludf.DUMMYFUNCTION("""COMPUTED_VALUE"""),54.05)</f>
        <v>54.05</v>
      </c>
      <c r="P1224" s="122"/>
      <c r="Q1224" s="123"/>
      <c r="R1224" s="123"/>
      <c r="S1224" s="123" t="str">
        <f ca="1">IFERROR(__xludf.DUMMYFUNCTION("""COMPUTED_VALUE"""),"Thea Conole")</f>
        <v>Thea Conole</v>
      </c>
      <c r="T1224" s="123"/>
    </row>
    <row r="1225" spans="1:20" ht="13.8">
      <c r="A1225" s="118" t="str">
        <f ca="1">IFERROR(__xludf.DUMMYFUNCTION("""COMPUTED_VALUE"""),"O")</f>
        <v>O</v>
      </c>
      <c r="B1225" s="119" t="str">
        <f ca="1">IFERROR(__xludf.DUMMYFUNCTION("""COMPUTED_VALUE"""),"Hannah Williams")</f>
        <v>Hannah Williams</v>
      </c>
      <c r="C1225" s="118">
        <f ca="1">IFERROR(__xludf.DUMMYFUNCTION("""COMPUTED_VALUE"""),9)</f>
        <v>9</v>
      </c>
      <c r="D1225" s="118" t="str">
        <f ca="1">IFERROR(__xludf.DUMMYFUNCTION("""COMPUTED_VALUE"""),"G")</f>
        <v>G</v>
      </c>
      <c r="E1225" s="118" t="str">
        <f ca="1">IFERROR(__xludf.DUMMYFUNCTION("""COMPUTED_VALUE"""),"F")</f>
        <v>F</v>
      </c>
      <c r="F1225" s="118" t="str">
        <f ca="1">IFERROR(__xludf.DUMMYFUNCTION("""COMPUTED_VALUE"""),"J")</f>
        <v>J</v>
      </c>
      <c r="G1225" s="118">
        <f ca="1">IFERROR(__xludf.DUMMYFUNCTION("""COMPUTED_VALUE"""),1)</f>
        <v>1</v>
      </c>
      <c r="H1225" s="118" t="str">
        <f ca="1">IFERROR(__xludf.DUMMYFUNCTION("""COMPUTED_VALUE"""),"O")</f>
        <v>O</v>
      </c>
      <c r="I1225" s="118">
        <f ca="1">IFERROR(__xludf.DUMMYFUNCTION("""COMPUTED_VALUE"""),4)</f>
        <v>4</v>
      </c>
      <c r="J1225" s="118">
        <f ca="1">IFERROR(__xludf.DUMMYFUNCTION("""COMPUTED_VALUE"""),4)</f>
        <v>4</v>
      </c>
      <c r="K1225" s="120">
        <f ca="1">IFERROR(__xludf.DUMMYFUNCTION("""COMPUTED_VALUE"""),69.75)</f>
        <v>69.75</v>
      </c>
      <c r="L1225" s="121"/>
      <c r="M1225" s="120"/>
      <c r="N1225" s="121"/>
      <c r="O1225" s="120">
        <f ca="1">IFERROR(__xludf.DUMMYFUNCTION("""COMPUTED_VALUE"""),58.2)</f>
        <v>58.2</v>
      </c>
      <c r="P1225" s="122"/>
      <c r="Q1225" s="123"/>
      <c r="R1225" s="123"/>
      <c r="S1225" s="123" t="str">
        <f ca="1">IFERROR(__xludf.DUMMYFUNCTION("""COMPUTED_VALUE"""),"Tien Do")</f>
        <v>Tien Do</v>
      </c>
      <c r="T1225" s="123"/>
    </row>
    <row r="1226" spans="1:20" ht="13.8">
      <c r="A1226" s="118" t="str">
        <f ca="1">IFERROR(__xludf.DUMMYFUNCTION("""COMPUTED_VALUE"""),"O")</f>
        <v>O</v>
      </c>
      <c r="B1226" s="119" t="str">
        <f ca="1">IFERROR(__xludf.DUMMYFUNCTION("""COMPUTED_VALUE"""),"Josie Miller")</f>
        <v>Josie Miller</v>
      </c>
      <c r="C1226" s="118">
        <f ca="1">IFERROR(__xludf.DUMMYFUNCTION("""COMPUTED_VALUE"""),10)</f>
        <v>10</v>
      </c>
      <c r="D1226" s="118" t="str">
        <f ca="1">IFERROR(__xludf.DUMMYFUNCTION("""COMPUTED_VALUE"""),"G")</f>
        <v>G</v>
      </c>
      <c r="E1226" s="118" t="str">
        <f ca="1">IFERROR(__xludf.DUMMYFUNCTION("""COMPUTED_VALUE"""),"F")</f>
        <v>F</v>
      </c>
      <c r="F1226" s="118" t="str">
        <f ca="1">IFERROR(__xludf.DUMMYFUNCTION("""COMPUTED_VALUE"""),"J")</f>
        <v>J</v>
      </c>
      <c r="G1226" s="118">
        <f ca="1">IFERROR(__xludf.DUMMYFUNCTION("""COMPUTED_VALUE"""),1)</f>
        <v>1</v>
      </c>
      <c r="H1226" s="118" t="str">
        <f ca="1">IFERROR(__xludf.DUMMYFUNCTION("""COMPUTED_VALUE"""),"O")</f>
        <v>O</v>
      </c>
      <c r="I1226" s="118">
        <f ca="1">IFERROR(__xludf.DUMMYFUNCTION("""COMPUTED_VALUE"""),4)</f>
        <v>4</v>
      </c>
      <c r="J1226" s="118">
        <f ca="1">IFERROR(__xludf.DUMMYFUNCTION("""COMPUTED_VALUE"""),0)</f>
        <v>0</v>
      </c>
      <c r="K1226" s="120"/>
      <c r="L1226" s="121"/>
      <c r="M1226" s="120"/>
      <c r="N1226" s="121"/>
      <c r="O1226" s="120"/>
      <c r="P1226" s="122"/>
      <c r="Q1226" s="123"/>
      <c r="R1226" s="123"/>
      <c r="S1226" s="123" t="str">
        <f ca="1">IFERROR(__xludf.DUMMYFUNCTION("""COMPUTED_VALUE"""),"Tinsley Arenstein")</f>
        <v>Tinsley Arenstein</v>
      </c>
      <c r="T1226" s="123"/>
    </row>
    <row r="1227" spans="1:20" ht="13.8">
      <c r="A1227" s="118" t="str">
        <f ca="1">IFERROR(__xludf.DUMMYFUNCTION("""COMPUTED_VALUE"""),"O")</f>
        <v>O</v>
      </c>
      <c r="B1227" s="119" t="str">
        <f ca="1">IFERROR(__xludf.DUMMYFUNCTION("""COMPUTED_VALUE"""),"Kaitlyn Kimmitt")</f>
        <v>Kaitlyn Kimmitt</v>
      </c>
      <c r="C1227" s="118">
        <f ca="1">IFERROR(__xludf.DUMMYFUNCTION("""COMPUTED_VALUE"""),9)</f>
        <v>9</v>
      </c>
      <c r="D1227" s="118" t="str">
        <f ca="1">IFERROR(__xludf.DUMMYFUNCTION("""COMPUTED_VALUE"""),"G")</f>
        <v>G</v>
      </c>
      <c r="E1227" s="118" t="str">
        <f ca="1">IFERROR(__xludf.DUMMYFUNCTION("""COMPUTED_VALUE"""),"F")</f>
        <v>F</v>
      </c>
      <c r="F1227" s="118" t="str">
        <f ca="1">IFERROR(__xludf.DUMMYFUNCTION("""COMPUTED_VALUE"""),"J")</f>
        <v>J</v>
      </c>
      <c r="G1227" s="118">
        <f ca="1">IFERROR(__xludf.DUMMYFUNCTION("""COMPUTED_VALUE"""),1)</f>
        <v>1</v>
      </c>
      <c r="H1227" s="118" t="str">
        <f ca="1">IFERROR(__xludf.DUMMYFUNCTION("""COMPUTED_VALUE"""),"O")</f>
        <v>O</v>
      </c>
      <c r="I1227" s="118">
        <f ca="1">IFERROR(__xludf.DUMMYFUNCTION("""COMPUTED_VALUE"""),4)</f>
        <v>4</v>
      </c>
      <c r="J1227" s="118">
        <f ca="1">IFERROR(__xludf.DUMMYFUNCTION("""COMPUTED_VALUE"""),4)</f>
        <v>4</v>
      </c>
      <c r="K1227" s="120">
        <f ca="1">IFERROR(__xludf.DUMMYFUNCTION("""COMPUTED_VALUE"""),79.35)</f>
        <v>79.349999999999994</v>
      </c>
      <c r="L1227" s="121"/>
      <c r="M1227" s="120">
        <f ca="1">IFERROR(__xludf.DUMMYFUNCTION("""COMPUTED_VALUE"""),70.3)</f>
        <v>70.3</v>
      </c>
      <c r="N1227" s="121"/>
      <c r="O1227" s="120"/>
      <c r="P1227" s="122"/>
      <c r="Q1227" s="123"/>
      <c r="R1227" s="123"/>
      <c r="S1227" s="123" t="str">
        <f ca="1">IFERROR(__xludf.DUMMYFUNCTION("""COMPUTED_VALUE"""),"Tyler Tomlinson")</f>
        <v>Tyler Tomlinson</v>
      </c>
      <c r="T1227" s="123"/>
    </row>
    <row r="1228" spans="1:20" ht="13.8">
      <c r="A1228" s="118" t="str">
        <f ca="1">IFERROR(__xludf.DUMMYFUNCTION("""COMPUTED_VALUE"""),"O")</f>
        <v>O</v>
      </c>
      <c r="B1228" s="119" t="str">
        <f ca="1">IFERROR(__xludf.DUMMYFUNCTION("""COMPUTED_VALUE"""),"Liliana Cappoli")</f>
        <v>Liliana Cappoli</v>
      </c>
      <c r="C1228" s="118">
        <f ca="1">IFERROR(__xludf.DUMMYFUNCTION("""COMPUTED_VALUE"""),10)</f>
        <v>10</v>
      </c>
      <c r="D1228" s="118" t="str">
        <f ca="1">IFERROR(__xludf.DUMMYFUNCTION("""COMPUTED_VALUE"""),"G")</f>
        <v>G</v>
      </c>
      <c r="E1228" s="118" t="str">
        <f ca="1">IFERROR(__xludf.DUMMYFUNCTION("""COMPUTED_VALUE"""),"F")</f>
        <v>F</v>
      </c>
      <c r="F1228" s="118" t="str">
        <f ca="1">IFERROR(__xludf.DUMMYFUNCTION("""COMPUTED_VALUE"""),"J")</f>
        <v>J</v>
      </c>
      <c r="G1228" s="118">
        <f ca="1">IFERROR(__xludf.DUMMYFUNCTION("""COMPUTED_VALUE"""),1)</f>
        <v>1</v>
      </c>
      <c r="H1228" s="118" t="str">
        <f ca="1">IFERROR(__xludf.DUMMYFUNCTION("""COMPUTED_VALUE"""),"O")</f>
        <v>O</v>
      </c>
      <c r="I1228" s="118">
        <f ca="1">IFERROR(__xludf.DUMMYFUNCTION("""COMPUTED_VALUE"""),4)</f>
        <v>4</v>
      </c>
      <c r="J1228" s="118">
        <f ca="1">IFERROR(__xludf.DUMMYFUNCTION("""COMPUTED_VALUE"""),4)</f>
        <v>4</v>
      </c>
      <c r="K1228" s="120">
        <f ca="1">IFERROR(__xludf.DUMMYFUNCTION("""COMPUTED_VALUE"""),88.7)</f>
        <v>88.7</v>
      </c>
      <c r="L1228" s="121"/>
      <c r="M1228" s="120">
        <f ca="1">IFERROR(__xludf.DUMMYFUNCTION("""COMPUTED_VALUE"""),70.45)</f>
        <v>70.45</v>
      </c>
      <c r="N1228" s="121"/>
      <c r="O1228" s="120">
        <f ca="1">IFERROR(__xludf.DUMMYFUNCTION("""COMPUTED_VALUE"""),71.6)</f>
        <v>71.599999999999994</v>
      </c>
      <c r="P1228" s="122"/>
      <c r="Q1228" s="123"/>
      <c r="R1228" s="123"/>
      <c r="S1228" s="123" t="str">
        <f ca="1">IFERROR(__xludf.DUMMYFUNCTION("""COMPUTED_VALUE"""),"Vale Luks")</f>
        <v>Vale Luks</v>
      </c>
      <c r="T1228" s="123"/>
    </row>
    <row r="1229" spans="1:20" ht="13.8">
      <c r="A1229" s="118" t="str">
        <f ca="1">IFERROR(__xludf.DUMMYFUNCTION("""COMPUTED_VALUE"""),"O")</f>
        <v>O</v>
      </c>
      <c r="B1229" s="119" t="str">
        <f ca="1">IFERROR(__xludf.DUMMYFUNCTION("""COMPUTED_VALUE"""),"Lina Arenstein")</f>
        <v>Lina Arenstein</v>
      </c>
      <c r="C1229" s="118">
        <f ca="1">IFERROR(__xludf.DUMMYFUNCTION("""COMPUTED_VALUE"""),7)</f>
        <v>7</v>
      </c>
      <c r="D1229" s="118" t="str">
        <f ca="1">IFERROR(__xludf.DUMMYFUNCTION("""COMPUTED_VALUE"""),"G")</f>
        <v>G</v>
      </c>
      <c r="E1229" s="118" t="str">
        <f ca="1">IFERROR(__xludf.DUMMYFUNCTION("""COMPUTED_VALUE"""),"F")</f>
        <v>F</v>
      </c>
      <c r="F1229" s="118" t="str">
        <f ca="1">IFERROR(__xludf.DUMMYFUNCTION("""COMPUTED_VALUE"""),"J")</f>
        <v>J</v>
      </c>
      <c r="G1229" s="118">
        <f ca="1">IFERROR(__xludf.DUMMYFUNCTION("""COMPUTED_VALUE"""),1)</f>
        <v>1</v>
      </c>
      <c r="H1229" s="118" t="str">
        <f ca="1">IFERROR(__xludf.DUMMYFUNCTION("""COMPUTED_VALUE"""),"O")</f>
        <v>O</v>
      </c>
      <c r="I1229" s="118">
        <f ca="1">IFERROR(__xludf.DUMMYFUNCTION("""COMPUTED_VALUE"""),4)</f>
        <v>4</v>
      </c>
      <c r="J1229" s="118">
        <f ca="1">IFERROR(__xludf.DUMMYFUNCTION("""COMPUTED_VALUE"""),0)</f>
        <v>0</v>
      </c>
      <c r="K1229" s="120"/>
      <c r="L1229" s="121"/>
      <c r="M1229" s="120"/>
      <c r="N1229" s="121"/>
      <c r="O1229" s="120"/>
      <c r="P1229" s="122"/>
      <c r="Q1229" s="123"/>
      <c r="R1229" s="123"/>
      <c r="S1229" s="123" t="str">
        <f ca="1">IFERROR(__xludf.DUMMYFUNCTION("""COMPUTED_VALUE"""),"Valerie Devlin")</f>
        <v>Valerie Devlin</v>
      </c>
      <c r="T1229" s="123"/>
    </row>
    <row r="1230" spans="1:20" ht="13.8">
      <c r="A1230" s="118" t="str">
        <f ca="1">IFERROR(__xludf.DUMMYFUNCTION("""COMPUTED_VALUE"""),"O")</f>
        <v>O</v>
      </c>
      <c r="B1230" s="119" t="str">
        <f ca="1">IFERROR(__xludf.DUMMYFUNCTION("""COMPUTED_VALUE"""),"Maddie Bloss")</f>
        <v>Maddie Bloss</v>
      </c>
      <c r="C1230" s="118">
        <f ca="1">IFERROR(__xludf.DUMMYFUNCTION("""COMPUTED_VALUE"""),9)</f>
        <v>9</v>
      </c>
      <c r="D1230" s="118" t="str">
        <f ca="1">IFERROR(__xludf.DUMMYFUNCTION("""COMPUTED_VALUE"""),"G")</f>
        <v>G</v>
      </c>
      <c r="E1230" s="118" t="str">
        <f ca="1">IFERROR(__xludf.DUMMYFUNCTION("""COMPUTED_VALUE"""),"F")</f>
        <v>F</v>
      </c>
      <c r="F1230" s="118" t="str">
        <f ca="1">IFERROR(__xludf.DUMMYFUNCTION("""COMPUTED_VALUE"""),"J")</f>
        <v>J</v>
      </c>
      <c r="G1230" s="118">
        <f ca="1">IFERROR(__xludf.DUMMYFUNCTION("""COMPUTED_VALUE"""),1)</f>
        <v>1</v>
      </c>
      <c r="H1230" s="118" t="str">
        <f ca="1">IFERROR(__xludf.DUMMYFUNCTION("""COMPUTED_VALUE"""),"O")</f>
        <v>O</v>
      </c>
      <c r="I1230" s="118">
        <f ca="1">IFERROR(__xludf.DUMMYFUNCTION("""COMPUTED_VALUE"""),4)</f>
        <v>4</v>
      </c>
      <c r="J1230" s="118">
        <f ca="1">IFERROR(__xludf.DUMMYFUNCTION("""COMPUTED_VALUE"""),3)</f>
        <v>3</v>
      </c>
      <c r="K1230" s="120">
        <f ca="1">IFERROR(__xludf.DUMMYFUNCTION("""COMPUTED_VALUE"""),60.2)</f>
        <v>60.2</v>
      </c>
      <c r="L1230" s="121"/>
      <c r="M1230" s="120"/>
      <c r="N1230" s="121"/>
      <c r="O1230" s="120"/>
      <c r="P1230" s="122"/>
      <c r="Q1230" s="123"/>
      <c r="R1230" s="123"/>
      <c r="S1230" s="123" t="str">
        <f ca="1">IFERROR(__xludf.DUMMYFUNCTION("""COMPUTED_VALUE"""),"Vera Boon")</f>
        <v>Vera Boon</v>
      </c>
      <c r="T1230" s="123"/>
    </row>
    <row r="1231" spans="1:20" ht="13.8">
      <c r="A1231" s="118" t="str">
        <f ca="1">IFERROR(__xludf.DUMMYFUNCTION("""COMPUTED_VALUE"""),"O")</f>
        <v>O</v>
      </c>
      <c r="B1231" s="119" t="str">
        <f ca="1">IFERROR(__xludf.DUMMYFUNCTION("""COMPUTED_VALUE"""),"McKenna Dicke")</f>
        <v>McKenna Dicke</v>
      </c>
      <c r="C1231" s="118">
        <f ca="1">IFERROR(__xludf.DUMMYFUNCTION("""COMPUTED_VALUE"""),10)</f>
        <v>10</v>
      </c>
      <c r="D1231" s="118" t="str">
        <f ca="1">IFERROR(__xludf.DUMMYFUNCTION("""COMPUTED_VALUE"""),"G")</f>
        <v>G</v>
      </c>
      <c r="E1231" s="118" t="str">
        <f ca="1">IFERROR(__xludf.DUMMYFUNCTION("""COMPUTED_VALUE"""),"F")</f>
        <v>F</v>
      </c>
      <c r="F1231" s="118" t="str">
        <f ca="1">IFERROR(__xludf.DUMMYFUNCTION("""COMPUTED_VALUE"""),"J")</f>
        <v>J</v>
      </c>
      <c r="G1231" s="118">
        <f ca="1">IFERROR(__xludf.DUMMYFUNCTION("""COMPUTED_VALUE"""),1)</f>
        <v>1</v>
      </c>
      <c r="H1231" s="118" t="str">
        <f ca="1">IFERROR(__xludf.DUMMYFUNCTION("""COMPUTED_VALUE"""),"O")</f>
        <v>O</v>
      </c>
      <c r="I1231" s="118">
        <f ca="1">IFERROR(__xludf.DUMMYFUNCTION("""COMPUTED_VALUE"""),4)</f>
        <v>4</v>
      </c>
      <c r="J1231" s="118">
        <f ca="1">IFERROR(__xludf.DUMMYFUNCTION("""COMPUTED_VALUE"""),3)</f>
        <v>3</v>
      </c>
      <c r="K1231" s="120">
        <f ca="1">IFERROR(__xludf.DUMMYFUNCTION("""COMPUTED_VALUE"""),62.5)</f>
        <v>62.5</v>
      </c>
      <c r="L1231" s="121"/>
      <c r="M1231" s="120"/>
      <c r="N1231" s="121"/>
      <c r="O1231" s="120">
        <f ca="1">IFERROR(__xludf.DUMMYFUNCTION("""COMPUTED_VALUE"""),46.85)</f>
        <v>46.85</v>
      </c>
      <c r="P1231" s="122"/>
      <c r="Q1231" s="123"/>
      <c r="R1231" s="123"/>
      <c r="S1231" s="123" t="str">
        <f ca="1">IFERROR(__xludf.DUMMYFUNCTION("""COMPUTED_VALUE"""),"Vi Robert")</f>
        <v>Vi Robert</v>
      </c>
      <c r="T1231" s="123"/>
    </row>
    <row r="1232" spans="1:20" ht="13.8">
      <c r="A1232" s="118" t="str">
        <f ca="1">IFERROR(__xludf.DUMMYFUNCTION("""COMPUTED_VALUE"""),"O")</f>
        <v>O</v>
      </c>
      <c r="B1232" s="119" t="str">
        <f ca="1">IFERROR(__xludf.DUMMYFUNCTION("""COMPUTED_VALUE"""),"Nora Hopkins")</f>
        <v>Nora Hopkins</v>
      </c>
      <c r="C1232" s="118">
        <f ca="1">IFERROR(__xludf.DUMMYFUNCTION("""COMPUTED_VALUE"""),8)</f>
        <v>8</v>
      </c>
      <c r="D1232" s="118" t="str">
        <f ca="1">IFERROR(__xludf.DUMMYFUNCTION("""COMPUTED_VALUE"""),"G")</f>
        <v>G</v>
      </c>
      <c r="E1232" s="118" t="str">
        <f ca="1">IFERROR(__xludf.DUMMYFUNCTION("""COMPUTED_VALUE"""),"F")</f>
        <v>F</v>
      </c>
      <c r="F1232" s="118" t="str">
        <f ca="1">IFERROR(__xludf.DUMMYFUNCTION("""COMPUTED_VALUE"""),"J")</f>
        <v>J</v>
      </c>
      <c r="G1232" s="118">
        <f ca="1">IFERROR(__xludf.DUMMYFUNCTION("""COMPUTED_VALUE"""),1)</f>
        <v>1</v>
      </c>
      <c r="H1232" s="118" t="str">
        <f ca="1">IFERROR(__xludf.DUMMYFUNCTION("""COMPUTED_VALUE"""),"O")</f>
        <v>O</v>
      </c>
      <c r="I1232" s="118">
        <f ca="1">IFERROR(__xludf.DUMMYFUNCTION("""COMPUTED_VALUE"""),4)</f>
        <v>4</v>
      </c>
      <c r="J1232" s="118">
        <f ca="1">IFERROR(__xludf.DUMMYFUNCTION("""COMPUTED_VALUE"""),0)</f>
        <v>0</v>
      </c>
      <c r="K1232" s="120"/>
      <c r="L1232" s="121"/>
      <c r="M1232" s="120"/>
      <c r="N1232" s="121"/>
      <c r="O1232" s="120"/>
      <c r="P1232" s="122"/>
      <c r="Q1232" s="123"/>
      <c r="R1232" s="123"/>
      <c r="S1232" s="123" t="str">
        <f ca="1">IFERROR(__xludf.DUMMYFUNCTION("""COMPUTED_VALUE"""),"Vicki Waisberg")</f>
        <v>Vicki Waisberg</v>
      </c>
      <c r="T1232" s="123"/>
    </row>
    <row r="1233" spans="1:20" ht="13.8">
      <c r="A1233" s="118" t="str">
        <f ca="1">IFERROR(__xludf.DUMMYFUNCTION("""COMPUTED_VALUE"""),"O")</f>
        <v>O</v>
      </c>
      <c r="B1233" s="119" t="str">
        <f ca="1">IFERROR(__xludf.DUMMYFUNCTION("""COMPUTED_VALUE"""),"Parker Domnitch")</f>
        <v>Parker Domnitch</v>
      </c>
      <c r="C1233" s="118">
        <f ca="1">IFERROR(__xludf.DUMMYFUNCTION("""COMPUTED_VALUE"""),8)</f>
        <v>8</v>
      </c>
      <c r="D1233" s="118" t="str">
        <f ca="1">IFERROR(__xludf.DUMMYFUNCTION("""COMPUTED_VALUE"""),"G")</f>
        <v>G</v>
      </c>
      <c r="E1233" s="118" t="str">
        <f ca="1">IFERROR(__xludf.DUMMYFUNCTION("""COMPUTED_VALUE"""),"F")</f>
        <v>F</v>
      </c>
      <c r="F1233" s="118" t="str">
        <f ca="1">IFERROR(__xludf.DUMMYFUNCTION("""COMPUTED_VALUE"""),"J")</f>
        <v>J</v>
      </c>
      <c r="G1233" s="118">
        <f ca="1">IFERROR(__xludf.DUMMYFUNCTION("""COMPUTED_VALUE"""),1)</f>
        <v>1</v>
      </c>
      <c r="H1233" s="118" t="str">
        <f ca="1">IFERROR(__xludf.DUMMYFUNCTION("""COMPUTED_VALUE"""),"O")</f>
        <v>O</v>
      </c>
      <c r="I1233" s="118">
        <f ca="1">IFERROR(__xludf.DUMMYFUNCTION("""COMPUTED_VALUE"""),4)</f>
        <v>4</v>
      </c>
      <c r="J1233" s="118">
        <f ca="1">IFERROR(__xludf.DUMMYFUNCTION("""COMPUTED_VALUE"""),2)</f>
        <v>2</v>
      </c>
      <c r="K1233" s="120">
        <f ca="1">IFERROR(__xludf.DUMMYFUNCTION("""COMPUTED_VALUE"""),48.9)</f>
        <v>48.9</v>
      </c>
      <c r="L1233" s="121"/>
      <c r="M1233" s="120"/>
      <c r="N1233" s="121"/>
      <c r="O1233" s="120"/>
      <c r="P1233" s="122"/>
      <c r="Q1233" s="123"/>
      <c r="R1233" s="123"/>
      <c r="S1233" s="123" t="str">
        <f ca="1">IFERROR(__xludf.DUMMYFUNCTION("""COMPUTED_VALUE"""),"Victoria Beier")</f>
        <v>Victoria Beier</v>
      </c>
      <c r="T1233" s="123"/>
    </row>
    <row r="1234" spans="1:20" ht="13.8">
      <c r="A1234" s="118" t="str">
        <f ca="1">IFERROR(__xludf.DUMMYFUNCTION("""COMPUTED_VALUE"""),"O")</f>
        <v>O</v>
      </c>
      <c r="B1234" s="119" t="str">
        <f ca="1">IFERROR(__xludf.DUMMYFUNCTION("""COMPUTED_VALUE"""),"Perrin Malko")</f>
        <v>Perrin Malko</v>
      </c>
      <c r="C1234" s="118">
        <f ca="1">IFERROR(__xludf.DUMMYFUNCTION("""COMPUTED_VALUE"""),10)</f>
        <v>10</v>
      </c>
      <c r="D1234" s="118" t="str">
        <f ca="1">IFERROR(__xludf.DUMMYFUNCTION("""COMPUTED_VALUE"""),"G")</f>
        <v>G</v>
      </c>
      <c r="E1234" s="118" t="str">
        <f ca="1">IFERROR(__xludf.DUMMYFUNCTION("""COMPUTED_VALUE"""),"F")</f>
        <v>F</v>
      </c>
      <c r="F1234" s="118" t="str">
        <f ca="1">IFERROR(__xludf.DUMMYFUNCTION("""COMPUTED_VALUE"""),"J")</f>
        <v>J</v>
      </c>
      <c r="G1234" s="118">
        <f ca="1">IFERROR(__xludf.DUMMYFUNCTION("""COMPUTED_VALUE"""),1)</f>
        <v>1</v>
      </c>
      <c r="H1234" s="118" t="str">
        <f ca="1">IFERROR(__xludf.DUMMYFUNCTION("""COMPUTED_VALUE"""),"O")</f>
        <v>O</v>
      </c>
      <c r="I1234" s="118">
        <f ca="1">IFERROR(__xludf.DUMMYFUNCTION("""COMPUTED_VALUE"""),4)</f>
        <v>4</v>
      </c>
      <c r="J1234" s="118">
        <f ca="1">IFERROR(__xludf.DUMMYFUNCTION("""COMPUTED_VALUE"""),2)</f>
        <v>2</v>
      </c>
      <c r="K1234" s="120">
        <f ca="1">IFERROR(__xludf.DUMMYFUNCTION("""COMPUTED_VALUE"""),55.8)</f>
        <v>55.8</v>
      </c>
      <c r="L1234" s="121"/>
      <c r="M1234" s="120">
        <f ca="1">IFERROR(__xludf.DUMMYFUNCTION("""COMPUTED_VALUE"""),53.9)</f>
        <v>53.9</v>
      </c>
      <c r="N1234" s="121"/>
      <c r="O1234" s="120"/>
      <c r="P1234" s="122"/>
      <c r="Q1234" s="123"/>
      <c r="R1234" s="123"/>
      <c r="S1234" s="123" t="str">
        <f ca="1">IFERROR(__xludf.DUMMYFUNCTION("""COMPUTED_VALUE"""),"Victoria Gomes")</f>
        <v>Victoria Gomes</v>
      </c>
      <c r="T1234" s="123"/>
    </row>
    <row r="1235" spans="1:20" ht="13.8">
      <c r="A1235" s="118" t="str">
        <f ca="1">IFERROR(__xludf.DUMMYFUNCTION("""COMPUTED_VALUE"""),"O")</f>
        <v>O</v>
      </c>
      <c r="B1235" s="119" t="str">
        <f ca="1">IFERROR(__xludf.DUMMYFUNCTION("""COMPUTED_VALUE"""),"Tinsley Arenstein")</f>
        <v>Tinsley Arenstein</v>
      </c>
      <c r="C1235" s="118">
        <f ca="1">IFERROR(__xludf.DUMMYFUNCTION("""COMPUTED_VALUE"""),10)</f>
        <v>10</v>
      </c>
      <c r="D1235" s="118" t="str">
        <f ca="1">IFERROR(__xludf.DUMMYFUNCTION("""COMPUTED_VALUE"""),"G")</f>
        <v>G</v>
      </c>
      <c r="E1235" s="118" t="str">
        <f ca="1">IFERROR(__xludf.DUMMYFUNCTION("""COMPUTED_VALUE"""),"F")</f>
        <v>F</v>
      </c>
      <c r="F1235" s="118" t="str">
        <f ca="1">IFERROR(__xludf.DUMMYFUNCTION("""COMPUTED_VALUE"""),"J")</f>
        <v>J</v>
      </c>
      <c r="G1235" s="118">
        <f ca="1">IFERROR(__xludf.DUMMYFUNCTION("""COMPUTED_VALUE"""),1)</f>
        <v>1</v>
      </c>
      <c r="H1235" s="118" t="str">
        <f ca="1">IFERROR(__xludf.DUMMYFUNCTION("""COMPUTED_VALUE"""),"O")</f>
        <v>O</v>
      </c>
      <c r="I1235" s="118">
        <f ca="1">IFERROR(__xludf.DUMMYFUNCTION("""COMPUTED_VALUE"""),4)</f>
        <v>4</v>
      </c>
      <c r="J1235" s="118">
        <f ca="1">IFERROR(__xludf.DUMMYFUNCTION("""COMPUTED_VALUE"""),1)</f>
        <v>1</v>
      </c>
      <c r="K1235" s="120">
        <f ca="1">IFERROR(__xludf.DUMMYFUNCTION("""COMPUTED_VALUE"""),38.25)</f>
        <v>38.25</v>
      </c>
      <c r="L1235" s="121"/>
      <c r="M1235" s="120"/>
      <c r="N1235" s="121"/>
      <c r="O1235" s="120">
        <f ca="1">IFERROR(__xludf.DUMMYFUNCTION("""COMPUTED_VALUE"""),38.25)</f>
        <v>38.25</v>
      </c>
      <c r="P1235" s="122"/>
      <c r="Q1235" s="123"/>
      <c r="R1235" s="123"/>
      <c r="S1235" s="123" t="str">
        <f ca="1">IFERROR(__xludf.DUMMYFUNCTION("""COMPUTED_VALUE"""),"Victoria Hill")</f>
        <v>Victoria Hill</v>
      </c>
      <c r="T1235" s="123"/>
    </row>
    <row r="1236" spans="1:20" ht="13.8">
      <c r="A1236" s="118" t="str">
        <f ca="1">IFERROR(__xludf.DUMMYFUNCTION("""COMPUTED_VALUE"""),"O")</f>
        <v>O</v>
      </c>
      <c r="B1236" s="119" t="str">
        <f ca="1">IFERROR(__xludf.DUMMYFUNCTION("""COMPUTED_VALUE"""),"Alexander Hudes")</f>
        <v>Alexander Hudes</v>
      </c>
      <c r="C1236" s="118">
        <f ca="1">IFERROR(__xludf.DUMMYFUNCTION("""COMPUTED_VALUE"""),7)</f>
        <v>7</v>
      </c>
      <c r="D1236" s="118" t="str">
        <f ca="1">IFERROR(__xludf.DUMMYFUNCTION("""COMPUTED_VALUE"""),"B")</f>
        <v>B</v>
      </c>
      <c r="E1236" s="118" t="str">
        <f ca="1">IFERROR(__xludf.DUMMYFUNCTION("""COMPUTED_VALUE"""),"F")</f>
        <v>F</v>
      </c>
      <c r="F1236" s="118" t="str">
        <f ca="1">IFERROR(__xludf.DUMMYFUNCTION("""COMPUTED_VALUE"""),"J")</f>
        <v>J</v>
      </c>
      <c r="G1236" s="118">
        <f ca="1">IFERROR(__xludf.DUMMYFUNCTION("""COMPUTED_VALUE"""),1)</f>
        <v>1</v>
      </c>
      <c r="H1236" s="118" t="str">
        <f ca="1">IFERROR(__xludf.DUMMYFUNCTION("""COMPUTED_VALUE"""),"O")</f>
        <v>O</v>
      </c>
      <c r="I1236" s="118">
        <f ca="1">IFERROR(__xludf.DUMMYFUNCTION("""COMPUTED_VALUE"""),5)</f>
        <v>5</v>
      </c>
      <c r="J1236" s="118">
        <f ca="1">IFERROR(__xludf.DUMMYFUNCTION("""COMPUTED_VALUE"""),0)</f>
        <v>0</v>
      </c>
      <c r="K1236" s="120"/>
      <c r="L1236" s="121"/>
      <c r="M1236" s="120"/>
      <c r="N1236" s="121"/>
      <c r="O1236" s="120"/>
      <c r="P1236" s="122"/>
      <c r="Q1236" s="123"/>
      <c r="R1236" s="123"/>
      <c r="S1236" s="123" t="str">
        <f ca="1">IFERROR(__xludf.DUMMYFUNCTION("""COMPUTED_VALUE"""),"Victoria Matthews")</f>
        <v>Victoria Matthews</v>
      </c>
      <c r="T1236" s="123"/>
    </row>
    <row r="1237" spans="1:20" ht="13.8">
      <c r="A1237" s="118" t="str">
        <f ca="1">IFERROR(__xludf.DUMMYFUNCTION("""COMPUTED_VALUE"""),"O")</f>
        <v>O</v>
      </c>
      <c r="B1237" s="119" t="str">
        <f ca="1">IFERROR(__xludf.DUMMYFUNCTION("""COMPUTED_VALUE"""),"Ashton Akers")</f>
        <v>Ashton Akers</v>
      </c>
      <c r="C1237" s="118">
        <f ca="1">IFERROR(__xludf.DUMMYFUNCTION("""COMPUTED_VALUE"""),9)</f>
        <v>9</v>
      </c>
      <c r="D1237" s="118" t="str">
        <f ca="1">IFERROR(__xludf.DUMMYFUNCTION("""COMPUTED_VALUE"""),"B")</f>
        <v>B</v>
      </c>
      <c r="E1237" s="118" t="str">
        <f ca="1">IFERROR(__xludf.DUMMYFUNCTION("""COMPUTED_VALUE"""),"F")</f>
        <v>F</v>
      </c>
      <c r="F1237" s="118" t="str">
        <f ca="1">IFERROR(__xludf.DUMMYFUNCTION("""COMPUTED_VALUE"""),"J")</f>
        <v>J</v>
      </c>
      <c r="G1237" s="118">
        <f ca="1">IFERROR(__xludf.DUMMYFUNCTION("""COMPUTED_VALUE"""),1)</f>
        <v>1</v>
      </c>
      <c r="H1237" s="118" t="str">
        <f ca="1">IFERROR(__xludf.DUMMYFUNCTION("""COMPUTED_VALUE"""),"O")</f>
        <v>O</v>
      </c>
      <c r="I1237" s="118">
        <f ca="1">IFERROR(__xludf.DUMMYFUNCTION("""COMPUTED_VALUE"""),5)</f>
        <v>5</v>
      </c>
      <c r="J1237" s="118">
        <f ca="1">IFERROR(__xludf.DUMMYFUNCTION("""COMPUTED_VALUE"""),0)</f>
        <v>0</v>
      </c>
      <c r="K1237" s="120"/>
      <c r="L1237" s="121"/>
      <c r="M1237" s="120"/>
      <c r="N1237" s="121"/>
      <c r="O1237" s="120"/>
      <c r="P1237" s="122"/>
      <c r="Q1237" s="123"/>
      <c r="R1237" s="123"/>
      <c r="S1237" s="123" t="str">
        <f ca="1">IFERROR(__xludf.DUMMYFUNCTION("""COMPUTED_VALUE"""),"Victoria Turcot")</f>
        <v>Victoria Turcot</v>
      </c>
      <c r="T1237" s="123"/>
    </row>
    <row r="1238" spans="1:20" ht="13.8">
      <c r="A1238" s="118" t="str">
        <f ca="1">IFERROR(__xludf.DUMMYFUNCTION("""COMPUTED_VALUE"""),"O")</f>
        <v>O</v>
      </c>
      <c r="B1238" s="119" t="str">
        <f ca="1">IFERROR(__xludf.DUMMYFUNCTION("""COMPUTED_VALUE"""),"Connor Friedman")</f>
        <v>Connor Friedman</v>
      </c>
      <c r="C1238" s="118">
        <f ca="1">IFERROR(__xludf.DUMMYFUNCTION("""COMPUTED_VALUE"""),9)</f>
        <v>9</v>
      </c>
      <c r="D1238" s="118" t="str">
        <f ca="1">IFERROR(__xludf.DUMMYFUNCTION("""COMPUTED_VALUE"""),"B")</f>
        <v>B</v>
      </c>
      <c r="E1238" s="118" t="str">
        <f ca="1">IFERROR(__xludf.DUMMYFUNCTION("""COMPUTED_VALUE"""),"F")</f>
        <v>F</v>
      </c>
      <c r="F1238" s="118" t="str">
        <f ca="1">IFERROR(__xludf.DUMMYFUNCTION("""COMPUTED_VALUE"""),"J")</f>
        <v>J</v>
      </c>
      <c r="G1238" s="118">
        <f ca="1">IFERROR(__xludf.DUMMYFUNCTION("""COMPUTED_VALUE"""),1)</f>
        <v>1</v>
      </c>
      <c r="H1238" s="118" t="str">
        <f ca="1">IFERROR(__xludf.DUMMYFUNCTION("""COMPUTED_VALUE"""),"O")</f>
        <v>O</v>
      </c>
      <c r="I1238" s="118">
        <f ca="1">IFERROR(__xludf.DUMMYFUNCTION("""COMPUTED_VALUE"""),5)</f>
        <v>5</v>
      </c>
      <c r="J1238" s="118">
        <f ca="1">IFERROR(__xludf.DUMMYFUNCTION("""COMPUTED_VALUE"""),0)</f>
        <v>0</v>
      </c>
      <c r="K1238" s="120"/>
      <c r="L1238" s="121"/>
      <c r="M1238" s="120"/>
      <c r="N1238" s="121"/>
      <c r="O1238" s="120"/>
      <c r="P1238" s="122"/>
      <c r="Q1238" s="123"/>
      <c r="R1238" s="123"/>
      <c r="S1238" s="123" t="str">
        <f ca="1">IFERROR(__xludf.DUMMYFUNCTION("""COMPUTED_VALUE"""),"Victoria Williams")</f>
        <v>Victoria Williams</v>
      </c>
      <c r="T1238" s="123"/>
    </row>
    <row r="1239" spans="1:20" ht="13.8">
      <c r="A1239" s="118" t="str">
        <f ca="1">IFERROR(__xludf.DUMMYFUNCTION("""COMPUTED_VALUE"""),"O")</f>
        <v>O</v>
      </c>
      <c r="B1239" s="119" t="str">
        <f ca="1">IFERROR(__xludf.DUMMYFUNCTION("""COMPUTED_VALUE"""),"George Broido")</f>
        <v>George Broido</v>
      </c>
      <c r="C1239" s="118">
        <f ca="1">IFERROR(__xludf.DUMMYFUNCTION("""COMPUTED_VALUE"""),9)</f>
        <v>9</v>
      </c>
      <c r="D1239" s="118" t="str">
        <f ca="1">IFERROR(__xludf.DUMMYFUNCTION("""COMPUTED_VALUE"""),"B")</f>
        <v>B</v>
      </c>
      <c r="E1239" s="118" t="str">
        <f ca="1">IFERROR(__xludf.DUMMYFUNCTION("""COMPUTED_VALUE"""),"F")</f>
        <v>F</v>
      </c>
      <c r="F1239" s="118" t="str">
        <f ca="1">IFERROR(__xludf.DUMMYFUNCTION("""COMPUTED_VALUE"""),"J")</f>
        <v>J</v>
      </c>
      <c r="G1239" s="118">
        <f ca="1">IFERROR(__xludf.DUMMYFUNCTION("""COMPUTED_VALUE"""),1)</f>
        <v>1</v>
      </c>
      <c r="H1239" s="118" t="str">
        <f ca="1">IFERROR(__xludf.DUMMYFUNCTION("""COMPUTED_VALUE"""),"O")</f>
        <v>O</v>
      </c>
      <c r="I1239" s="118">
        <f ca="1">IFERROR(__xludf.DUMMYFUNCTION("""COMPUTED_VALUE"""),5)</f>
        <v>5</v>
      </c>
      <c r="J1239" s="118">
        <f ca="1">IFERROR(__xludf.DUMMYFUNCTION("""COMPUTED_VALUE"""),0)</f>
        <v>0</v>
      </c>
      <c r="K1239" s="120"/>
      <c r="L1239" s="121"/>
      <c r="M1239" s="120"/>
      <c r="N1239" s="121"/>
      <c r="O1239" s="120"/>
      <c r="P1239" s="122"/>
      <c r="Q1239" s="123"/>
      <c r="R1239" s="123"/>
      <c r="S1239" s="123" t="str">
        <f ca="1">IFERROR(__xludf.DUMMYFUNCTION("""COMPUTED_VALUE"""),"Vidya Bharathan")</f>
        <v>Vidya Bharathan</v>
      </c>
      <c r="T1239" s="123"/>
    </row>
    <row r="1240" spans="1:20" ht="13.8">
      <c r="A1240" s="118" t="str">
        <f ca="1">IFERROR(__xludf.DUMMYFUNCTION("""COMPUTED_VALUE"""),"O")</f>
        <v>O</v>
      </c>
      <c r="B1240" s="119" t="str">
        <f ca="1">IFERROR(__xludf.DUMMYFUNCTION("""COMPUTED_VALUE"""),"Grayson Garcia")</f>
        <v>Grayson Garcia</v>
      </c>
      <c r="C1240" s="118">
        <f ca="1">IFERROR(__xludf.DUMMYFUNCTION("""COMPUTED_VALUE"""),9)</f>
        <v>9</v>
      </c>
      <c r="D1240" s="118" t="str">
        <f ca="1">IFERROR(__xludf.DUMMYFUNCTION("""COMPUTED_VALUE"""),"B")</f>
        <v>B</v>
      </c>
      <c r="E1240" s="118" t="str">
        <f ca="1">IFERROR(__xludf.DUMMYFUNCTION("""COMPUTED_VALUE"""),"F")</f>
        <v>F</v>
      </c>
      <c r="F1240" s="118" t="str">
        <f ca="1">IFERROR(__xludf.DUMMYFUNCTION("""COMPUTED_VALUE"""),"J")</f>
        <v>J</v>
      </c>
      <c r="G1240" s="118">
        <f ca="1">IFERROR(__xludf.DUMMYFUNCTION("""COMPUTED_VALUE"""),1)</f>
        <v>1</v>
      </c>
      <c r="H1240" s="118" t="str">
        <f ca="1">IFERROR(__xludf.DUMMYFUNCTION("""COMPUTED_VALUE"""),"O")</f>
        <v>O</v>
      </c>
      <c r="I1240" s="118">
        <f ca="1">IFERROR(__xludf.DUMMYFUNCTION("""COMPUTED_VALUE"""),5)</f>
        <v>5</v>
      </c>
      <c r="J1240" s="118">
        <f ca="1">IFERROR(__xludf.DUMMYFUNCTION("""COMPUTED_VALUE"""),0)</f>
        <v>0</v>
      </c>
      <c r="K1240" s="120"/>
      <c r="L1240" s="121"/>
      <c r="M1240" s="120"/>
      <c r="N1240" s="121"/>
      <c r="O1240" s="120"/>
      <c r="P1240" s="122"/>
      <c r="Q1240" s="123"/>
      <c r="R1240" s="123"/>
      <c r="S1240" s="123" t="str">
        <f ca="1">IFERROR(__xludf.DUMMYFUNCTION("""COMPUTED_VALUE"""),"Violet Daftari")</f>
        <v>Violet Daftari</v>
      </c>
      <c r="T1240" s="123"/>
    </row>
    <row r="1241" spans="1:20" ht="13.8">
      <c r="A1241" s="118" t="str">
        <f ca="1">IFERROR(__xludf.DUMMYFUNCTION("""COMPUTED_VALUE"""),"O")</f>
        <v>O</v>
      </c>
      <c r="B1241" s="119" t="str">
        <f ca="1">IFERROR(__xludf.DUMMYFUNCTION("""COMPUTED_VALUE"""),"Henry Pyser")</f>
        <v>Henry Pyser</v>
      </c>
      <c r="C1241" s="118">
        <f ca="1">IFERROR(__xludf.DUMMYFUNCTION("""COMPUTED_VALUE"""),7)</f>
        <v>7</v>
      </c>
      <c r="D1241" s="118" t="str">
        <f ca="1">IFERROR(__xludf.DUMMYFUNCTION("""COMPUTED_VALUE"""),"B")</f>
        <v>B</v>
      </c>
      <c r="E1241" s="118" t="str">
        <f ca="1">IFERROR(__xludf.DUMMYFUNCTION("""COMPUTED_VALUE"""),"F")</f>
        <v>F</v>
      </c>
      <c r="F1241" s="118" t="str">
        <f ca="1">IFERROR(__xludf.DUMMYFUNCTION("""COMPUTED_VALUE"""),"J")</f>
        <v>J</v>
      </c>
      <c r="G1241" s="118">
        <f ca="1">IFERROR(__xludf.DUMMYFUNCTION("""COMPUTED_VALUE"""),1)</f>
        <v>1</v>
      </c>
      <c r="H1241" s="118" t="str">
        <f ca="1">IFERROR(__xludf.DUMMYFUNCTION("""COMPUTED_VALUE"""),"O")</f>
        <v>O</v>
      </c>
      <c r="I1241" s="118">
        <f ca="1">IFERROR(__xludf.DUMMYFUNCTION("""COMPUTED_VALUE"""),5)</f>
        <v>5</v>
      </c>
      <c r="J1241" s="118">
        <f ca="1">IFERROR(__xludf.DUMMYFUNCTION("""COMPUTED_VALUE"""),0)</f>
        <v>0</v>
      </c>
      <c r="K1241" s="120"/>
      <c r="L1241" s="121"/>
      <c r="M1241" s="120"/>
      <c r="N1241" s="121"/>
      <c r="O1241" s="120"/>
      <c r="P1241" s="122"/>
      <c r="Q1241" s="123"/>
      <c r="R1241" s="123"/>
      <c r="S1241" s="123" t="str">
        <f ca="1">IFERROR(__xludf.DUMMYFUNCTION("""COMPUTED_VALUE"""),"Violet Marsh")</f>
        <v>Violet Marsh</v>
      </c>
      <c r="T1241" s="123"/>
    </row>
    <row r="1242" spans="1:20" ht="13.8">
      <c r="A1242" s="118" t="str">
        <f ca="1">IFERROR(__xludf.DUMMYFUNCTION("""COMPUTED_VALUE"""),"O")</f>
        <v>O</v>
      </c>
      <c r="B1242" s="119" t="str">
        <f ca="1">IFERROR(__xludf.DUMMYFUNCTION("""COMPUTED_VALUE"""),"Jacob Arenstein")</f>
        <v>Jacob Arenstein</v>
      </c>
      <c r="C1242" s="118">
        <f ca="1">IFERROR(__xludf.DUMMYFUNCTION("""COMPUTED_VALUE"""),8)</f>
        <v>8</v>
      </c>
      <c r="D1242" s="118" t="str">
        <f ca="1">IFERROR(__xludf.DUMMYFUNCTION("""COMPUTED_VALUE"""),"B")</f>
        <v>B</v>
      </c>
      <c r="E1242" s="118" t="str">
        <f ca="1">IFERROR(__xludf.DUMMYFUNCTION("""COMPUTED_VALUE"""),"F")</f>
        <v>F</v>
      </c>
      <c r="F1242" s="118" t="str">
        <f ca="1">IFERROR(__xludf.DUMMYFUNCTION("""COMPUTED_VALUE"""),"J")</f>
        <v>J</v>
      </c>
      <c r="G1242" s="118">
        <f ca="1">IFERROR(__xludf.DUMMYFUNCTION("""COMPUTED_VALUE"""),1)</f>
        <v>1</v>
      </c>
      <c r="H1242" s="118" t="str">
        <f ca="1">IFERROR(__xludf.DUMMYFUNCTION("""COMPUTED_VALUE"""),"O")</f>
        <v>O</v>
      </c>
      <c r="I1242" s="118">
        <f ca="1">IFERROR(__xludf.DUMMYFUNCTION("""COMPUTED_VALUE"""),5)</f>
        <v>5</v>
      </c>
      <c r="J1242" s="118">
        <f ca="1">IFERROR(__xludf.DUMMYFUNCTION("""COMPUTED_VALUE"""),0)</f>
        <v>0</v>
      </c>
      <c r="K1242" s="120"/>
      <c r="L1242" s="121"/>
      <c r="M1242" s="120"/>
      <c r="N1242" s="121"/>
      <c r="O1242" s="120"/>
      <c r="P1242" s="122"/>
      <c r="Q1242" s="123"/>
      <c r="R1242" s="123"/>
      <c r="S1242" s="123" t="str">
        <f ca="1">IFERROR(__xludf.DUMMYFUNCTION("""COMPUTED_VALUE"""),"Violet Pearce")</f>
        <v>Violet Pearce</v>
      </c>
      <c r="T1242" s="123"/>
    </row>
    <row r="1243" spans="1:20" ht="13.8">
      <c r="A1243" s="118" t="str">
        <f ca="1">IFERROR(__xludf.DUMMYFUNCTION("""COMPUTED_VALUE"""),"O")</f>
        <v>O</v>
      </c>
      <c r="B1243" s="119" t="str">
        <f ca="1">IFERROR(__xludf.DUMMYFUNCTION("""COMPUTED_VALUE"""),"Nicholas Richardson")</f>
        <v>Nicholas Richardson</v>
      </c>
      <c r="C1243" s="118">
        <f ca="1">IFERROR(__xludf.DUMMYFUNCTION("""COMPUTED_VALUE"""),9)</f>
        <v>9</v>
      </c>
      <c r="D1243" s="118" t="str">
        <f ca="1">IFERROR(__xludf.DUMMYFUNCTION("""COMPUTED_VALUE"""),"B")</f>
        <v>B</v>
      </c>
      <c r="E1243" s="118" t="str">
        <f ca="1">IFERROR(__xludf.DUMMYFUNCTION("""COMPUTED_VALUE"""),"F")</f>
        <v>F</v>
      </c>
      <c r="F1243" s="118" t="str">
        <f ca="1">IFERROR(__xludf.DUMMYFUNCTION("""COMPUTED_VALUE"""),"J")</f>
        <v>J</v>
      </c>
      <c r="G1243" s="118">
        <f ca="1">IFERROR(__xludf.DUMMYFUNCTION("""COMPUTED_VALUE"""),1)</f>
        <v>1</v>
      </c>
      <c r="H1243" s="118" t="str">
        <f ca="1">IFERROR(__xludf.DUMMYFUNCTION("""COMPUTED_VALUE"""),"O")</f>
        <v>O</v>
      </c>
      <c r="I1243" s="118">
        <f ca="1">IFERROR(__xludf.DUMMYFUNCTION("""COMPUTED_VALUE"""),5)</f>
        <v>5</v>
      </c>
      <c r="J1243" s="118">
        <f ca="1">IFERROR(__xludf.DUMMYFUNCTION("""COMPUTED_VALUE"""),0)</f>
        <v>0</v>
      </c>
      <c r="K1243" s="120"/>
      <c r="L1243" s="121"/>
      <c r="M1243" s="120"/>
      <c r="N1243" s="121"/>
      <c r="O1243" s="120"/>
      <c r="P1243" s="122"/>
      <c r="Q1243" s="123"/>
      <c r="R1243" s="123"/>
      <c r="S1243" s="123" t="str">
        <f ca="1">IFERROR(__xludf.DUMMYFUNCTION("""COMPUTED_VALUE"""),"Violet Yam")</f>
        <v>Violet Yam</v>
      </c>
      <c r="T1243" s="123"/>
    </row>
    <row r="1244" spans="1:20" ht="13.8">
      <c r="A1244" s="118" t="str">
        <f ca="1">IFERROR(__xludf.DUMMYFUNCTION("""COMPUTED_VALUE"""),"O")</f>
        <v>O</v>
      </c>
      <c r="B1244" s="119" t="str">
        <f ca="1">IFERROR(__xludf.DUMMYFUNCTION("""COMPUTED_VALUE"""),"Theo Hopkins")</f>
        <v>Theo Hopkins</v>
      </c>
      <c r="C1244" s="118">
        <f ca="1">IFERROR(__xludf.DUMMYFUNCTION("""COMPUTED_VALUE"""),8)</f>
        <v>8</v>
      </c>
      <c r="D1244" s="118" t="str">
        <f ca="1">IFERROR(__xludf.DUMMYFUNCTION("""COMPUTED_VALUE"""),"B")</f>
        <v>B</v>
      </c>
      <c r="E1244" s="118" t="str">
        <f ca="1">IFERROR(__xludf.DUMMYFUNCTION("""COMPUTED_VALUE"""),"F")</f>
        <v>F</v>
      </c>
      <c r="F1244" s="118" t="str">
        <f ca="1">IFERROR(__xludf.DUMMYFUNCTION("""COMPUTED_VALUE"""),"J")</f>
        <v>J</v>
      </c>
      <c r="G1244" s="118">
        <f ca="1">IFERROR(__xludf.DUMMYFUNCTION("""COMPUTED_VALUE"""),1)</f>
        <v>1</v>
      </c>
      <c r="H1244" s="118" t="str">
        <f ca="1">IFERROR(__xludf.DUMMYFUNCTION("""COMPUTED_VALUE"""),"O")</f>
        <v>O</v>
      </c>
      <c r="I1244" s="118">
        <f ca="1">IFERROR(__xludf.DUMMYFUNCTION("""COMPUTED_VALUE"""),5)</f>
        <v>5</v>
      </c>
      <c r="J1244" s="118">
        <f ca="1">IFERROR(__xludf.DUMMYFUNCTION("""COMPUTED_VALUE"""),0)</f>
        <v>0</v>
      </c>
      <c r="K1244" s="120"/>
      <c r="L1244" s="121"/>
      <c r="M1244" s="120"/>
      <c r="N1244" s="121"/>
      <c r="O1244" s="120"/>
      <c r="P1244" s="122"/>
      <c r="Q1244" s="123"/>
      <c r="R1244" s="123"/>
      <c r="S1244" s="123" t="str">
        <f ca="1">IFERROR(__xludf.DUMMYFUNCTION("""COMPUTED_VALUE"""),"Violetta Aldana")</f>
        <v>Violetta Aldana</v>
      </c>
      <c r="T1244" s="123"/>
    </row>
    <row r="1245" spans="1:20" ht="13.8">
      <c r="A1245" s="118" t="str">
        <f ca="1">IFERROR(__xludf.DUMMYFUNCTION("""COMPUTED_VALUE"""),"O")</f>
        <v>O</v>
      </c>
      <c r="B1245" s="119" t="str">
        <f ca="1">IFERROR(__xludf.DUMMYFUNCTION("""COMPUTED_VALUE"""),"William Cravens")</f>
        <v>William Cravens</v>
      </c>
      <c r="C1245" s="118">
        <f ca="1">IFERROR(__xludf.DUMMYFUNCTION("""COMPUTED_VALUE"""),8)</f>
        <v>8</v>
      </c>
      <c r="D1245" s="118" t="str">
        <f ca="1">IFERROR(__xludf.DUMMYFUNCTION("""COMPUTED_VALUE"""),"B")</f>
        <v>B</v>
      </c>
      <c r="E1245" s="118" t="str">
        <f ca="1">IFERROR(__xludf.DUMMYFUNCTION("""COMPUTED_VALUE"""),"F")</f>
        <v>F</v>
      </c>
      <c r="F1245" s="118" t="str">
        <f ca="1">IFERROR(__xludf.DUMMYFUNCTION("""COMPUTED_VALUE"""),"J")</f>
        <v>J</v>
      </c>
      <c r="G1245" s="118">
        <f ca="1">IFERROR(__xludf.DUMMYFUNCTION("""COMPUTED_VALUE"""),1)</f>
        <v>1</v>
      </c>
      <c r="H1245" s="118" t="str">
        <f ca="1">IFERROR(__xludf.DUMMYFUNCTION("""COMPUTED_VALUE"""),"O")</f>
        <v>O</v>
      </c>
      <c r="I1245" s="118">
        <f ca="1">IFERROR(__xludf.DUMMYFUNCTION("""COMPUTED_VALUE"""),5)</f>
        <v>5</v>
      </c>
      <c r="J1245" s="118">
        <f ca="1">IFERROR(__xludf.DUMMYFUNCTION("""COMPUTED_VALUE"""),0)</f>
        <v>0</v>
      </c>
      <c r="K1245" s="120"/>
      <c r="L1245" s="121"/>
      <c r="M1245" s="120"/>
      <c r="N1245" s="121"/>
      <c r="O1245" s="120"/>
      <c r="P1245" s="122"/>
      <c r="Q1245" s="123"/>
      <c r="R1245" s="123"/>
      <c r="S1245" s="123" t="str">
        <f ca="1">IFERROR(__xludf.DUMMYFUNCTION("""COMPUTED_VALUE"""),"Vivian Beck")</f>
        <v>Vivian Beck</v>
      </c>
      <c r="T1245" s="123"/>
    </row>
    <row r="1246" spans="1:20" ht="13.8">
      <c r="A1246" s="118" t="str">
        <f ca="1">IFERROR(__xludf.DUMMYFUNCTION("""COMPUTED_VALUE"""),"O")</f>
        <v>O</v>
      </c>
      <c r="B1246" s="119" t="str">
        <f ca="1">IFERROR(__xludf.DUMMYFUNCTION("""COMPUTED_VALUE"""),"Zachary Yen")</f>
        <v>Zachary Yen</v>
      </c>
      <c r="C1246" s="118">
        <f ca="1">IFERROR(__xludf.DUMMYFUNCTION("""COMPUTED_VALUE"""),9)</f>
        <v>9</v>
      </c>
      <c r="D1246" s="118" t="str">
        <f ca="1">IFERROR(__xludf.DUMMYFUNCTION("""COMPUTED_VALUE"""),"B")</f>
        <v>B</v>
      </c>
      <c r="E1246" s="118" t="str">
        <f ca="1">IFERROR(__xludf.DUMMYFUNCTION("""COMPUTED_VALUE"""),"F")</f>
        <v>F</v>
      </c>
      <c r="F1246" s="118" t="str">
        <f ca="1">IFERROR(__xludf.DUMMYFUNCTION("""COMPUTED_VALUE"""),"J")</f>
        <v>J</v>
      </c>
      <c r="G1246" s="118">
        <f ca="1">IFERROR(__xludf.DUMMYFUNCTION("""COMPUTED_VALUE"""),1)</f>
        <v>1</v>
      </c>
      <c r="H1246" s="118" t="str">
        <f ca="1">IFERROR(__xludf.DUMMYFUNCTION("""COMPUTED_VALUE"""),"O")</f>
        <v>O</v>
      </c>
      <c r="I1246" s="118">
        <f ca="1">IFERROR(__xludf.DUMMYFUNCTION("""COMPUTED_VALUE"""),5)</f>
        <v>5</v>
      </c>
      <c r="J1246" s="118">
        <f ca="1">IFERROR(__xludf.DUMMYFUNCTION("""COMPUTED_VALUE"""),5)</f>
        <v>5</v>
      </c>
      <c r="K1246" s="120">
        <f ca="1">IFERROR(__xludf.DUMMYFUNCTION("""COMPUTED_VALUE"""),54.6)</f>
        <v>54.6</v>
      </c>
      <c r="L1246" s="121"/>
      <c r="M1246" s="120">
        <f ca="1">IFERROR(__xludf.DUMMYFUNCTION("""COMPUTED_VALUE"""),36.4)</f>
        <v>36.4</v>
      </c>
      <c r="N1246" s="121"/>
      <c r="O1246" s="120">
        <f ca="1">IFERROR(__xludf.DUMMYFUNCTION("""COMPUTED_VALUE"""),50.7)</f>
        <v>50.7</v>
      </c>
      <c r="P1246" s="122"/>
      <c r="Q1246" s="123"/>
      <c r="R1246" s="123"/>
      <c r="S1246" s="123" t="str">
        <f ca="1">IFERROR(__xludf.DUMMYFUNCTION("""COMPUTED_VALUE"""),"Vivian Meruvia")</f>
        <v>Vivian Meruvia</v>
      </c>
      <c r="T1246" s="123"/>
    </row>
    <row r="1247" spans="1:20" ht="13.8">
      <c r="A1247" s="118" t="str">
        <f ca="1">IFERROR(__xludf.DUMMYFUNCTION("""COMPUTED_VALUE"""),"O")</f>
        <v>O</v>
      </c>
      <c r="B1247" s="119" t="str">
        <f ca="1">IFERROR(__xludf.DUMMYFUNCTION("""COMPUTED_VALUE"""),"Avery Ehst")</f>
        <v>Avery Ehst</v>
      </c>
      <c r="C1247" s="118">
        <f ca="1">IFERROR(__xludf.DUMMYFUNCTION("""COMPUTED_VALUE"""),11)</f>
        <v>11</v>
      </c>
      <c r="D1247" s="118" t="str">
        <f ca="1">IFERROR(__xludf.DUMMYFUNCTION("""COMPUTED_VALUE"""),"G")</f>
        <v>G</v>
      </c>
      <c r="E1247" s="118" t="str">
        <f ca="1">IFERROR(__xludf.DUMMYFUNCTION("""COMPUTED_VALUE"""),"J")</f>
        <v>J</v>
      </c>
      <c r="F1247" s="118" t="str">
        <f ca="1">IFERROR(__xludf.DUMMYFUNCTION("""COMPUTED_VALUE"""),"I")</f>
        <v>I</v>
      </c>
      <c r="G1247" s="118">
        <f ca="1">IFERROR(__xludf.DUMMYFUNCTION("""COMPUTED_VALUE"""),1)</f>
        <v>1</v>
      </c>
      <c r="H1247" s="118" t="str">
        <f ca="1">IFERROR(__xludf.DUMMYFUNCTION("""COMPUTED_VALUE"""),"O")</f>
        <v>O</v>
      </c>
      <c r="I1247" s="118">
        <f ca="1">IFERROR(__xludf.DUMMYFUNCTION("""COMPUTED_VALUE"""),6)</f>
        <v>6</v>
      </c>
      <c r="J1247" s="118">
        <f ca="1">IFERROR(__xludf.DUMMYFUNCTION("""COMPUTED_VALUE"""),1)</f>
        <v>1</v>
      </c>
      <c r="K1247" s="120">
        <f ca="1">IFERROR(__xludf.DUMMYFUNCTION("""COMPUTED_VALUE"""),71.15)</f>
        <v>71.150000000000006</v>
      </c>
      <c r="L1247" s="121"/>
      <c r="M1247" s="120"/>
      <c r="N1247" s="121"/>
      <c r="O1247" s="120"/>
      <c r="P1247" s="122"/>
      <c r="Q1247" s="123"/>
      <c r="R1247" s="123"/>
      <c r="S1247" s="123" t="str">
        <f ca="1">IFERROR(__xludf.DUMMYFUNCTION("""COMPUTED_VALUE"""),"Vivian Rumrill")</f>
        <v>Vivian Rumrill</v>
      </c>
      <c r="T1247" s="123"/>
    </row>
    <row r="1248" spans="1:20" ht="13.8">
      <c r="A1248" s="118" t="str">
        <f ca="1">IFERROR(__xludf.DUMMYFUNCTION("""COMPUTED_VALUE"""),"O")</f>
        <v>O</v>
      </c>
      <c r="B1248" s="119" t="str">
        <f ca="1">IFERROR(__xludf.DUMMYFUNCTION("""COMPUTED_VALUE"""),"Emme Waltrup")</f>
        <v>Emme Waltrup</v>
      </c>
      <c r="C1248" s="118">
        <f ca="1">IFERROR(__xludf.DUMMYFUNCTION("""COMPUTED_VALUE"""),11)</f>
        <v>11</v>
      </c>
      <c r="D1248" s="118" t="str">
        <f ca="1">IFERROR(__xludf.DUMMYFUNCTION("""COMPUTED_VALUE"""),"G")</f>
        <v>G</v>
      </c>
      <c r="E1248" s="118" t="str">
        <f ca="1">IFERROR(__xludf.DUMMYFUNCTION("""COMPUTED_VALUE"""),"J")</f>
        <v>J</v>
      </c>
      <c r="F1248" s="118" t="str">
        <f ca="1">IFERROR(__xludf.DUMMYFUNCTION("""COMPUTED_VALUE"""),"I")</f>
        <v>I</v>
      </c>
      <c r="G1248" s="118">
        <f ca="1">IFERROR(__xludf.DUMMYFUNCTION("""COMPUTED_VALUE"""),1)</f>
        <v>1</v>
      </c>
      <c r="H1248" s="118" t="str">
        <f ca="1">IFERROR(__xludf.DUMMYFUNCTION("""COMPUTED_VALUE"""),"O")</f>
        <v>O</v>
      </c>
      <c r="I1248" s="118">
        <f ca="1">IFERROR(__xludf.DUMMYFUNCTION("""COMPUTED_VALUE"""),6)</f>
        <v>6</v>
      </c>
      <c r="J1248" s="118">
        <f ca="1">IFERROR(__xludf.DUMMYFUNCTION("""COMPUTED_VALUE"""),5)</f>
        <v>5</v>
      </c>
      <c r="K1248" s="120">
        <f ca="1">IFERROR(__xludf.DUMMYFUNCTION("""COMPUTED_VALUE"""),102.7)</f>
        <v>102.7</v>
      </c>
      <c r="L1248" s="121"/>
      <c r="M1248" s="120">
        <f ca="1">IFERROR(__xludf.DUMMYFUNCTION("""COMPUTED_VALUE"""),90.55)</f>
        <v>90.55</v>
      </c>
      <c r="N1248" s="121"/>
      <c r="O1248" s="120">
        <f ca="1">IFERROR(__xludf.DUMMYFUNCTION("""COMPUTED_VALUE"""),87)</f>
        <v>87</v>
      </c>
      <c r="P1248" s="122"/>
      <c r="Q1248" s="123"/>
      <c r="R1248" s="123"/>
      <c r="S1248" s="123" t="str">
        <f ca="1">IFERROR(__xludf.DUMMYFUNCTION("""COMPUTED_VALUE"""),"Vivian Warren")</f>
        <v>Vivian Warren</v>
      </c>
      <c r="T1248" s="123"/>
    </row>
    <row r="1249" spans="1:20" ht="13.8">
      <c r="A1249" s="118" t="str">
        <f ca="1">IFERROR(__xludf.DUMMYFUNCTION("""COMPUTED_VALUE"""),"O")</f>
        <v>O</v>
      </c>
      <c r="B1249" s="119" t="str">
        <f ca="1">IFERROR(__xludf.DUMMYFUNCTION("""COMPUTED_VALUE"""),"Greta Bowser")</f>
        <v>Greta Bowser</v>
      </c>
      <c r="C1249" s="118">
        <f ca="1">IFERROR(__xludf.DUMMYFUNCTION("""COMPUTED_VALUE"""),11)</f>
        <v>11</v>
      </c>
      <c r="D1249" s="118" t="str">
        <f ca="1">IFERROR(__xludf.DUMMYFUNCTION("""COMPUTED_VALUE"""),"G")</f>
        <v>G</v>
      </c>
      <c r="E1249" s="118" t="str">
        <f ca="1">IFERROR(__xludf.DUMMYFUNCTION("""COMPUTED_VALUE"""),"J")</f>
        <v>J</v>
      </c>
      <c r="F1249" s="118" t="str">
        <f ca="1">IFERROR(__xludf.DUMMYFUNCTION("""COMPUTED_VALUE"""),"I")</f>
        <v>I</v>
      </c>
      <c r="G1249" s="118">
        <f ca="1">IFERROR(__xludf.DUMMYFUNCTION("""COMPUTED_VALUE"""),1)</f>
        <v>1</v>
      </c>
      <c r="H1249" s="118" t="str">
        <f ca="1">IFERROR(__xludf.DUMMYFUNCTION("""COMPUTED_VALUE"""),"O")</f>
        <v>O</v>
      </c>
      <c r="I1249" s="118">
        <f ca="1">IFERROR(__xludf.DUMMYFUNCTION("""COMPUTED_VALUE"""),6)</f>
        <v>6</v>
      </c>
      <c r="J1249" s="118">
        <f ca="1">IFERROR(__xludf.DUMMYFUNCTION("""COMPUTED_VALUE"""),5)</f>
        <v>5</v>
      </c>
      <c r="K1249" s="120">
        <f ca="1">IFERROR(__xludf.DUMMYFUNCTION("""COMPUTED_VALUE"""),111.2)</f>
        <v>111.2</v>
      </c>
      <c r="L1249" s="121"/>
      <c r="M1249" s="120">
        <f ca="1">IFERROR(__xludf.DUMMYFUNCTION("""COMPUTED_VALUE"""),90.45)</f>
        <v>90.45</v>
      </c>
      <c r="N1249" s="121"/>
      <c r="O1249" s="120">
        <f ca="1">IFERROR(__xludf.DUMMYFUNCTION("""COMPUTED_VALUE"""),99.65)</f>
        <v>99.65</v>
      </c>
      <c r="P1249" s="122"/>
      <c r="Q1249" s="123"/>
      <c r="R1249" s="123"/>
      <c r="S1249" s="123" t="str">
        <f ca="1">IFERROR(__xludf.DUMMYFUNCTION("""COMPUTED_VALUE"""),"Vivie Bucher")</f>
        <v>Vivie Bucher</v>
      </c>
      <c r="T1249" s="123"/>
    </row>
    <row r="1250" spans="1:20" ht="13.8">
      <c r="A1250" s="118" t="str">
        <f ca="1">IFERROR(__xludf.DUMMYFUNCTION("""COMPUTED_VALUE"""),"O")</f>
        <v>O</v>
      </c>
      <c r="B1250" s="119" t="str">
        <f ca="1">IFERROR(__xludf.DUMMYFUNCTION("""COMPUTED_VALUE"""),"Kenly McAllister")</f>
        <v>Kenly McAllister</v>
      </c>
      <c r="C1250" s="118">
        <f ca="1">IFERROR(__xludf.DUMMYFUNCTION("""COMPUTED_VALUE"""),12)</f>
        <v>12</v>
      </c>
      <c r="D1250" s="118" t="str">
        <f ca="1">IFERROR(__xludf.DUMMYFUNCTION("""COMPUTED_VALUE"""),"G")</f>
        <v>G</v>
      </c>
      <c r="E1250" s="118" t="str">
        <f ca="1">IFERROR(__xludf.DUMMYFUNCTION("""COMPUTED_VALUE"""),"J")</f>
        <v>J</v>
      </c>
      <c r="F1250" s="118" t="str">
        <f ca="1">IFERROR(__xludf.DUMMYFUNCTION("""COMPUTED_VALUE"""),"I")</f>
        <v>I</v>
      </c>
      <c r="G1250" s="118">
        <f ca="1">IFERROR(__xludf.DUMMYFUNCTION("""COMPUTED_VALUE"""),1)</f>
        <v>1</v>
      </c>
      <c r="H1250" s="118" t="str">
        <f ca="1">IFERROR(__xludf.DUMMYFUNCTION("""COMPUTED_VALUE"""),"O")</f>
        <v>O</v>
      </c>
      <c r="I1250" s="118">
        <f ca="1">IFERROR(__xludf.DUMMYFUNCTION("""COMPUTED_VALUE"""),6)</f>
        <v>6</v>
      </c>
      <c r="J1250" s="118">
        <f ca="1">IFERROR(__xludf.DUMMYFUNCTION("""COMPUTED_VALUE"""),4)</f>
        <v>4</v>
      </c>
      <c r="K1250" s="120">
        <f ca="1">IFERROR(__xludf.DUMMYFUNCTION("""COMPUTED_VALUE"""),107.8)</f>
        <v>107.8</v>
      </c>
      <c r="L1250" s="121"/>
      <c r="M1250" s="120">
        <f ca="1">IFERROR(__xludf.DUMMYFUNCTION("""COMPUTED_VALUE"""),85.4)</f>
        <v>85.4</v>
      </c>
      <c r="N1250" s="121"/>
      <c r="O1250" s="120"/>
      <c r="P1250" s="122"/>
      <c r="Q1250" s="123"/>
      <c r="R1250" s="123"/>
      <c r="S1250" s="123" t="str">
        <f ca="1">IFERROR(__xludf.DUMMYFUNCTION("""COMPUTED_VALUE"""),"Vivie Lee")</f>
        <v>Vivie Lee</v>
      </c>
      <c r="T1250" s="123"/>
    </row>
    <row r="1251" spans="1:20" ht="13.8">
      <c r="A1251" s="118" t="str">
        <f ca="1">IFERROR(__xludf.DUMMYFUNCTION("""COMPUTED_VALUE"""),"O")</f>
        <v>O</v>
      </c>
      <c r="B1251" s="119" t="str">
        <f ca="1">IFERROR(__xludf.DUMMYFUNCTION("""COMPUTED_VALUE"""),"Libby Collins")</f>
        <v>Libby Collins</v>
      </c>
      <c r="C1251" s="118">
        <f ca="1">IFERROR(__xludf.DUMMYFUNCTION("""COMPUTED_VALUE"""),11)</f>
        <v>11</v>
      </c>
      <c r="D1251" s="118" t="str">
        <f ca="1">IFERROR(__xludf.DUMMYFUNCTION("""COMPUTED_VALUE"""),"G")</f>
        <v>G</v>
      </c>
      <c r="E1251" s="118" t="str">
        <f ca="1">IFERROR(__xludf.DUMMYFUNCTION("""COMPUTED_VALUE"""),"J")</f>
        <v>J</v>
      </c>
      <c r="F1251" s="118" t="str">
        <f ca="1">IFERROR(__xludf.DUMMYFUNCTION("""COMPUTED_VALUE"""),"I")</f>
        <v>I</v>
      </c>
      <c r="G1251" s="118">
        <f ca="1">IFERROR(__xludf.DUMMYFUNCTION("""COMPUTED_VALUE"""),1)</f>
        <v>1</v>
      </c>
      <c r="H1251" s="118" t="str">
        <f ca="1">IFERROR(__xludf.DUMMYFUNCTION("""COMPUTED_VALUE"""),"O")</f>
        <v>O</v>
      </c>
      <c r="I1251" s="118">
        <f ca="1">IFERROR(__xludf.DUMMYFUNCTION("""COMPUTED_VALUE"""),6)</f>
        <v>6</v>
      </c>
      <c r="J1251" s="118">
        <f ca="1">IFERROR(__xludf.DUMMYFUNCTION("""COMPUTED_VALUE"""),0)</f>
        <v>0</v>
      </c>
      <c r="K1251" s="120"/>
      <c r="L1251" s="121"/>
      <c r="M1251" s="120"/>
      <c r="N1251" s="121"/>
      <c r="O1251" s="120"/>
      <c r="P1251" s="122"/>
      <c r="Q1251" s="123"/>
      <c r="R1251" s="123"/>
      <c r="S1251" s="123" t="str">
        <f ca="1">IFERROR(__xludf.DUMMYFUNCTION("""COMPUTED_VALUE"""),"Vivienne Bergeron")</f>
        <v>Vivienne Bergeron</v>
      </c>
      <c r="T1251" s="123"/>
    </row>
    <row r="1252" spans="1:20" ht="13.8">
      <c r="A1252" s="118" t="str">
        <f ca="1">IFERROR(__xludf.DUMMYFUNCTION("""COMPUTED_VALUE"""),"O")</f>
        <v>O</v>
      </c>
      <c r="B1252" s="119" t="str">
        <f ca="1">IFERROR(__xludf.DUMMYFUNCTION("""COMPUTED_VALUE"""),"McKay Deegan")</f>
        <v>McKay Deegan</v>
      </c>
      <c r="C1252" s="118">
        <f ca="1">IFERROR(__xludf.DUMMYFUNCTION("""COMPUTED_VALUE"""),12)</f>
        <v>12</v>
      </c>
      <c r="D1252" s="118" t="str">
        <f ca="1">IFERROR(__xludf.DUMMYFUNCTION("""COMPUTED_VALUE"""),"G")</f>
        <v>G</v>
      </c>
      <c r="E1252" s="118" t="str">
        <f ca="1">IFERROR(__xludf.DUMMYFUNCTION("""COMPUTED_VALUE"""),"J")</f>
        <v>J</v>
      </c>
      <c r="F1252" s="118" t="str">
        <f ca="1">IFERROR(__xludf.DUMMYFUNCTION("""COMPUTED_VALUE"""),"I")</f>
        <v>I</v>
      </c>
      <c r="G1252" s="118">
        <f ca="1">IFERROR(__xludf.DUMMYFUNCTION("""COMPUTED_VALUE"""),1)</f>
        <v>1</v>
      </c>
      <c r="H1252" s="118" t="str">
        <f ca="1">IFERROR(__xludf.DUMMYFUNCTION("""COMPUTED_VALUE"""),"O")</f>
        <v>O</v>
      </c>
      <c r="I1252" s="118">
        <f ca="1">IFERROR(__xludf.DUMMYFUNCTION("""COMPUTED_VALUE"""),6)</f>
        <v>6</v>
      </c>
      <c r="J1252" s="118">
        <f ca="1">IFERROR(__xludf.DUMMYFUNCTION("""COMPUTED_VALUE"""),5)</f>
        <v>5</v>
      </c>
      <c r="K1252" s="120">
        <f ca="1">IFERROR(__xludf.DUMMYFUNCTION("""COMPUTED_VALUE"""),111.6)</f>
        <v>111.6</v>
      </c>
      <c r="L1252" s="121"/>
      <c r="M1252" s="120">
        <f ca="1">IFERROR(__xludf.DUMMYFUNCTION("""COMPUTED_VALUE"""),107.75)</f>
        <v>107.75</v>
      </c>
      <c r="N1252" s="121"/>
      <c r="O1252" s="120">
        <f ca="1">IFERROR(__xludf.DUMMYFUNCTION("""COMPUTED_VALUE"""),109.1)</f>
        <v>109.1</v>
      </c>
      <c r="P1252" s="122"/>
      <c r="Q1252" s="123"/>
      <c r="R1252" s="123"/>
      <c r="S1252" s="123" t="str">
        <f ca="1">IFERROR(__xludf.DUMMYFUNCTION("""COMPUTED_VALUE"""),"Vivienne Zven")</f>
        <v>Vivienne Zven</v>
      </c>
      <c r="T1252" s="123"/>
    </row>
    <row r="1253" spans="1:20" ht="13.8">
      <c r="A1253" s="118" t="str">
        <f ca="1">IFERROR(__xludf.DUMMYFUNCTION("""COMPUTED_VALUE"""),"O")</f>
        <v>O</v>
      </c>
      <c r="B1253" s="119" t="str">
        <f ca="1">IFERROR(__xludf.DUMMYFUNCTION("""COMPUTED_VALUE"""),"Sofia Gyor")</f>
        <v>Sofia Gyor</v>
      </c>
      <c r="C1253" s="118">
        <f ca="1">IFERROR(__xludf.DUMMYFUNCTION("""COMPUTED_VALUE"""),12)</f>
        <v>12</v>
      </c>
      <c r="D1253" s="118" t="str">
        <f ca="1">IFERROR(__xludf.DUMMYFUNCTION("""COMPUTED_VALUE"""),"G")</f>
        <v>G</v>
      </c>
      <c r="E1253" s="118" t="str">
        <f ca="1">IFERROR(__xludf.DUMMYFUNCTION("""COMPUTED_VALUE"""),"J")</f>
        <v>J</v>
      </c>
      <c r="F1253" s="118" t="str">
        <f ca="1">IFERROR(__xludf.DUMMYFUNCTION("""COMPUTED_VALUE"""),"I")</f>
        <v>I</v>
      </c>
      <c r="G1253" s="118">
        <f ca="1">IFERROR(__xludf.DUMMYFUNCTION("""COMPUTED_VALUE"""),1)</f>
        <v>1</v>
      </c>
      <c r="H1253" s="118" t="str">
        <f ca="1">IFERROR(__xludf.DUMMYFUNCTION("""COMPUTED_VALUE"""),"O")</f>
        <v>O</v>
      </c>
      <c r="I1253" s="118">
        <f ca="1">IFERROR(__xludf.DUMMYFUNCTION("""COMPUTED_VALUE"""),6)</f>
        <v>6</v>
      </c>
      <c r="J1253" s="118">
        <f ca="1">IFERROR(__xludf.DUMMYFUNCTION("""COMPUTED_VALUE"""),3)</f>
        <v>3</v>
      </c>
      <c r="K1253" s="120">
        <f ca="1">IFERROR(__xludf.DUMMYFUNCTION("""COMPUTED_VALUE"""),94)</f>
        <v>94</v>
      </c>
      <c r="L1253" s="121"/>
      <c r="M1253" s="120">
        <f ca="1">IFERROR(__xludf.DUMMYFUNCTION("""COMPUTED_VALUE"""),64.85)</f>
        <v>64.849999999999994</v>
      </c>
      <c r="N1253" s="121"/>
      <c r="O1253" s="120"/>
      <c r="P1253" s="122"/>
      <c r="Q1253" s="123"/>
      <c r="R1253" s="123"/>
      <c r="S1253" s="123" t="str">
        <f ca="1">IFERROR(__xludf.DUMMYFUNCTION("""COMPUTED_VALUE"""),"Warren Paterno")</f>
        <v>Warren Paterno</v>
      </c>
      <c r="T1253" s="123"/>
    </row>
    <row r="1254" spans="1:20" ht="13.8">
      <c r="A1254" s="118" t="str">
        <f ca="1">IFERROR(__xludf.DUMMYFUNCTION("""COMPUTED_VALUE"""),"O")</f>
        <v>O</v>
      </c>
      <c r="B1254" s="119" t="str">
        <f ca="1">IFERROR(__xludf.DUMMYFUNCTION("""COMPUTED_VALUE"""),"Archer Kouhestani")</f>
        <v>Archer Kouhestani</v>
      </c>
      <c r="C1254" s="118">
        <f ca="1">IFERROR(__xludf.DUMMYFUNCTION("""COMPUTED_VALUE"""),12)</f>
        <v>12</v>
      </c>
      <c r="D1254" s="118" t="str">
        <f ca="1">IFERROR(__xludf.DUMMYFUNCTION("""COMPUTED_VALUE"""),"B")</f>
        <v>B</v>
      </c>
      <c r="E1254" s="118" t="str">
        <f ca="1">IFERROR(__xludf.DUMMYFUNCTION("""COMPUTED_VALUE"""),"J")</f>
        <v>J</v>
      </c>
      <c r="F1254" s="118" t="str">
        <f ca="1">IFERROR(__xludf.DUMMYFUNCTION("""COMPUTED_VALUE"""),"I")</f>
        <v>I</v>
      </c>
      <c r="G1254" s="118">
        <f ca="1">IFERROR(__xludf.DUMMYFUNCTION("""COMPUTED_VALUE"""),1)</f>
        <v>1</v>
      </c>
      <c r="H1254" s="118" t="str">
        <f ca="1">IFERROR(__xludf.DUMMYFUNCTION("""COMPUTED_VALUE"""),"O")</f>
        <v>O</v>
      </c>
      <c r="I1254" s="118">
        <f ca="1">IFERROR(__xludf.DUMMYFUNCTION("""COMPUTED_VALUE"""),7)</f>
        <v>7</v>
      </c>
      <c r="J1254" s="118">
        <f ca="1">IFERROR(__xludf.DUMMYFUNCTION("""COMPUTED_VALUE"""),5)</f>
        <v>5</v>
      </c>
      <c r="K1254" s="120">
        <f ca="1">IFERROR(__xludf.DUMMYFUNCTION("""COMPUTED_VALUE"""),117.1)</f>
        <v>117.1</v>
      </c>
      <c r="L1254" s="121"/>
      <c r="M1254" s="120">
        <f ca="1">IFERROR(__xludf.DUMMYFUNCTION("""COMPUTED_VALUE"""),81.9)</f>
        <v>81.900000000000006</v>
      </c>
      <c r="N1254" s="121"/>
      <c r="O1254" s="120">
        <f ca="1">IFERROR(__xludf.DUMMYFUNCTION("""COMPUTED_VALUE"""),103.85)</f>
        <v>103.85</v>
      </c>
      <c r="P1254" s="122"/>
      <c r="Q1254" s="123"/>
      <c r="R1254" s="123"/>
      <c r="S1254" s="123" t="str">
        <f ca="1">IFERROR(__xludf.DUMMYFUNCTION("""COMPUTED_VALUE"""),"Whitney Grantz")</f>
        <v>Whitney Grantz</v>
      </c>
      <c r="T1254" s="123"/>
    </row>
    <row r="1255" spans="1:20" ht="13.8">
      <c r="A1255" s="118" t="str">
        <f ca="1">IFERROR(__xludf.DUMMYFUNCTION("""COMPUTED_VALUE"""),"O")</f>
        <v>O</v>
      </c>
      <c r="B1255" s="119" t="str">
        <f ca="1">IFERROR(__xludf.DUMMYFUNCTION("""COMPUTED_VALUE"""),"Brennan Gyor")</f>
        <v>Brennan Gyor</v>
      </c>
      <c r="C1255" s="118">
        <f ca="1">IFERROR(__xludf.DUMMYFUNCTION("""COMPUTED_VALUE"""),12)</f>
        <v>12</v>
      </c>
      <c r="D1255" s="118" t="str">
        <f ca="1">IFERROR(__xludf.DUMMYFUNCTION("""COMPUTED_VALUE"""),"B")</f>
        <v>B</v>
      </c>
      <c r="E1255" s="118" t="str">
        <f ca="1">IFERROR(__xludf.DUMMYFUNCTION("""COMPUTED_VALUE"""),"J")</f>
        <v>J</v>
      </c>
      <c r="F1255" s="118" t="str">
        <f ca="1">IFERROR(__xludf.DUMMYFUNCTION("""COMPUTED_VALUE"""),"I")</f>
        <v>I</v>
      </c>
      <c r="G1255" s="118">
        <f ca="1">IFERROR(__xludf.DUMMYFUNCTION("""COMPUTED_VALUE"""),1)</f>
        <v>1</v>
      </c>
      <c r="H1255" s="118" t="str">
        <f ca="1">IFERROR(__xludf.DUMMYFUNCTION("""COMPUTED_VALUE"""),"O")</f>
        <v>O</v>
      </c>
      <c r="I1255" s="118">
        <f ca="1">IFERROR(__xludf.DUMMYFUNCTION("""COMPUTED_VALUE"""),7)</f>
        <v>7</v>
      </c>
      <c r="J1255" s="118">
        <f ca="1">IFERROR(__xludf.DUMMYFUNCTION("""COMPUTED_VALUE"""),0)</f>
        <v>0</v>
      </c>
      <c r="K1255" s="120"/>
      <c r="L1255" s="121"/>
      <c r="M1255" s="120"/>
      <c r="N1255" s="121"/>
      <c r="O1255" s="120"/>
      <c r="P1255" s="122"/>
      <c r="Q1255" s="123"/>
      <c r="R1255" s="123"/>
      <c r="S1255" s="123" t="str">
        <f ca="1">IFERROR(__xludf.DUMMYFUNCTION("""COMPUTED_VALUE"""),"Winnie Dugan")</f>
        <v>Winnie Dugan</v>
      </c>
      <c r="T1255" s="123"/>
    </row>
    <row r="1256" spans="1:20" ht="13.8">
      <c r="A1256" s="118" t="str">
        <f ca="1">IFERROR(__xludf.DUMMYFUNCTION("""COMPUTED_VALUE"""),"O")</f>
        <v>O</v>
      </c>
      <c r="B1256" s="119" t="str">
        <f ca="1">IFERROR(__xludf.DUMMYFUNCTION("""COMPUTED_VALUE"""),"Carter Williams")</f>
        <v>Carter Williams</v>
      </c>
      <c r="C1256" s="118">
        <f ca="1">IFERROR(__xludf.DUMMYFUNCTION("""COMPUTED_VALUE"""),11)</f>
        <v>11</v>
      </c>
      <c r="D1256" s="118" t="str">
        <f ca="1">IFERROR(__xludf.DUMMYFUNCTION("""COMPUTED_VALUE"""),"B")</f>
        <v>B</v>
      </c>
      <c r="E1256" s="118" t="str">
        <f ca="1">IFERROR(__xludf.DUMMYFUNCTION("""COMPUTED_VALUE"""),"J")</f>
        <v>J</v>
      </c>
      <c r="F1256" s="118" t="str">
        <f ca="1">IFERROR(__xludf.DUMMYFUNCTION("""COMPUTED_VALUE"""),"I")</f>
        <v>I</v>
      </c>
      <c r="G1256" s="118">
        <f ca="1">IFERROR(__xludf.DUMMYFUNCTION("""COMPUTED_VALUE"""),1)</f>
        <v>1</v>
      </c>
      <c r="H1256" s="118" t="str">
        <f ca="1">IFERROR(__xludf.DUMMYFUNCTION("""COMPUTED_VALUE"""),"O")</f>
        <v>O</v>
      </c>
      <c r="I1256" s="118">
        <f ca="1">IFERROR(__xludf.DUMMYFUNCTION("""COMPUTED_VALUE"""),7)</f>
        <v>7</v>
      </c>
      <c r="J1256" s="118">
        <f ca="1">IFERROR(__xludf.DUMMYFUNCTION("""COMPUTED_VALUE"""),4)</f>
        <v>4</v>
      </c>
      <c r="K1256" s="120">
        <f ca="1">IFERROR(__xludf.DUMMYFUNCTION("""COMPUTED_VALUE"""),84.7)</f>
        <v>84.7</v>
      </c>
      <c r="L1256" s="121"/>
      <c r="M1256" s="120">
        <f ca="1">IFERROR(__xludf.DUMMYFUNCTION("""COMPUTED_VALUE"""),70.2)</f>
        <v>70.2</v>
      </c>
      <c r="N1256" s="121"/>
      <c r="O1256" s="120">
        <f ca="1">IFERROR(__xludf.DUMMYFUNCTION("""COMPUTED_VALUE"""),84.7)</f>
        <v>84.7</v>
      </c>
      <c r="P1256" s="122"/>
      <c r="Q1256" s="123"/>
      <c r="R1256" s="123"/>
      <c r="S1256" s="123" t="str">
        <f ca="1">IFERROR(__xludf.DUMMYFUNCTION("""COMPUTED_VALUE"""),"Wren McCann")</f>
        <v>Wren McCann</v>
      </c>
      <c r="T1256" s="123"/>
    </row>
    <row r="1257" spans="1:20" ht="13.8">
      <c r="A1257" s="118" t="str">
        <f ca="1">IFERROR(__xludf.DUMMYFUNCTION("""COMPUTED_VALUE"""),"O")</f>
        <v>O</v>
      </c>
      <c r="B1257" s="119" t="str">
        <f ca="1">IFERROR(__xludf.DUMMYFUNCTION("""COMPUTED_VALUE"""),"Curtis Richardson")</f>
        <v>Curtis Richardson</v>
      </c>
      <c r="C1257" s="118">
        <f ca="1">IFERROR(__xludf.DUMMYFUNCTION("""COMPUTED_VALUE"""),11)</f>
        <v>11</v>
      </c>
      <c r="D1257" s="118" t="str">
        <f ca="1">IFERROR(__xludf.DUMMYFUNCTION("""COMPUTED_VALUE"""),"B")</f>
        <v>B</v>
      </c>
      <c r="E1257" s="118" t="str">
        <f ca="1">IFERROR(__xludf.DUMMYFUNCTION("""COMPUTED_VALUE"""),"J")</f>
        <v>J</v>
      </c>
      <c r="F1257" s="118" t="str">
        <f ca="1">IFERROR(__xludf.DUMMYFUNCTION("""COMPUTED_VALUE"""),"I")</f>
        <v>I</v>
      </c>
      <c r="G1257" s="118">
        <f ca="1">IFERROR(__xludf.DUMMYFUNCTION("""COMPUTED_VALUE"""),1)</f>
        <v>1</v>
      </c>
      <c r="H1257" s="118" t="str">
        <f ca="1">IFERROR(__xludf.DUMMYFUNCTION("""COMPUTED_VALUE"""),"O")</f>
        <v>O</v>
      </c>
      <c r="I1257" s="118">
        <f ca="1">IFERROR(__xludf.DUMMYFUNCTION("""COMPUTED_VALUE"""),7)</f>
        <v>7</v>
      </c>
      <c r="J1257" s="118">
        <f ca="1">IFERROR(__xludf.DUMMYFUNCTION("""COMPUTED_VALUE"""),0)</f>
        <v>0</v>
      </c>
      <c r="K1257" s="120"/>
      <c r="L1257" s="121"/>
      <c r="M1257" s="120"/>
      <c r="N1257" s="121"/>
      <c r="O1257" s="120"/>
      <c r="P1257" s="122"/>
      <c r="Q1257" s="123"/>
      <c r="R1257" s="123"/>
      <c r="S1257" s="123" t="str">
        <f ca="1">IFERROR(__xludf.DUMMYFUNCTION("""COMPUTED_VALUE"""),"Wrenna Humphries-Do")</f>
        <v>Wrenna Humphries-Do</v>
      </c>
      <c r="T1257" s="123"/>
    </row>
    <row r="1258" spans="1:20" ht="13.8">
      <c r="A1258" s="118" t="str">
        <f ca="1">IFERROR(__xludf.DUMMYFUNCTION("""COMPUTED_VALUE"""),"O")</f>
        <v>O</v>
      </c>
      <c r="B1258" s="119" t="str">
        <f ca="1">IFERROR(__xludf.DUMMYFUNCTION("""COMPUTED_VALUE"""),"Elliot Raber")</f>
        <v>Elliot Raber</v>
      </c>
      <c r="C1258" s="118">
        <f ca="1">IFERROR(__xludf.DUMMYFUNCTION("""COMPUTED_VALUE"""),11)</f>
        <v>11</v>
      </c>
      <c r="D1258" s="118" t="str">
        <f ca="1">IFERROR(__xludf.DUMMYFUNCTION("""COMPUTED_VALUE"""),"B")</f>
        <v>B</v>
      </c>
      <c r="E1258" s="118" t="str">
        <f ca="1">IFERROR(__xludf.DUMMYFUNCTION("""COMPUTED_VALUE"""),"J")</f>
        <v>J</v>
      </c>
      <c r="F1258" s="118" t="str">
        <f ca="1">IFERROR(__xludf.DUMMYFUNCTION("""COMPUTED_VALUE"""),"I")</f>
        <v>I</v>
      </c>
      <c r="G1258" s="118">
        <f ca="1">IFERROR(__xludf.DUMMYFUNCTION("""COMPUTED_VALUE"""),1)</f>
        <v>1</v>
      </c>
      <c r="H1258" s="118" t="str">
        <f ca="1">IFERROR(__xludf.DUMMYFUNCTION("""COMPUTED_VALUE"""),"O")</f>
        <v>O</v>
      </c>
      <c r="I1258" s="118">
        <f ca="1">IFERROR(__xludf.DUMMYFUNCTION("""COMPUTED_VALUE"""),7)</f>
        <v>7</v>
      </c>
      <c r="J1258" s="118">
        <f ca="1">IFERROR(__xludf.DUMMYFUNCTION("""COMPUTED_VALUE"""),0)</f>
        <v>0</v>
      </c>
      <c r="K1258" s="120"/>
      <c r="L1258" s="121"/>
      <c r="M1258" s="120"/>
      <c r="N1258" s="121"/>
      <c r="O1258" s="120"/>
      <c r="P1258" s="122"/>
      <c r="Q1258" s="123"/>
      <c r="R1258" s="123"/>
      <c r="S1258" s="123" t="str">
        <f ca="1">IFERROR(__xludf.DUMMYFUNCTION("""COMPUTED_VALUE"""),"Xanthy Kuehne")</f>
        <v>Xanthy Kuehne</v>
      </c>
      <c r="T1258" s="123"/>
    </row>
    <row r="1259" spans="1:20" ht="13.8">
      <c r="A1259" s="118" t="str">
        <f ca="1">IFERROR(__xludf.DUMMYFUNCTION("""COMPUTED_VALUE"""),"O")</f>
        <v>O</v>
      </c>
      <c r="B1259" s="119" t="str">
        <f ca="1">IFERROR(__xludf.DUMMYFUNCTION("""COMPUTED_VALUE"""),"Grant Mitchell")</f>
        <v>Grant Mitchell</v>
      </c>
      <c r="C1259" s="118">
        <f ca="1">IFERROR(__xludf.DUMMYFUNCTION("""COMPUTED_VALUE"""),12)</f>
        <v>12</v>
      </c>
      <c r="D1259" s="118" t="str">
        <f ca="1">IFERROR(__xludf.DUMMYFUNCTION("""COMPUTED_VALUE"""),"B")</f>
        <v>B</v>
      </c>
      <c r="E1259" s="118" t="str">
        <f ca="1">IFERROR(__xludf.DUMMYFUNCTION("""COMPUTED_VALUE"""),"J")</f>
        <v>J</v>
      </c>
      <c r="F1259" s="118" t="str">
        <f ca="1">IFERROR(__xludf.DUMMYFUNCTION("""COMPUTED_VALUE"""),"I")</f>
        <v>I</v>
      </c>
      <c r="G1259" s="118">
        <f ca="1">IFERROR(__xludf.DUMMYFUNCTION("""COMPUTED_VALUE"""),1)</f>
        <v>1</v>
      </c>
      <c r="H1259" s="118" t="str">
        <f ca="1">IFERROR(__xludf.DUMMYFUNCTION("""COMPUTED_VALUE"""),"O")</f>
        <v>O</v>
      </c>
      <c r="I1259" s="118">
        <f ca="1">IFERROR(__xludf.DUMMYFUNCTION("""COMPUTED_VALUE"""),7)</f>
        <v>7</v>
      </c>
      <c r="J1259" s="118">
        <f ca="1">IFERROR(__xludf.DUMMYFUNCTION("""COMPUTED_VALUE"""),3)</f>
        <v>3</v>
      </c>
      <c r="K1259" s="120">
        <f ca="1">IFERROR(__xludf.DUMMYFUNCTION("""COMPUTED_VALUE"""),89.25)</f>
        <v>89.25</v>
      </c>
      <c r="L1259" s="121"/>
      <c r="M1259" s="120"/>
      <c r="N1259" s="121"/>
      <c r="O1259" s="120"/>
      <c r="P1259" s="122"/>
      <c r="Q1259" s="123"/>
      <c r="R1259" s="123"/>
      <c r="S1259" s="123" t="str">
        <f ca="1">IFERROR(__xludf.DUMMYFUNCTION("""COMPUTED_VALUE"""),"Yohanna Stone")</f>
        <v>Yohanna Stone</v>
      </c>
      <c r="T1259" s="123"/>
    </row>
    <row r="1260" spans="1:20" ht="13.8">
      <c r="A1260" s="118" t="str">
        <f ca="1">IFERROR(__xludf.DUMMYFUNCTION("""COMPUTED_VALUE"""),"O")</f>
        <v>O</v>
      </c>
      <c r="B1260" s="119" t="str">
        <f ca="1">IFERROR(__xludf.DUMMYFUNCTION("""COMPUTED_VALUE"""),"Logan Schuster")</f>
        <v>Logan Schuster</v>
      </c>
      <c r="C1260" s="118">
        <f ca="1">IFERROR(__xludf.DUMMYFUNCTION("""COMPUTED_VALUE"""),11)</f>
        <v>11</v>
      </c>
      <c r="D1260" s="118" t="str">
        <f ca="1">IFERROR(__xludf.DUMMYFUNCTION("""COMPUTED_VALUE"""),"B")</f>
        <v>B</v>
      </c>
      <c r="E1260" s="118" t="str">
        <f ca="1">IFERROR(__xludf.DUMMYFUNCTION("""COMPUTED_VALUE"""),"J")</f>
        <v>J</v>
      </c>
      <c r="F1260" s="118" t="str">
        <f ca="1">IFERROR(__xludf.DUMMYFUNCTION("""COMPUTED_VALUE"""),"I")</f>
        <v>I</v>
      </c>
      <c r="G1260" s="118">
        <f ca="1">IFERROR(__xludf.DUMMYFUNCTION("""COMPUTED_VALUE"""),1)</f>
        <v>1</v>
      </c>
      <c r="H1260" s="118" t="str">
        <f ca="1">IFERROR(__xludf.DUMMYFUNCTION("""COMPUTED_VALUE"""),"O")</f>
        <v>O</v>
      </c>
      <c r="I1260" s="118">
        <f ca="1">IFERROR(__xludf.DUMMYFUNCTION("""COMPUTED_VALUE"""),7)</f>
        <v>7</v>
      </c>
      <c r="J1260" s="118">
        <f ca="1">IFERROR(__xludf.DUMMYFUNCTION("""COMPUTED_VALUE"""),0)</f>
        <v>0</v>
      </c>
      <c r="K1260" s="120"/>
      <c r="L1260" s="121"/>
      <c r="M1260" s="120"/>
      <c r="N1260" s="121"/>
      <c r="O1260" s="120"/>
      <c r="P1260" s="122"/>
      <c r="Q1260" s="123"/>
      <c r="R1260" s="123"/>
      <c r="S1260" s="123" t="str">
        <f ca="1">IFERROR(__xludf.DUMMYFUNCTION("""COMPUTED_VALUE"""),"Zahra Benmbarek")</f>
        <v>Zahra Benmbarek</v>
      </c>
      <c r="T1260" s="123"/>
    </row>
    <row r="1261" spans="1:20" ht="13.8">
      <c r="A1261" s="118" t="str">
        <f ca="1">IFERROR(__xludf.DUMMYFUNCTION("""COMPUTED_VALUE"""),"O")</f>
        <v>O</v>
      </c>
      <c r="B1261" s="119" t="str">
        <f ca="1">IFERROR(__xludf.DUMMYFUNCTION("""COMPUTED_VALUE"""),"Ren Newton")</f>
        <v>Ren Newton</v>
      </c>
      <c r="C1261" s="118">
        <f ca="1">IFERROR(__xludf.DUMMYFUNCTION("""COMPUTED_VALUE"""),12)</f>
        <v>12</v>
      </c>
      <c r="D1261" s="118" t="str">
        <f ca="1">IFERROR(__xludf.DUMMYFUNCTION("""COMPUTED_VALUE"""),"B")</f>
        <v>B</v>
      </c>
      <c r="E1261" s="118" t="str">
        <f ca="1">IFERROR(__xludf.DUMMYFUNCTION("""COMPUTED_VALUE"""),"J")</f>
        <v>J</v>
      </c>
      <c r="F1261" s="118" t="str">
        <f ca="1">IFERROR(__xludf.DUMMYFUNCTION("""COMPUTED_VALUE"""),"I")</f>
        <v>I</v>
      </c>
      <c r="G1261" s="118">
        <f ca="1">IFERROR(__xludf.DUMMYFUNCTION("""COMPUTED_VALUE"""),1)</f>
        <v>1</v>
      </c>
      <c r="H1261" s="118" t="str">
        <f ca="1">IFERROR(__xludf.DUMMYFUNCTION("""COMPUTED_VALUE"""),"O")</f>
        <v>O</v>
      </c>
      <c r="I1261" s="118">
        <f ca="1">IFERROR(__xludf.DUMMYFUNCTION("""COMPUTED_VALUE"""),7)</f>
        <v>7</v>
      </c>
      <c r="J1261" s="118">
        <f ca="1">IFERROR(__xludf.DUMMYFUNCTION("""COMPUTED_VALUE"""),4)</f>
        <v>4</v>
      </c>
      <c r="K1261" s="120">
        <f ca="1">IFERROR(__xludf.DUMMYFUNCTION("""COMPUTED_VALUE"""),91.6)</f>
        <v>91.6</v>
      </c>
      <c r="L1261" s="121"/>
      <c r="M1261" s="120"/>
      <c r="N1261" s="121"/>
      <c r="O1261" s="120">
        <f ca="1">IFERROR(__xludf.DUMMYFUNCTION("""COMPUTED_VALUE"""),85.35)</f>
        <v>85.35</v>
      </c>
      <c r="P1261" s="122"/>
      <c r="Q1261" s="123"/>
      <c r="R1261" s="123"/>
      <c r="S1261" s="123" t="str">
        <f ca="1">IFERROR(__xludf.DUMMYFUNCTION("""COMPUTED_VALUE"""),"Zeina Salameh")</f>
        <v>Zeina Salameh</v>
      </c>
      <c r="T1261" s="123"/>
    </row>
    <row r="1262" spans="1:20" ht="13.8">
      <c r="A1262" s="118" t="str">
        <f ca="1">IFERROR(__xludf.DUMMYFUNCTION("""COMPUTED_VALUE"""),"O")</f>
        <v>O</v>
      </c>
      <c r="B1262" s="119" t="str">
        <f ca="1">IFERROR(__xludf.DUMMYFUNCTION("""COMPUTED_VALUE"""),"Anna Dober")</f>
        <v>Anna Dober</v>
      </c>
      <c r="C1262" s="118">
        <f ca="1">IFERROR(__xludf.DUMMYFUNCTION("""COMPUTED_VALUE"""),14)</f>
        <v>14</v>
      </c>
      <c r="D1262" s="118" t="str">
        <f ca="1">IFERROR(__xludf.DUMMYFUNCTION("""COMPUTED_VALUE"""),"G")</f>
        <v>G</v>
      </c>
      <c r="E1262" s="118" t="str">
        <f ca="1">IFERROR(__xludf.DUMMYFUNCTION("""COMPUTED_VALUE"""),"I")</f>
        <v>I</v>
      </c>
      <c r="F1262" s="118" t="str">
        <f ca="1">IFERROR(__xludf.DUMMYFUNCTION("""COMPUTED_VALUE"""),"S")</f>
        <v>S</v>
      </c>
      <c r="G1262" s="118">
        <f ca="1">IFERROR(__xludf.DUMMYFUNCTION("""COMPUTED_VALUE"""),1)</f>
        <v>1</v>
      </c>
      <c r="H1262" s="118" t="str">
        <f ca="1">IFERROR(__xludf.DUMMYFUNCTION("""COMPUTED_VALUE"""),"O")</f>
        <v>O</v>
      </c>
      <c r="I1262" s="118">
        <f ca="1">IFERROR(__xludf.DUMMYFUNCTION("""COMPUTED_VALUE"""),8)</f>
        <v>8</v>
      </c>
      <c r="J1262" s="118">
        <f ca="1">IFERROR(__xludf.DUMMYFUNCTION("""COMPUTED_VALUE"""),5)</f>
        <v>5</v>
      </c>
      <c r="K1262" s="120">
        <f ca="1">IFERROR(__xludf.DUMMYFUNCTION("""COMPUTED_VALUE"""),133.2)</f>
        <v>133.19999999999999</v>
      </c>
      <c r="L1262" s="121"/>
      <c r="M1262" s="120">
        <f ca="1">IFERROR(__xludf.DUMMYFUNCTION("""COMPUTED_VALUE"""),118.2)</f>
        <v>118.2</v>
      </c>
      <c r="N1262" s="121"/>
      <c r="O1262" s="120">
        <f ca="1">IFERROR(__xludf.DUMMYFUNCTION("""COMPUTED_VALUE"""),119.3)</f>
        <v>119.3</v>
      </c>
      <c r="P1262" s="122"/>
      <c r="Q1262" s="123"/>
      <c r="R1262" s="123"/>
      <c r="S1262" s="123" t="str">
        <f ca="1">IFERROR(__xludf.DUMMYFUNCTION("""COMPUTED_VALUE"""),"Zhanna Doak")</f>
        <v>Zhanna Doak</v>
      </c>
      <c r="T1262" s="123"/>
    </row>
    <row r="1263" spans="1:20" ht="13.8">
      <c r="A1263" s="118" t="str">
        <f ca="1">IFERROR(__xludf.DUMMYFUNCTION("""COMPUTED_VALUE"""),"O")</f>
        <v>O</v>
      </c>
      <c r="B1263" s="119" t="str">
        <f ca="1">IFERROR(__xludf.DUMMYFUNCTION("""COMPUTED_VALUE"""),"CiCi Yen")</f>
        <v>CiCi Yen</v>
      </c>
      <c r="C1263" s="118">
        <f ca="1">IFERROR(__xludf.DUMMYFUNCTION("""COMPUTED_VALUE"""),13)</f>
        <v>13</v>
      </c>
      <c r="D1263" s="118" t="str">
        <f ca="1">IFERROR(__xludf.DUMMYFUNCTION("""COMPUTED_VALUE"""),"G")</f>
        <v>G</v>
      </c>
      <c r="E1263" s="118" t="str">
        <f ca="1">IFERROR(__xludf.DUMMYFUNCTION("""COMPUTED_VALUE"""),"I")</f>
        <v>I</v>
      </c>
      <c r="F1263" s="118" t="str">
        <f ca="1">IFERROR(__xludf.DUMMYFUNCTION("""COMPUTED_VALUE"""),"S")</f>
        <v>S</v>
      </c>
      <c r="G1263" s="118">
        <f ca="1">IFERROR(__xludf.DUMMYFUNCTION("""COMPUTED_VALUE"""),1)</f>
        <v>1</v>
      </c>
      <c r="H1263" s="118" t="str">
        <f ca="1">IFERROR(__xludf.DUMMYFUNCTION("""COMPUTED_VALUE"""),"O")</f>
        <v>O</v>
      </c>
      <c r="I1263" s="118">
        <f ca="1">IFERROR(__xludf.DUMMYFUNCTION("""COMPUTED_VALUE"""),8)</f>
        <v>8</v>
      </c>
      <c r="J1263" s="118">
        <f ca="1">IFERROR(__xludf.DUMMYFUNCTION("""COMPUTED_VALUE"""),5)</f>
        <v>5</v>
      </c>
      <c r="K1263" s="120">
        <f ca="1">IFERROR(__xludf.DUMMYFUNCTION("""COMPUTED_VALUE"""),203.6)</f>
        <v>203.6</v>
      </c>
      <c r="L1263" s="121"/>
      <c r="M1263" s="120">
        <f ca="1">IFERROR(__xludf.DUMMYFUNCTION("""COMPUTED_VALUE"""),197.55)</f>
        <v>197.55</v>
      </c>
      <c r="N1263" s="121"/>
      <c r="O1263" s="120">
        <f ca="1">IFERROR(__xludf.DUMMYFUNCTION("""COMPUTED_VALUE"""),193.3)</f>
        <v>193.3</v>
      </c>
      <c r="P1263" s="122"/>
      <c r="Q1263" s="123"/>
      <c r="R1263" s="123"/>
      <c r="S1263" s="123" t="str">
        <f ca="1">IFERROR(__xludf.DUMMYFUNCTION("""COMPUTED_VALUE"""),"Ziya Bhasin")</f>
        <v>Ziya Bhasin</v>
      </c>
      <c r="T1263" s="123"/>
    </row>
    <row r="1264" spans="1:20" ht="13.8">
      <c r="A1264" s="118" t="str">
        <f ca="1">IFERROR(__xludf.DUMMYFUNCTION("""COMPUTED_VALUE"""),"O")</f>
        <v>O</v>
      </c>
      <c r="B1264" s="119" t="str">
        <f ca="1">IFERROR(__xludf.DUMMYFUNCTION("""COMPUTED_VALUE"""),"Grace Bowser")</f>
        <v>Grace Bowser</v>
      </c>
      <c r="C1264" s="118">
        <f ca="1">IFERROR(__xludf.DUMMYFUNCTION("""COMPUTED_VALUE"""),14)</f>
        <v>14</v>
      </c>
      <c r="D1264" s="118" t="str">
        <f ca="1">IFERROR(__xludf.DUMMYFUNCTION("""COMPUTED_VALUE"""),"G")</f>
        <v>G</v>
      </c>
      <c r="E1264" s="118" t="str">
        <f ca="1">IFERROR(__xludf.DUMMYFUNCTION("""COMPUTED_VALUE"""),"I")</f>
        <v>I</v>
      </c>
      <c r="F1264" s="118" t="str">
        <f ca="1">IFERROR(__xludf.DUMMYFUNCTION("""COMPUTED_VALUE"""),"S")</f>
        <v>S</v>
      </c>
      <c r="G1264" s="118">
        <f ca="1">IFERROR(__xludf.DUMMYFUNCTION("""COMPUTED_VALUE"""),1)</f>
        <v>1</v>
      </c>
      <c r="H1264" s="118" t="str">
        <f ca="1">IFERROR(__xludf.DUMMYFUNCTION("""COMPUTED_VALUE"""),"O")</f>
        <v>O</v>
      </c>
      <c r="I1264" s="118">
        <f ca="1">IFERROR(__xludf.DUMMYFUNCTION("""COMPUTED_VALUE"""),8)</f>
        <v>8</v>
      </c>
      <c r="J1264" s="118">
        <f ca="1">IFERROR(__xludf.DUMMYFUNCTION("""COMPUTED_VALUE"""),0)</f>
        <v>0</v>
      </c>
      <c r="K1264" s="120"/>
      <c r="L1264" s="121"/>
      <c r="M1264" s="120"/>
      <c r="N1264" s="121"/>
      <c r="O1264" s="120"/>
      <c r="P1264" s="122"/>
      <c r="Q1264" s="123"/>
      <c r="R1264" s="123"/>
      <c r="S1264" s="123" t="str">
        <f ca="1">IFERROR(__xludf.DUMMYFUNCTION("""COMPUTED_VALUE"""),"Zoe Askin")</f>
        <v>Zoe Askin</v>
      </c>
      <c r="T1264" s="123"/>
    </row>
    <row r="1265" spans="1:20" ht="13.8">
      <c r="A1265" s="118" t="str">
        <f ca="1">IFERROR(__xludf.DUMMYFUNCTION("""COMPUTED_VALUE"""),"O")</f>
        <v>O</v>
      </c>
      <c r="B1265" s="119" t="str">
        <f ca="1">IFERROR(__xludf.DUMMYFUNCTION("""COMPUTED_VALUE"""),"Josie Malko")</f>
        <v>Josie Malko</v>
      </c>
      <c r="C1265" s="118">
        <f ca="1">IFERROR(__xludf.DUMMYFUNCTION("""COMPUTED_VALUE"""),13)</f>
        <v>13</v>
      </c>
      <c r="D1265" s="118" t="str">
        <f ca="1">IFERROR(__xludf.DUMMYFUNCTION("""COMPUTED_VALUE"""),"G")</f>
        <v>G</v>
      </c>
      <c r="E1265" s="118" t="str">
        <f ca="1">IFERROR(__xludf.DUMMYFUNCTION("""COMPUTED_VALUE"""),"I")</f>
        <v>I</v>
      </c>
      <c r="F1265" s="118" t="str">
        <f ca="1">IFERROR(__xludf.DUMMYFUNCTION("""COMPUTED_VALUE"""),"S")</f>
        <v>S</v>
      </c>
      <c r="G1265" s="118">
        <f ca="1">IFERROR(__xludf.DUMMYFUNCTION("""COMPUTED_VALUE"""),1)</f>
        <v>1</v>
      </c>
      <c r="H1265" s="118" t="str">
        <f ca="1">IFERROR(__xludf.DUMMYFUNCTION("""COMPUTED_VALUE"""),"O")</f>
        <v>O</v>
      </c>
      <c r="I1265" s="118">
        <f ca="1">IFERROR(__xludf.DUMMYFUNCTION("""COMPUTED_VALUE"""),8)</f>
        <v>8</v>
      </c>
      <c r="J1265" s="118">
        <f ca="1">IFERROR(__xludf.DUMMYFUNCTION("""COMPUTED_VALUE"""),0)</f>
        <v>0</v>
      </c>
      <c r="K1265" s="120"/>
      <c r="L1265" s="121"/>
      <c r="M1265" s="120"/>
      <c r="N1265" s="121"/>
      <c r="O1265" s="120"/>
      <c r="P1265" s="122"/>
      <c r="Q1265" s="123"/>
      <c r="R1265" s="123"/>
      <c r="S1265" s="123" t="str">
        <f ca="1">IFERROR(__xludf.DUMMYFUNCTION("""COMPUTED_VALUE"""),"Zoe Mar")</f>
        <v>Zoe Mar</v>
      </c>
      <c r="T1265" s="123"/>
    </row>
    <row r="1266" spans="1:20" ht="13.8">
      <c r="A1266" s="118" t="str">
        <f ca="1">IFERROR(__xludf.DUMMYFUNCTION("""COMPUTED_VALUE"""),"O")</f>
        <v>O</v>
      </c>
      <c r="B1266" s="119" t="str">
        <f ca="1">IFERROR(__xludf.DUMMYFUNCTION("""COMPUTED_VALUE"""),"Samantha Hobbs")</f>
        <v>Samantha Hobbs</v>
      </c>
      <c r="C1266" s="118">
        <f ca="1">IFERROR(__xludf.DUMMYFUNCTION("""COMPUTED_VALUE"""),13)</f>
        <v>13</v>
      </c>
      <c r="D1266" s="118" t="str">
        <f ca="1">IFERROR(__xludf.DUMMYFUNCTION("""COMPUTED_VALUE"""),"G")</f>
        <v>G</v>
      </c>
      <c r="E1266" s="118" t="str">
        <f ca="1">IFERROR(__xludf.DUMMYFUNCTION("""COMPUTED_VALUE"""),"I")</f>
        <v>I</v>
      </c>
      <c r="F1266" s="118" t="str">
        <f ca="1">IFERROR(__xludf.DUMMYFUNCTION("""COMPUTED_VALUE"""),"S")</f>
        <v>S</v>
      </c>
      <c r="G1266" s="118">
        <f ca="1">IFERROR(__xludf.DUMMYFUNCTION("""COMPUTED_VALUE"""),1)</f>
        <v>1</v>
      </c>
      <c r="H1266" s="118" t="str">
        <f ca="1">IFERROR(__xludf.DUMMYFUNCTION("""COMPUTED_VALUE"""),"O")</f>
        <v>O</v>
      </c>
      <c r="I1266" s="118">
        <f ca="1">IFERROR(__xludf.DUMMYFUNCTION("""COMPUTED_VALUE"""),8)</f>
        <v>8</v>
      </c>
      <c r="J1266" s="118">
        <f ca="1">IFERROR(__xludf.DUMMYFUNCTION("""COMPUTED_VALUE"""),5)</f>
        <v>5</v>
      </c>
      <c r="K1266" s="120">
        <f ca="1">IFERROR(__xludf.DUMMYFUNCTION("""COMPUTED_VALUE"""),122.5)</f>
        <v>122.5</v>
      </c>
      <c r="L1266" s="121"/>
      <c r="M1266" s="120">
        <f ca="1">IFERROR(__xludf.DUMMYFUNCTION("""COMPUTED_VALUE"""),102.2)</f>
        <v>102.2</v>
      </c>
      <c r="N1266" s="121"/>
      <c r="O1266" s="120">
        <f ca="1">IFERROR(__xludf.DUMMYFUNCTION("""COMPUTED_VALUE"""),105.05)</f>
        <v>105.05</v>
      </c>
      <c r="P1266" s="122"/>
      <c r="Q1266" s="123"/>
      <c r="R1266" s="123"/>
      <c r="S1266" s="123" t="str">
        <f ca="1">IFERROR(__xludf.DUMMYFUNCTION("""COMPUTED_VALUE"""),"Zoe Misitzis")</f>
        <v>Zoe Misitzis</v>
      </c>
      <c r="T1266" s="123"/>
    </row>
    <row r="1267" spans="1:20" ht="13.8">
      <c r="A1267" s="118" t="str">
        <f ca="1">IFERROR(__xludf.DUMMYFUNCTION("""COMPUTED_VALUE"""),"O")</f>
        <v>O</v>
      </c>
      <c r="B1267" s="119" t="str">
        <f ca="1">IFERROR(__xludf.DUMMYFUNCTION("""COMPUTED_VALUE"""),"Scarlett Waltrup")</f>
        <v>Scarlett Waltrup</v>
      </c>
      <c r="C1267" s="118">
        <f ca="1">IFERROR(__xludf.DUMMYFUNCTION("""COMPUTED_VALUE"""),14)</f>
        <v>14</v>
      </c>
      <c r="D1267" s="118" t="str">
        <f ca="1">IFERROR(__xludf.DUMMYFUNCTION("""COMPUTED_VALUE"""),"G")</f>
        <v>G</v>
      </c>
      <c r="E1267" s="118" t="str">
        <f ca="1">IFERROR(__xludf.DUMMYFUNCTION("""COMPUTED_VALUE"""),"I")</f>
        <v>I</v>
      </c>
      <c r="F1267" s="118" t="str">
        <f ca="1">IFERROR(__xludf.DUMMYFUNCTION("""COMPUTED_VALUE"""),"S")</f>
        <v>S</v>
      </c>
      <c r="G1267" s="118">
        <f ca="1">IFERROR(__xludf.DUMMYFUNCTION("""COMPUTED_VALUE"""),1)</f>
        <v>1</v>
      </c>
      <c r="H1267" s="118" t="str">
        <f ca="1">IFERROR(__xludf.DUMMYFUNCTION("""COMPUTED_VALUE"""),"O")</f>
        <v>O</v>
      </c>
      <c r="I1267" s="118">
        <f ca="1">IFERROR(__xludf.DUMMYFUNCTION("""COMPUTED_VALUE"""),8)</f>
        <v>8</v>
      </c>
      <c r="J1267" s="118">
        <f ca="1">IFERROR(__xludf.DUMMYFUNCTION("""COMPUTED_VALUE"""),5)</f>
        <v>5</v>
      </c>
      <c r="K1267" s="120">
        <f ca="1">IFERROR(__xludf.DUMMYFUNCTION("""COMPUTED_VALUE"""),141.3)</f>
        <v>141.30000000000001</v>
      </c>
      <c r="L1267" s="121"/>
      <c r="M1267" s="120">
        <f ca="1">IFERROR(__xludf.DUMMYFUNCTION("""COMPUTED_VALUE"""),118.6)</f>
        <v>118.6</v>
      </c>
      <c r="N1267" s="121"/>
      <c r="O1267" s="120">
        <f ca="1">IFERROR(__xludf.DUMMYFUNCTION("""COMPUTED_VALUE"""),126.9)</f>
        <v>126.9</v>
      </c>
      <c r="P1267" s="122"/>
      <c r="Q1267" s="123"/>
      <c r="R1267" s="123"/>
      <c r="S1267" s="123" t="str">
        <f ca="1">IFERROR(__xludf.DUMMYFUNCTION("""COMPUTED_VALUE"""),"Zoe Mroz")</f>
        <v>Zoe Mroz</v>
      </c>
      <c r="T1267" s="123"/>
    </row>
    <row r="1268" spans="1:20" ht="13.8">
      <c r="A1268" s="118" t="str">
        <f ca="1">IFERROR(__xludf.DUMMYFUNCTION("""COMPUTED_VALUE"""),"O")</f>
        <v>O</v>
      </c>
      <c r="B1268" s="119" t="str">
        <f ca="1">IFERROR(__xludf.DUMMYFUNCTION("""COMPUTED_VALUE"""),"Haynes Deegan")</f>
        <v>Haynes Deegan</v>
      </c>
      <c r="C1268" s="118">
        <f ca="1">IFERROR(__xludf.DUMMYFUNCTION("""COMPUTED_VALUE"""),14)</f>
        <v>14</v>
      </c>
      <c r="D1268" s="118" t="str">
        <f ca="1">IFERROR(__xludf.DUMMYFUNCTION("""COMPUTED_VALUE"""),"B")</f>
        <v>B</v>
      </c>
      <c r="E1268" s="118" t="str">
        <f ca="1">IFERROR(__xludf.DUMMYFUNCTION("""COMPUTED_VALUE"""),"I")</f>
        <v>I</v>
      </c>
      <c r="F1268" s="118" t="str">
        <f ca="1">IFERROR(__xludf.DUMMYFUNCTION("""COMPUTED_VALUE"""),"S")</f>
        <v>S</v>
      </c>
      <c r="G1268" s="118">
        <f ca="1">IFERROR(__xludf.DUMMYFUNCTION("""COMPUTED_VALUE"""),1)</f>
        <v>1</v>
      </c>
      <c r="H1268" s="118" t="str">
        <f ca="1">IFERROR(__xludf.DUMMYFUNCTION("""COMPUTED_VALUE"""),"O")</f>
        <v>O</v>
      </c>
      <c r="I1268" s="118">
        <f ca="1">IFERROR(__xludf.DUMMYFUNCTION("""COMPUTED_VALUE"""),9)</f>
        <v>9</v>
      </c>
      <c r="J1268" s="118">
        <f ca="1">IFERROR(__xludf.DUMMYFUNCTION("""COMPUTED_VALUE"""),4)</f>
        <v>4</v>
      </c>
      <c r="K1268" s="120">
        <f ca="1">IFERROR(__xludf.DUMMYFUNCTION("""COMPUTED_VALUE"""),131.35)</f>
        <v>131.35</v>
      </c>
      <c r="L1268" s="121"/>
      <c r="M1268" s="120">
        <f ca="1">IFERROR(__xludf.DUMMYFUNCTION("""COMPUTED_VALUE"""),112.6)</f>
        <v>112.6</v>
      </c>
      <c r="N1268" s="121"/>
      <c r="O1268" s="120">
        <f ca="1">IFERROR(__xludf.DUMMYFUNCTION("""COMPUTED_VALUE"""),88.9)</f>
        <v>88.9</v>
      </c>
      <c r="P1268" s="122"/>
      <c r="Q1268" s="123"/>
      <c r="R1268" s="123"/>
      <c r="S1268" s="123" t="str">
        <f ca="1">IFERROR(__xludf.DUMMYFUNCTION("""COMPUTED_VALUE"""),"Zoya Ridgway")</f>
        <v>Zoya Ridgway</v>
      </c>
      <c r="T1268" s="123"/>
    </row>
    <row r="1269" spans="1:20" ht="13.8">
      <c r="A1269" s="118" t="str">
        <f ca="1">IFERROR(__xludf.DUMMYFUNCTION("""COMPUTED_VALUE"""),"O")</f>
        <v>O</v>
      </c>
      <c r="B1269" s="119" t="str">
        <f ca="1">IFERROR(__xludf.DUMMYFUNCTION("""COMPUTED_VALUE"""),"John Raber")</f>
        <v>John Raber</v>
      </c>
      <c r="C1269" s="118">
        <f ca="1">IFERROR(__xludf.DUMMYFUNCTION("""COMPUTED_VALUE"""),13)</f>
        <v>13</v>
      </c>
      <c r="D1269" s="118" t="str">
        <f ca="1">IFERROR(__xludf.DUMMYFUNCTION("""COMPUTED_VALUE"""),"B")</f>
        <v>B</v>
      </c>
      <c r="E1269" s="118" t="str">
        <f ca="1">IFERROR(__xludf.DUMMYFUNCTION("""COMPUTED_VALUE"""),"I")</f>
        <v>I</v>
      </c>
      <c r="F1269" s="118" t="str">
        <f ca="1">IFERROR(__xludf.DUMMYFUNCTION("""COMPUTED_VALUE"""),"S")</f>
        <v>S</v>
      </c>
      <c r="G1269" s="118">
        <f ca="1">IFERROR(__xludf.DUMMYFUNCTION("""COMPUTED_VALUE"""),1)</f>
        <v>1</v>
      </c>
      <c r="H1269" s="118" t="str">
        <f ca="1">IFERROR(__xludf.DUMMYFUNCTION("""COMPUTED_VALUE"""),"O")</f>
        <v>O</v>
      </c>
      <c r="I1269" s="118">
        <f ca="1">IFERROR(__xludf.DUMMYFUNCTION("""COMPUTED_VALUE"""),9)</f>
        <v>9</v>
      </c>
      <c r="J1269" s="118">
        <f ca="1">IFERROR(__xludf.DUMMYFUNCTION("""COMPUTED_VALUE"""),0)</f>
        <v>0</v>
      </c>
      <c r="K1269" s="120"/>
      <c r="L1269" s="121"/>
      <c r="M1269" s="120"/>
      <c r="N1269" s="121"/>
      <c r="O1269" s="120"/>
      <c r="P1269" s="122"/>
      <c r="Q1269" s="123"/>
      <c r="R1269" s="123"/>
      <c r="S1269" s="123" t="str">
        <f ca="1">IFERROR(__xludf.DUMMYFUNCTION("""COMPUTED_VALUE"""),"ZZ Arnic")</f>
        <v>ZZ Arnic</v>
      </c>
      <c r="T1269" s="123"/>
    </row>
    <row r="1270" spans="1:20" ht="13.8">
      <c r="A1270" s="118" t="str">
        <f ca="1">IFERROR(__xludf.DUMMYFUNCTION("""COMPUTED_VALUE"""),"O")</f>
        <v>O</v>
      </c>
      <c r="B1270" s="119" t="str">
        <f ca="1">IFERROR(__xludf.DUMMYFUNCTION("""COMPUTED_VALUE"""),"Kris Martelli")</f>
        <v>Kris Martelli</v>
      </c>
      <c r="C1270" s="118">
        <f ca="1">IFERROR(__xludf.DUMMYFUNCTION("""COMPUTED_VALUE"""),14)</f>
        <v>14</v>
      </c>
      <c r="D1270" s="118" t="str">
        <f ca="1">IFERROR(__xludf.DUMMYFUNCTION("""COMPUTED_VALUE"""),"B")</f>
        <v>B</v>
      </c>
      <c r="E1270" s="118" t="str">
        <f ca="1">IFERROR(__xludf.DUMMYFUNCTION("""COMPUTED_VALUE"""),"I")</f>
        <v>I</v>
      </c>
      <c r="F1270" s="118" t="str">
        <f ca="1">IFERROR(__xludf.DUMMYFUNCTION("""COMPUTED_VALUE"""),"S")</f>
        <v>S</v>
      </c>
      <c r="G1270" s="118">
        <f ca="1">IFERROR(__xludf.DUMMYFUNCTION("""COMPUTED_VALUE"""),1)</f>
        <v>1</v>
      </c>
      <c r="H1270" s="118" t="str">
        <f ca="1">IFERROR(__xludf.DUMMYFUNCTION("""COMPUTED_VALUE"""),"O")</f>
        <v>O</v>
      </c>
      <c r="I1270" s="118">
        <f ca="1">IFERROR(__xludf.DUMMYFUNCTION("""COMPUTED_VALUE"""),9)</f>
        <v>9</v>
      </c>
      <c r="J1270" s="118">
        <f ca="1">IFERROR(__xludf.DUMMYFUNCTION("""COMPUTED_VALUE"""),0)</f>
        <v>0</v>
      </c>
      <c r="K1270" s="120"/>
      <c r="L1270" s="121"/>
      <c r="M1270" s="120"/>
      <c r="N1270" s="121"/>
      <c r="O1270" s="120"/>
      <c r="P1270" s="122"/>
      <c r="Q1270" s="123"/>
      <c r="R1270" s="123"/>
      <c r="S1270" s="123"/>
      <c r="T1270" s="123"/>
    </row>
    <row r="1271" spans="1:20" ht="13.8">
      <c r="A1271" s="118" t="str">
        <f ca="1">IFERROR(__xludf.DUMMYFUNCTION("""COMPUTED_VALUE"""),"O")</f>
        <v>O</v>
      </c>
      <c r="B1271" s="119" t="str">
        <f ca="1">IFERROR(__xludf.DUMMYFUNCTION("""COMPUTED_VALUE"""),"Amelia Buczek")</f>
        <v>Amelia Buczek</v>
      </c>
      <c r="C1271" s="118">
        <f ca="1">IFERROR(__xludf.DUMMYFUNCTION("""COMPUTED_VALUE"""),15)</f>
        <v>15</v>
      </c>
      <c r="D1271" s="118" t="str">
        <f ca="1">IFERROR(__xludf.DUMMYFUNCTION("""COMPUTED_VALUE"""),"G")</f>
        <v>G</v>
      </c>
      <c r="E1271" s="118" t="str">
        <f ca="1">IFERROR(__xludf.DUMMYFUNCTION("""COMPUTED_VALUE"""),"S")</f>
        <v>S</v>
      </c>
      <c r="F1271" s="118" t="str">
        <f ca="1">IFERROR(__xludf.DUMMYFUNCTION("""COMPUTED_VALUE"""),"S")</f>
        <v>S</v>
      </c>
      <c r="G1271" s="118">
        <f ca="1">IFERROR(__xludf.DUMMYFUNCTION("""COMPUTED_VALUE"""),1)</f>
        <v>1</v>
      </c>
      <c r="H1271" s="118" t="str">
        <f ca="1">IFERROR(__xludf.DUMMYFUNCTION("""COMPUTED_VALUE"""),"O")</f>
        <v>O</v>
      </c>
      <c r="I1271" s="118">
        <f ca="1">IFERROR(__xludf.DUMMYFUNCTION("""COMPUTED_VALUE"""),10)</f>
        <v>10</v>
      </c>
      <c r="J1271" s="118">
        <f ca="1">IFERROR(__xludf.DUMMYFUNCTION("""COMPUTED_VALUE"""),4)</f>
        <v>4</v>
      </c>
      <c r="K1271" s="120">
        <f ca="1">IFERROR(__xludf.DUMMYFUNCTION("""COMPUTED_VALUE"""),141.4)</f>
        <v>141.4</v>
      </c>
      <c r="L1271" s="121"/>
      <c r="M1271" s="120">
        <f ca="1">IFERROR(__xludf.DUMMYFUNCTION("""COMPUTED_VALUE"""),127.5)</f>
        <v>127.5</v>
      </c>
      <c r="N1271" s="121"/>
      <c r="O1271" s="120">
        <f ca="1">IFERROR(__xludf.DUMMYFUNCTION("""COMPUTED_VALUE"""),121.85)</f>
        <v>121.85</v>
      </c>
      <c r="P1271" s="122"/>
      <c r="Q1271" s="123"/>
      <c r="R1271" s="123"/>
      <c r="S1271" s="123"/>
      <c r="T1271" s="123"/>
    </row>
    <row r="1272" spans="1:20" ht="13.8">
      <c r="A1272" s="118" t="str">
        <f ca="1">IFERROR(__xludf.DUMMYFUNCTION("""COMPUTED_VALUE"""),"O")</f>
        <v>O</v>
      </c>
      <c r="B1272" s="119" t="str">
        <f ca="1">IFERROR(__xludf.DUMMYFUNCTION("""COMPUTED_VALUE"""),"Georgi Malko")</f>
        <v>Georgi Malko</v>
      </c>
      <c r="C1272" s="118">
        <f ca="1">IFERROR(__xludf.DUMMYFUNCTION("""COMPUTED_VALUE"""),15)</f>
        <v>15</v>
      </c>
      <c r="D1272" s="118" t="str">
        <f ca="1">IFERROR(__xludf.DUMMYFUNCTION("""COMPUTED_VALUE"""),"G")</f>
        <v>G</v>
      </c>
      <c r="E1272" s="118" t="str">
        <f ca="1">IFERROR(__xludf.DUMMYFUNCTION("""COMPUTED_VALUE"""),"S")</f>
        <v>S</v>
      </c>
      <c r="F1272" s="118" t="str">
        <f ca="1">IFERROR(__xludf.DUMMYFUNCTION("""COMPUTED_VALUE"""),"S")</f>
        <v>S</v>
      </c>
      <c r="G1272" s="118">
        <f ca="1">IFERROR(__xludf.DUMMYFUNCTION("""COMPUTED_VALUE"""),1)</f>
        <v>1</v>
      </c>
      <c r="H1272" s="118" t="str">
        <f ca="1">IFERROR(__xludf.DUMMYFUNCTION("""COMPUTED_VALUE"""),"O")</f>
        <v>O</v>
      </c>
      <c r="I1272" s="118">
        <f ca="1">IFERROR(__xludf.DUMMYFUNCTION("""COMPUTED_VALUE"""),10)</f>
        <v>10</v>
      </c>
      <c r="J1272" s="118">
        <f ca="1">IFERROR(__xludf.DUMMYFUNCTION("""COMPUTED_VALUE"""),1)</f>
        <v>1</v>
      </c>
      <c r="K1272" s="120">
        <f ca="1">IFERROR(__xludf.DUMMYFUNCTION("""COMPUTED_VALUE"""),108.4)</f>
        <v>108.4</v>
      </c>
      <c r="L1272" s="121"/>
      <c r="M1272" s="120">
        <f ca="1">IFERROR(__xludf.DUMMYFUNCTION("""COMPUTED_VALUE"""),108.4)</f>
        <v>108.4</v>
      </c>
      <c r="N1272" s="121"/>
      <c r="O1272" s="120"/>
      <c r="P1272" s="122"/>
      <c r="Q1272" s="123"/>
      <c r="R1272" s="123"/>
      <c r="S1272" s="123"/>
      <c r="T1272" s="123"/>
    </row>
    <row r="1273" spans="1:20" ht="13.8">
      <c r="A1273" s="118" t="str">
        <f ca="1">IFERROR(__xludf.DUMMYFUNCTION("""COMPUTED_VALUE"""),"O")</f>
        <v>O</v>
      </c>
      <c r="B1273" s="119" t="str">
        <f ca="1">IFERROR(__xludf.DUMMYFUNCTION("""COMPUTED_VALUE"""),"Michayla Eisenberg")</f>
        <v>Michayla Eisenberg</v>
      </c>
      <c r="C1273" s="118">
        <f ca="1">IFERROR(__xludf.DUMMYFUNCTION("""COMPUTED_VALUE"""),17)</f>
        <v>17</v>
      </c>
      <c r="D1273" s="118" t="str">
        <f ca="1">IFERROR(__xludf.DUMMYFUNCTION("""COMPUTED_VALUE"""),"G")</f>
        <v>G</v>
      </c>
      <c r="E1273" s="118" t="str">
        <f ca="1">IFERROR(__xludf.DUMMYFUNCTION("""COMPUTED_VALUE"""),"S")</f>
        <v>S</v>
      </c>
      <c r="F1273" s="118" t="str">
        <f ca="1">IFERROR(__xludf.DUMMYFUNCTION("""COMPUTED_VALUE"""),"S")</f>
        <v>S</v>
      </c>
      <c r="G1273" s="118">
        <f ca="1">IFERROR(__xludf.DUMMYFUNCTION("""COMPUTED_VALUE"""),1)</f>
        <v>1</v>
      </c>
      <c r="H1273" s="118" t="str">
        <f ca="1">IFERROR(__xludf.DUMMYFUNCTION("""COMPUTED_VALUE"""),"O")</f>
        <v>O</v>
      </c>
      <c r="I1273" s="118">
        <f ca="1">IFERROR(__xludf.DUMMYFUNCTION("""COMPUTED_VALUE"""),10)</f>
        <v>10</v>
      </c>
      <c r="J1273" s="118">
        <f ca="1">IFERROR(__xludf.DUMMYFUNCTION("""COMPUTED_VALUE"""),5)</f>
        <v>5</v>
      </c>
      <c r="K1273" s="120">
        <f ca="1">IFERROR(__xludf.DUMMYFUNCTION("""COMPUTED_VALUE"""),249)</f>
        <v>249</v>
      </c>
      <c r="L1273" s="121"/>
      <c r="M1273" s="120">
        <f ca="1">IFERROR(__xludf.DUMMYFUNCTION("""COMPUTED_VALUE"""),249)</f>
        <v>249</v>
      </c>
      <c r="N1273" s="121"/>
      <c r="O1273" s="120">
        <f ca="1">IFERROR(__xludf.DUMMYFUNCTION("""COMPUTED_VALUE"""),229.4)</f>
        <v>229.4</v>
      </c>
      <c r="P1273" s="122"/>
      <c r="Q1273" s="123"/>
      <c r="R1273" s="123"/>
      <c r="S1273" s="123"/>
      <c r="T1273" s="123"/>
    </row>
    <row r="1274" spans="1:20" ht="13.8">
      <c r="A1274" s="118" t="str">
        <f ca="1">IFERROR(__xludf.DUMMYFUNCTION("""COMPUTED_VALUE"""),"O")</f>
        <v>O</v>
      </c>
      <c r="B1274" s="119" t="str">
        <f ca="1">IFERROR(__xludf.DUMMYFUNCTION("""COMPUTED_VALUE"""),"Sophie Deegan")</f>
        <v>Sophie Deegan</v>
      </c>
      <c r="C1274" s="118">
        <f ca="1">IFERROR(__xludf.DUMMYFUNCTION("""COMPUTED_VALUE"""),16)</f>
        <v>16</v>
      </c>
      <c r="D1274" s="118" t="str">
        <f ca="1">IFERROR(__xludf.DUMMYFUNCTION("""COMPUTED_VALUE"""),"G")</f>
        <v>G</v>
      </c>
      <c r="E1274" s="118" t="str">
        <f ca="1">IFERROR(__xludf.DUMMYFUNCTION("""COMPUTED_VALUE"""),"S")</f>
        <v>S</v>
      </c>
      <c r="F1274" s="118" t="str">
        <f ca="1">IFERROR(__xludf.DUMMYFUNCTION("""COMPUTED_VALUE"""),"S")</f>
        <v>S</v>
      </c>
      <c r="G1274" s="118">
        <f ca="1">IFERROR(__xludf.DUMMYFUNCTION("""COMPUTED_VALUE"""),1)</f>
        <v>1</v>
      </c>
      <c r="H1274" s="118" t="str">
        <f ca="1">IFERROR(__xludf.DUMMYFUNCTION("""COMPUTED_VALUE"""),"O")</f>
        <v>O</v>
      </c>
      <c r="I1274" s="118">
        <f ca="1">IFERROR(__xludf.DUMMYFUNCTION("""COMPUTED_VALUE"""),10)</f>
        <v>10</v>
      </c>
      <c r="J1274" s="118">
        <f ca="1">IFERROR(__xludf.DUMMYFUNCTION("""COMPUTED_VALUE"""),4)</f>
        <v>4</v>
      </c>
      <c r="K1274" s="120">
        <f ca="1">IFERROR(__xludf.DUMMYFUNCTION("""COMPUTED_VALUE"""),163.5)</f>
        <v>163.5</v>
      </c>
      <c r="L1274" s="121"/>
      <c r="M1274" s="120">
        <f ca="1">IFERROR(__xludf.DUMMYFUNCTION("""COMPUTED_VALUE"""),158.85)</f>
        <v>158.85</v>
      </c>
      <c r="N1274" s="121"/>
      <c r="O1274" s="120"/>
      <c r="P1274" s="122"/>
      <c r="Q1274" s="123"/>
      <c r="R1274" s="123"/>
      <c r="S1274" s="123"/>
      <c r="T1274" s="123"/>
    </row>
    <row r="1275" spans="1:20" ht="13.8">
      <c r="A1275" s="118" t="str">
        <f ca="1">IFERROR(__xludf.DUMMYFUNCTION("""COMPUTED_VALUE"""),"O")</f>
        <v>O</v>
      </c>
      <c r="B1275" s="119" t="str">
        <f ca="1">IFERROR(__xludf.DUMMYFUNCTION("""COMPUTED_VALUE"""),"Stella Barclay")</f>
        <v>Stella Barclay</v>
      </c>
      <c r="C1275" s="118">
        <f ca="1">IFERROR(__xludf.DUMMYFUNCTION("""COMPUTED_VALUE"""),15)</f>
        <v>15</v>
      </c>
      <c r="D1275" s="118" t="str">
        <f ca="1">IFERROR(__xludf.DUMMYFUNCTION("""COMPUTED_VALUE"""),"G")</f>
        <v>G</v>
      </c>
      <c r="E1275" s="118" t="str">
        <f ca="1">IFERROR(__xludf.DUMMYFUNCTION("""COMPUTED_VALUE"""),"S")</f>
        <v>S</v>
      </c>
      <c r="F1275" s="118" t="str">
        <f ca="1">IFERROR(__xludf.DUMMYFUNCTION("""COMPUTED_VALUE"""),"S")</f>
        <v>S</v>
      </c>
      <c r="G1275" s="118">
        <f ca="1">IFERROR(__xludf.DUMMYFUNCTION("""COMPUTED_VALUE"""),1)</f>
        <v>1</v>
      </c>
      <c r="H1275" s="118" t="str">
        <f ca="1">IFERROR(__xludf.DUMMYFUNCTION("""COMPUTED_VALUE"""),"O")</f>
        <v>O</v>
      </c>
      <c r="I1275" s="118">
        <f ca="1">IFERROR(__xludf.DUMMYFUNCTION("""COMPUTED_VALUE"""),10)</f>
        <v>10</v>
      </c>
      <c r="J1275" s="118">
        <f ca="1">IFERROR(__xludf.DUMMYFUNCTION("""COMPUTED_VALUE"""),4)</f>
        <v>4</v>
      </c>
      <c r="K1275" s="120">
        <f ca="1">IFERROR(__xludf.DUMMYFUNCTION("""COMPUTED_VALUE"""),190.65)</f>
        <v>190.65</v>
      </c>
      <c r="L1275" s="121"/>
      <c r="M1275" s="120">
        <f ca="1">IFERROR(__xludf.DUMMYFUNCTION("""COMPUTED_VALUE"""),183.85)</f>
        <v>183.85</v>
      </c>
      <c r="N1275" s="121"/>
      <c r="O1275" s="120">
        <f ca="1">IFERROR(__xludf.DUMMYFUNCTION("""COMPUTED_VALUE"""),190.65)</f>
        <v>190.65</v>
      </c>
      <c r="P1275" s="122"/>
      <c r="Q1275" s="123"/>
      <c r="R1275" s="123"/>
      <c r="S1275" s="123"/>
      <c r="T1275" s="123"/>
    </row>
    <row r="1276" spans="1:20" ht="13.8">
      <c r="A1276" s="118" t="str">
        <f ca="1">IFERROR(__xludf.DUMMYFUNCTION("""COMPUTED_VALUE"""),"O")</f>
        <v>O</v>
      </c>
      <c r="B1276" s="119" t="str">
        <f ca="1">IFERROR(__xludf.DUMMYFUNCTION("""COMPUTED_VALUE"""),"Ben Keppler")</f>
        <v>Ben Keppler</v>
      </c>
      <c r="C1276" s="118">
        <f ca="1">IFERROR(__xludf.DUMMYFUNCTION("""COMPUTED_VALUE"""),15)</f>
        <v>15</v>
      </c>
      <c r="D1276" s="118" t="str">
        <f ca="1">IFERROR(__xludf.DUMMYFUNCTION("""COMPUTED_VALUE"""),"B")</f>
        <v>B</v>
      </c>
      <c r="E1276" s="118" t="str">
        <f ca="1">IFERROR(__xludf.DUMMYFUNCTION("""COMPUTED_VALUE"""),"S")</f>
        <v>S</v>
      </c>
      <c r="F1276" s="118" t="str">
        <f ca="1">IFERROR(__xludf.DUMMYFUNCTION("""COMPUTED_VALUE"""),"S")</f>
        <v>S</v>
      </c>
      <c r="G1276" s="118">
        <f ca="1">IFERROR(__xludf.DUMMYFUNCTION("""COMPUTED_VALUE"""),1)</f>
        <v>1</v>
      </c>
      <c r="H1276" s="118" t="str">
        <f ca="1">IFERROR(__xludf.DUMMYFUNCTION("""COMPUTED_VALUE"""),"O")</f>
        <v>O</v>
      </c>
      <c r="I1276" s="118">
        <f ca="1">IFERROR(__xludf.DUMMYFUNCTION("""COMPUTED_VALUE"""),11)</f>
        <v>11</v>
      </c>
      <c r="J1276" s="118">
        <f ca="1">IFERROR(__xludf.DUMMYFUNCTION("""COMPUTED_VALUE"""),0)</f>
        <v>0</v>
      </c>
      <c r="K1276" s="120"/>
      <c r="L1276" s="121"/>
      <c r="M1276" s="120"/>
      <c r="N1276" s="121"/>
      <c r="O1276" s="120"/>
      <c r="P1276" s="122"/>
      <c r="Q1276" s="123"/>
      <c r="R1276" s="123"/>
      <c r="S1276" s="123"/>
      <c r="T1276" s="123"/>
    </row>
    <row r="1277" spans="1:20" ht="13.8">
      <c r="A1277" s="118" t="str">
        <f ca="1">IFERROR(__xludf.DUMMYFUNCTION("""COMPUTED_VALUE"""),"O")</f>
        <v>O</v>
      </c>
      <c r="B1277" s="119" t="str">
        <f ca="1">IFERROR(__xludf.DUMMYFUNCTION("""COMPUTED_VALUE"""),"Jacob Bowser")</f>
        <v>Jacob Bowser</v>
      </c>
      <c r="C1277" s="118">
        <f ca="1">IFERROR(__xludf.DUMMYFUNCTION("""COMPUTED_VALUE"""),16)</f>
        <v>16</v>
      </c>
      <c r="D1277" s="118" t="str">
        <f ca="1">IFERROR(__xludf.DUMMYFUNCTION("""COMPUTED_VALUE"""),"B")</f>
        <v>B</v>
      </c>
      <c r="E1277" s="118" t="str">
        <f ca="1">IFERROR(__xludf.DUMMYFUNCTION("""COMPUTED_VALUE"""),"S")</f>
        <v>S</v>
      </c>
      <c r="F1277" s="118" t="str">
        <f ca="1">IFERROR(__xludf.DUMMYFUNCTION("""COMPUTED_VALUE"""),"S")</f>
        <v>S</v>
      </c>
      <c r="G1277" s="118">
        <f ca="1">IFERROR(__xludf.DUMMYFUNCTION("""COMPUTED_VALUE"""),1)</f>
        <v>1</v>
      </c>
      <c r="H1277" s="118" t="str">
        <f ca="1">IFERROR(__xludf.DUMMYFUNCTION("""COMPUTED_VALUE"""),"O")</f>
        <v>O</v>
      </c>
      <c r="I1277" s="118">
        <f ca="1">IFERROR(__xludf.DUMMYFUNCTION("""COMPUTED_VALUE"""),11)</f>
        <v>11</v>
      </c>
      <c r="J1277" s="118">
        <f ca="1">IFERROR(__xludf.DUMMYFUNCTION("""COMPUTED_VALUE"""),0)</f>
        <v>0</v>
      </c>
      <c r="K1277" s="120"/>
      <c r="L1277" s="121"/>
      <c r="M1277" s="120"/>
      <c r="N1277" s="121"/>
      <c r="O1277" s="120"/>
      <c r="P1277" s="122"/>
      <c r="Q1277" s="123"/>
      <c r="R1277" s="123"/>
      <c r="S1277" s="123"/>
      <c r="T1277" s="123"/>
    </row>
    <row r="1278" spans="1:20" ht="13.8">
      <c r="A1278" s="118" t="str">
        <f ca="1">IFERROR(__xludf.DUMMYFUNCTION("""COMPUTED_VALUE"""),"O")</f>
        <v>O</v>
      </c>
      <c r="B1278" s="119" t="str">
        <f ca="1">IFERROR(__xludf.DUMMYFUNCTION("""COMPUTED_VALUE"""),"Nate Cohen")</f>
        <v>Nate Cohen</v>
      </c>
      <c r="C1278" s="118">
        <f ca="1">IFERROR(__xludf.DUMMYFUNCTION("""COMPUTED_VALUE"""),17)</f>
        <v>17</v>
      </c>
      <c r="D1278" s="118" t="str">
        <f ca="1">IFERROR(__xludf.DUMMYFUNCTION("""COMPUTED_VALUE"""),"B")</f>
        <v>B</v>
      </c>
      <c r="E1278" s="118" t="str">
        <f ca="1">IFERROR(__xludf.DUMMYFUNCTION("""COMPUTED_VALUE"""),"S")</f>
        <v>S</v>
      </c>
      <c r="F1278" s="118" t="str">
        <f ca="1">IFERROR(__xludf.DUMMYFUNCTION("""COMPUTED_VALUE"""),"S")</f>
        <v>S</v>
      </c>
      <c r="G1278" s="118">
        <f ca="1">IFERROR(__xludf.DUMMYFUNCTION("""COMPUTED_VALUE"""),1)</f>
        <v>1</v>
      </c>
      <c r="H1278" s="118" t="str">
        <f ca="1">IFERROR(__xludf.DUMMYFUNCTION("""COMPUTED_VALUE"""),"O")</f>
        <v>O</v>
      </c>
      <c r="I1278" s="118">
        <f ca="1">IFERROR(__xludf.DUMMYFUNCTION("""COMPUTED_VALUE"""),11)</f>
        <v>11</v>
      </c>
      <c r="J1278" s="118">
        <f ca="1">IFERROR(__xludf.DUMMYFUNCTION("""COMPUTED_VALUE"""),4)</f>
        <v>4</v>
      </c>
      <c r="K1278" s="120">
        <f ca="1">IFERROR(__xludf.DUMMYFUNCTION("""COMPUTED_VALUE"""),187.85)</f>
        <v>187.85</v>
      </c>
      <c r="L1278" s="121"/>
      <c r="M1278" s="120">
        <f ca="1">IFERROR(__xludf.DUMMYFUNCTION("""COMPUTED_VALUE"""),176.85)</f>
        <v>176.85</v>
      </c>
      <c r="N1278" s="121"/>
      <c r="O1278" s="120">
        <f ca="1">IFERROR(__xludf.DUMMYFUNCTION("""COMPUTED_VALUE"""),157.85)</f>
        <v>157.85</v>
      </c>
      <c r="P1278" s="122"/>
      <c r="Q1278" s="123"/>
      <c r="R1278" s="123"/>
      <c r="S1278" s="123"/>
      <c r="T1278" s="123"/>
    </row>
    <row r="1279" spans="1:20" ht="13.8">
      <c r="A1279" s="118" t="str">
        <f ca="1">IFERROR(__xludf.DUMMYFUNCTION("""COMPUTED_VALUE"""),"O")</f>
        <v>O</v>
      </c>
      <c r="B1279" s="119" t="str">
        <f ca="1">IFERROR(__xludf.DUMMYFUNCTION("""COMPUTED_VALUE"""),"Nick Tressler")</f>
        <v>Nick Tressler</v>
      </c>
      <c r="C1279" s="118">
        <f ca="1">IFERROR(__xludf.DUMMYFUNCTION("""COMPUTED_VALUE"""),15)</f>
        <v>15</v>
      </c>
      <c r="D1279" s="118" t="str">
        <f ca="1">IFERROR(__xludf.DUMMYFUNCTION("""COMPUTED_VALUE"""),"B")</f>
        <v>B</v>
      </c>
      <c r="E1279" s="118" t="str">
        <f ca="1">IFERROR(__xludf.DUMMYFUNCTION("""COMPUTED_VALUE"""),"S")</f>
        <v>S</v>
      </c>
      <c r="F1279" s="118" t="str">
        <f ca="1">IFERROR(__xludf.DUMMYFUNCTION("""COMPUTED_VALUE"""),"S")</f>
        <v>S</v>
      </c>
      <c r="G1279" s="118">
        <f ca="1">IFERROR(__xludf.DUMMYFUNCTION("""COMPUTED_VALUE"""),1)</f>
        <v>1</v>
      </c>
      <c r="H1279" s="118" t="str">
        <f ca="1">IFERROR(__xludf.DUMMYFUNCTION("""COMPUTED_VALUE"""),"O")</f>
        <v>O</v>
      </c>
      <c r="I1279" s="118">
        <f ca="1">IFERROR(__xludf.DUMMYFUNCTION("""COMPUTED_VALUE"""),11)</f>
        <v>11</v>
      </c>
      <c r="J1279" s="118">
        <f ca="1">IFERROR(__xludf.DUMMYFUNCTION("""COMPUTED_VALUE"""),4)</f>
        <v>4</v>
      </c>
      <c r="K1279" s="120">
        <f ca="1">IFERROR(__xludf.DUMMYFUNCTION("""COMPUTED_VALUE"""),160.1)</f>
        <v>160.1</v>
      </c>
      <c r="L1279" s="121"/>
      <c r="M1279" s="120">
        <f ca="1">IFERROR(__xludf.DUMMYFUNCTION("""COMPUTED_VALUE"""),141.85)</f>
        <v>141.85</v>
      </c>
      <c r="N1279" s="121"/>
      <c r="O1279" s="120">
        <f ca="1">IFERROR(__xludf.DUMMYFUNCTION("""COMPUTED_VALUE"""),130.8)</f>
        <v>130.80000000000001</v>
      </c>
      <c r="P1279" s="122"/>
      <c r="Q1279" s="123"/>
      <c r="R1279" s="123"/>
      <c r="S1279" s="123"/>
      <c r="T1279" s="123"/>
    </row>
    <row r="1280" spans="1:20" ht="13.8">
      <c r="A1280" s="118" t="str">
        <f ca="1">IFERROR(__xludf.DUMMYFUNCTION("""COMPUTED_VALUE"""),"OAK")</f>
        <v>OAK</v>
      </c>
      <c r="B1280" s="119" t="str">
        <f ca="1">IFERROR(__xludf.DUMMYFUNCTION("""COMPUTED_VALUE"""),"Alice Henderson")</f>
        <v>Alice Henderson</v>
      </c>
      <c r="C1280" s="118">
        <f ca="1">IFERROR(__xludf.DUMMYFUNCTION("""COMPUTED_VALUE"""),7)</f>
        <v>7</v>
      </c>
      <c r="D1280" s="118" t="str">
        <f ca="1">IFERROR(__xludf.DUMMYFUNCTION("""COMPUTED_VALUE"""),"G")</f>
        <v>G</v>
      </c>
      <c r="E1280" s="118" t="str">
        <f ca="1">IFERROR(__xludf.DUMMYFUNCTION("""COMPUTED_VALUE"""),"F")</f>
        <v>F</v>
      </c>
      <c r="F1280" s="118" t="str">
        <f ca="1">IFERROR(__xludf.DUMMYFUNCTION("""COMPUTED_VALUE"""),"J")</f>
        <v>J</v>
      </c>
      <c r="G1280" s="118">
        <f ca="1">IFERROR(__xludf.DUMMYFUNCTION("""COMPUTED_VALUE"""),1)</f>
        <v>1</v>
      </c>
      <c r="H1280" s="118" t="str">
        <f ca="1">IFERROR(__xludf.DUMMYFUNCTION("""COMPUTED_VALUE"""),"OAK")</f>
        <v>OAK</v>
      </c>
      <c r="I1280" s="118">
        <f ca="1">IFERROR(__xludf.DUMMYFUNCTION("""COMPUTED_VALUE"""),4)</f>
        <v>4</v>
      </c>
      <c r="J1280" s="118">
        <f ca="1">IFERROR(__xludf.DUMMYFUNCTION("""COMPUTED_VALUE"""),2)</f>
        <v>2</v>
      </c>
      <c r="K1280" s="120">
        <f ca="1">IFERROR(__xludf.DUMMYFUNCTION("""COMPUTED_VALUE"""),48.9)</f>
        <v>48.9</v>
      </c>
      <c r="L1280" s="121"/>
      <c r="M1280" s="120">
        <f ca="1">IFERROR(__xludf.DUMMYFUNCTION("""COMPUTED_VALUE"""),17)</f>
        <v>17</v>
      </c>
      <c r="N1280" s="121"/>
      <c r="O1280" s="120"/>
      <c r="P1280" s="122"/>
      <c r="Q1280" s="123"/>
      <c r="R1280" s="123"/>
      <c r="S1280" s="123"/>
      <c r="T1280" s="123"/>
    </row>
    <row r="1281" spans="1:20" ht="13.8">
      <c r="A1281" s="118" t="str">
        <f ca="1">IFERROR(__xludf.DUMMYFUNCTION("""COMPUTED_VALUE"""),"OAK")</f>
        <v>OAK</v>
      </c>
      <c r="B1281" s="119" t="str">
        <f ca="1">IFERROR(__xludf.DUMMYFUNCTION("""COMPUTED_VALUE"""),"Caitlin Martin")</f>
        <v>Caitlin Martin</v>
      </c>
      <c r="C1281" s="118">
        <f ca="1">IFERROR(__xludf.DUMMYFUNCTION("""COMPUTED_VALUE"""),10)</f>
        <v>10</v>
      </c>
      <c r="D1281" s="118" t="str">
        <f ca="1">IFERROR(__xludf.DUMMYFUNCTION("""COMPUTED_VALUE"""),"G")</f>
        <v>G</v>
      </c>
      <c r="E1281" s="118" t="str">
        <f ca="1">IFERROR(__xludf.DUMMYFUNCTION("""COMPUTED_VALUE"""),"F")</f>
        <v>F</v>
      </c>
      <c r="F1281" s="118" t="str">
        <f ca="1">IFERROR(__xludf.DUMMYFUNCTION("""COMPUTED_VALUE"""),"J")</f>
        <v>J</v>
      </c>
      <c r="G1281" s="118">
        <f ca="1">IFERROR(__xludf.DUMMYFUNCTION("""COMPUTED_VALUE"""),1)</f>
        <v>1</v>
      </c>
      <c r="H1281" s="118" t="str">
        <f ca="1">IFERROR(__xludf.DUMMYFUNCTION("""COMPUTED_VALUE"""),"OAK")</f>
        <v>OAK</v>
      </c>
      <c r="I1281" s="118">
        <f ca="1">IFERROR(__xludf.DUMMYFUNCTION("""COMPUTED_VALUE"""),4)</f>
        <v>4</v>
      </c>
      <c r="J1281" s="118">
        <f ca="1">IFERROR(__xludf.DUMMYFUNCTION("""COMPUTED_VALUE"""),4)</f>
        <v>4</v>
      </c>
      <c r="K1281" s="120">
        <f ca="1">IFERROR(__xludf.DUMMYFUNCTION("""COMPUTED_VALUE"""),56.05)</f>
        <v>56.05</v>
      </c>
      <c r="L1281" s="121"/>
      <c r="M1281" s="120">
        <f ca="1">IFERROR(__xludf.DUMMYFUNCTION("""COMPUTED_VALUE"""),46.75)</f>
        <v>46.75</v>
      </c>
      <c r="N1281" s="121"/>
      <c r="O1281" s="120">
        <f ca="1">IFERROR(__xludf.DUMMYFUNCTION("""COMPUTED_VALUE"""),51.1)</f>
        <v>51.1</v>
      </c>
      <c r="P1281" s="122"/>
      <c r="Q1281" s="123"/>
      <c r="R1281" s="123"/>
      <c r="S1281" s="123"/>
      <c r="T1281" s="123"/>
    </row>
    <row r="1282" spans="1:20" ht="13.8">
      <c r="A1282" s="118" t="str">
        <f ca="1">IFERROR(__xludf.DUMMYFUNCTION("""COMPUTED_VALUE"""),"OAK")</f>
        <v>OAK</v>
      </c>
      <c r="B1282" s="119" t="str">
        <f ca="1">IFERROR(__xludf.DUMMYFUNCTION("""COMPUTED_VALUE"""),"Camilla Warren")</f>
        <v>Camilla Warren</v>
      </c>
      <c r="C1282" s="118">
        <f ca="1">IFERROR(__xludf.DUMMYFUNCTION("""COMPUTED_VALUE"""),7)</f>
        <v>7</v>
      </c>
      <c r="D1282" s="118" t="str">
        <f ca="1">IFERROR(__xludf.DUMMYFUNCTION("""COMPUTED_VALUE"""),"G")</f>
        <v>G</v>
      </c>
      <c r="E1282" s="118" t="str">
        <f ca="1">IFERROR(__xludf.DUMMYFUNCTION("""COMPUTED_VALUE"""),"F")</f>
        <v>F</v>
      </c>
      <c r="F1282" s="118" t="str">
        <f ca="1">IFERROR(__xludf.DUMMYFUNCTION("""COMPUTED_VALUE"""),"J")</f>
        <v>J</v>
      </c>
      <c r="G1282" s="118">
        <f ca="1">IFERROR(__xludf.DUMMYFUNCTION("""COMPUTED_VALUE"""),1)</f>
        <v>1</v>
      </c>
      <c r="H1282" s="118" t="str">
        <f ca="1">IFERROR(__xludf.DUMMYFUNCTION("""COMPUTED_VALUE"""),"OAK")</f>
        <v>OAK</v>
      </c>
      <c r="I1282" s="118">
        <f ca="1">IFERROR(__xludf.DUMMYFUNCTION("""COMPUTED_VALUE"""),4)</f>
        <v>4</v>
      </c>
      <c r="J1282" s="118">
        <f ca="1">IFERROR(__xludf.DUMMYFUNCTION("""COMPUTED_VALUE"""),0)</f>
        <v>0</v>
      </c>
      <c r="K1282" s="120"/>
      <c r="L1282" s="121"/>
      <c r="M1282" s="120"/>
      <c r="N1282" s="121"/>
      <c r="O1282" s="120"/>
      <c r="P1282" s="122"/>
      <c r="Q1282" s="123"/>
      <c r="R1282" s="123"/>
      <c r="S1282" s="123"/>
      <c r="T1282" s="123"/>
    </row>
    <row r="1283" spans="1:20" ht="13.8">
      <c r="A1283" s="118" t="str">
        <f ca="1">IFERROR(__xludf.DUMMYFUNCTION("""COMPUTED_VALUE"""),"OAK")</f>
        <v>OAK</v>
      </c>
      <c r="B1283" s="119" t="str">
        <f ca="1">IFERROR(__xludf.DUMMYFUNCTION("""COMPUTED_VALUE"""),"CeCe St. Jacques")</f>
        <v>CeCe St. Jacques</v>
      </c>
      <c r="C1283" s="118">
        <f ca="1">IFERROR(__xludf.DUMMYFUNCTION("""COMPUTED_VALUE"""),8)</f>
        <v>8</v>
      </c>
      <c r="D1283" s="118" t="str">
        <f ca="1">IFERROR(__xludf.DUMMYFUNCTION("""COMPUTED_VALUE"""),"G")</f>
        <v>G</v>
      </c>
      <c r="E1283" s="118" t="str">
        <f ca="1">IFERROR(__xludf.DUMMYFUNCTION("""COMPUTED_VALUE"""),"F")</f>
        <v>F</v>
      </c>
      <c r="F1283" s="118" t="str">
        <f ca="1">IFERROR(__xludf.DUMMYFUNCTION("""COMPUTED_VALUE"""),"J")</f>
        <v>J</v>
      </c>
      <c r="G1283" s="118">
        <f ca="1">IFERROR(__xludf.DUMMYFUNCTION("""COMPUTED_VALUE"""),1)</f>
        <v>1</v>
      </c>
      <c r="H1283" s="118" t="str">
        <f ca="1">IFERROR(__xludf.DUMMYFUNCTION("""COMPUTED_VALUE"""),"OAK")</f>
        <v>OAK</v>
      </c>
      <c r="I1283" s="118">
        <f ca="1">IFERROR(__xludf.DUMMYFUNCTION("""COMPUTED_VALUE"""),4)</f>
        <v>4</v>
      </c>
      <c r="J1283" s="118">
        <f ca="1">IFERROR(__xludf.DUMMYFUNCTION("""COMPUTED_VALUE"""),1)</f>
        <v>1</v>
      </c>
      <c r="K1283" s="120"/>
      <c r="L1283" s="121"/>
      <c r="M1283" s="120"/>
      <c r="N1283" s="121"/>
      <c r="O1283" s="120"/>
      <c r="P1283" s="122"/>
      <c r="Q1283" s="123"/>
      <c r="R1283" s="123"/>
      <c r="S1283" s="123"/>
      <c r="T1283" s="123"/>
    </row>
    <row r="1284" spans="1:20" ht="13.8">
      <c r="A1284" s="118" t="str">
        <f ca="1">IFERROR(__xludf.DUMMYFUNCTION("""COMPUTED_VALUE"""),"OAK")</f>
        <v>OAK</v>
      </c>
      <c r="B1284" s="119" t="str">
        <f ca="1">IFERROR(__xludf.DUMMYFUNCTION("""COMPUTED_VALUE"""),"Chloe Sanglier")</f>
        <v>Chloe Sanglier</v>
      </c>
      <c r="C1284" s="118">
        <f ca="1">IFERROR(__xludf.DUMMYFUNCTION("""COMPUTED_VALUE"""),9)</f>
        <v>9</v>
      </c>
      <c r="D1284" s="118" t="str">
        <f ca="1">IFERROR(__xludf.DUMMYFUNCTION("""COMPUTED_VALUE"""),"G")</f>
        <v>G</v>
      </c>
      <c r="E1284" s="118" t="str">
        <f ca="1">IFERROR(__xludf.DUMMYFUNCTION("""COMPUTED_VALUE"""),"F")</f>
        <v>F</v>
      </c>
      <c r="F1284" s="118" t="str">
        <f ca="1">IFERROR(__xludf.DUMMYFUNCTION("""COMPUTED_VALUE"""),"J")</f>
        <v>J</v>
      </c>
      <c r="G1284" s="118">
        <f ca="1">IFERROR(__xludf.DUMMYFUNCTION("""COMPUTED_VALUE"""),1)</f>
        <v>1</v>
      </c>
      <c r="H1284" s="118" t="str">
        <f ca="1">IFERROR(__xludf.DUMMYFUNCTION("""COMPUTED_VALUE"""),"OAK")</f>
        <v>OAK</v>
      </c>
      <c r="I1284" s="118">
        <f ca="1">IFERROR(__xludf.DUMMYFUNCTION("""COMPUTED_VALUE"""),4)</f>
        <v>4</v>
      </c>
      <c r="J1284" s="118">
        <f ca="1">IFERROR(__xludf.DUMMYFUNCTION("""COMPUTED_VALUE"""),5)</f>
        <v>5</v>
      </c>
      <c r="K1284" s="120">
        <f ca="1">IFERROR(__xludf.DUMMYFUNCTION("""COMPUTED_VALUE"""),76.45)</f>
        <v>76.45</v>
      </c>
      <c r="L1284" s="121"/>
      <c r="M1284" s="120">
        <f ca="1">IFERROR(__xludf.DUMMYFUNCTION("""COMPUTED_VALUE"""),57.6)</f>
        <v>57.6</v>
      </c>
      <c r="N1284" s="121"/>
      <c r="O1284" s="120">
        <f ca="1">IFERROR(__xludf.DUMMYFUNCTION("""COMPUTED_VALUE"""),56.85)</f>
        <v>56.85</v>
      </c>
      <c r="P1284" s="122"/>
      <c r="Q1284" s="123"/>
      <c r="R1284" s="123"/>
      <c r="S1284" s="123"/>
      <c r="T1284" s="123"/>
    </row>
    <row r="1285" spans="1:20" ht="13.8">
      <c r="A1285" s="118" t="str">
        <f ca="1">IFERROR(__xludf.DUMMYFUNCTION("""COMPUTED_VALUE"""),"OAK")</f>
        <v>OAK</v>
      </c>
      <c r="B1285" s="119" t="str">
        <f ca="1">IFERROR(__xludf.DUMMYFUNCTION("""COMPUTED_VALUE"""),"Eloise Berthe")</f>
        <v>Eloise Berthe</v>
      </c>
      <c r="C1285" s="118">
        <f ca="1">IFERROR(__xludf.DUMMYFUNCTION("""COMPUTED_VALUE"""),7)</f>
        <v>7</v>
      </c>
      <c r="D1285" s="118" t="str">
        <f ca="1">IFERROR(__xludf.DUMMYFUNCTION("""COMPUTED_VALUE"""),"G")</f>
        <v>G</v>
      </c>
      <c r="E1285" s="118" t="str">
        <f ca="1">IFERROR(__xludf.DUMMYFUNCTION("""COMPUTED_VALUE"""),"F")</f>
        <v>F</v>
      </c>
      <c r="F1285" s="118" t="str">
        <f ca="1">IFERROR(__xludf.DUMMYFUNCTION("""COMPUTED_VALUE"""),"J")</f>
        <v>J</v>
      </c>
      <c r="G1285" s="118">
        <f ca="1">IFERROR(__xludf.DUMMYFUNCTION("""COMPUTED_VALUE"""),1)</f>
        <v>1</v>
      </c>
      <c r="H1285" s="118" t="str">
        <f ca="1">IFERROR(__xludf.DUMMYFUNCTION("""COMPUTED_VALUE"""),"OAK")</f>
        <v>OAK</v>
      </c>
      <c r="I1285" s="118">
        <f ca="1">IFERROR(__xludf.DUMMYFUNCTION("""COMPUTED_VALUE"""),4)</f>
        <v>4</v>
      </c>
      <c r="J1285" s="118">
        <f ca="1">IFERROR(__xludf.DUMMYFUNCTION("""COMPUTED_VALUE"""),1)</f>
        <v>1</v>
      </c>
      <c r="K1285" s="120">
        <f ca="1">IFERROR(__xludf.DUMMYFUNCTION("""COMPUTED_VALUE"""),21.25)</f>
        <v>21.25</v>
      </c>
      <c r="L1285" s="121"/>
      <c r="M1285" s="120">
        <f ca="1">IFERROR(__xludf.DUMMYFUNCTION("""COMPUTED_VALUE"""),21.25)</f>
        <v>21.25</v>
      </c>
      <c r="N1285" s="121"/>
      <c r="O1285" s="120"/>
      <c r="P1285" s="122"/>
      <c r="Q1285" s="123"/>
      <c r="R1285" s="123"/>
      <c r="S1285" s="123"/>
      <c r="T1285" s="123"/>
    </row>
    <row r="1286" spans="1:20" ht="13.8">
      <c r="A1286" s="118" t="str">
        <f ca="1">IFERROR(__xludf.DUMMYFUNCTION("""COMPUTED_VALUE"""),"OAK")</f>
        <v>OAK</v>
      </c>
      <c r="B1286" s="119" t="str">
        <f ca="1">IFERROR(__xludf.DUMMYFUNCTION("""COMPUTED_VALUE"""),"Frankie Wilson")</f>
        <v>Frankie Wilson</v>
      </c>
      <c r="C1286" s="118">
        <f ca="1">IFERROR(__xludf.DUMMYFUNCTION("""COMPUTED_VALUE"""),6)</f>
        <v>6</v>
      </c>
      <c r="D1286" s="118" t="str">
        <f ca="1">IFERROR(__xludf.DUMMYFUNCTION("""COMPUTED_VALUE"""),"G")</f>
        <v>G</v>
      </c>
      <c r="E1286" s="118" t="str">
        <f ca="1">IFERROR(__xludf.DUMMYFUNCTION("""COMPUTED_VALUE"""),"F")</f>
        <v>F</v>
      </c>
      <c r="F1286" s="118" t="str">
        <f ca="1">IFERROR(__xludf.DUMMYFUNCTION("""COMPUTED_VALUE"""),"J")</f>
        <v>J</v>
      </c>
      <c r="G1286" s="118">
        <f ca="1">IFERROR(__xludf.DUMMYFUNCTION("""COMPUTED_VALUE"""),1)</f>
        <v>1</v>
      </c>
      <c r="H1286" s="118" t="str">
        <f ca="1">IFERROR(__xludf.DUMMYFUNCTION("""COMPUTED_VALUE"""),"OAK")</f>
        <v>OAK</v>
      </c>
      <c r="I1286" s="118">
        <f ca="1">IFERROR(__xludf.DUMMYFUNCTION("""COMPUTED_VALUE"""),4)</f>
        <v>4</v>
      </c>
      <c r="J1286" s="118">
        <f ca="1">IFERROR(__xludf.DUMMYFUNCTION("""COMPUTED_VALUE"""),0)</f>
        <v>0</v>
      </c>
      <c r="K1286" s="120"/>
      <c r="L1286" s="121"/>
      <c r="M1286" s="120"/>
      <c r="N1286" s="121"/>
      <c r="O1286" s="120"/>
      <c r="P1286" s="122"/>
      <c r="Q1286" s="123"/>
      <c r="R1286" s="123"/>
      <c r="S1286" s="123"/>
      <c r="T1286" s="123"/>
    </row>
    <row r="1287" spans="1:20" ht="13.8">
      <c r="A1287" s="118" t="str">
        <f ca="1">IFERROR(__xludf.DUMMYFUNCTION("""COMPUTED_VALUE"""),"OAK")</f>
        <v>OAK</v>
      </c>
      <c r="B1287" s="119" t="str">
        <f ca="1">IFERROR(__xludf.DUMMYFUNCTION("""COMPUTED_VALUE"""),"Hannah Berthe")</f>
        <v>Hannah Berthe</v>
      </c>
      <c r="C1287" s="118">
        <f ca="1">IFERROR(__xludf.DUMMYFUNCTION("""COMPUTED_VALUE"""),9)</f>
        <v>9</v>
      </c>
      <c r="D1287" s="118" t="str">
        <f ca="1">IFERROR(__xludf.DUMMYFUNCTION("""COMPUTED_VALUE"""),"G")</f>
        <v>G</v>
      </c>
      <c r="E1287" s="118" t="str">
        <f ca="1">IFERROR(__xludf.DUMMYFUNCTION("""COMPUTED_VALUE"""),"F")</f>
        <v>F</v>
      </c>
      <c r="F1287" s="118" t="str">
        <f ca="1">IFERROR(__xludf.DUMMYFUNCTION("""COMPUTED_VALUE"""),"J")</f>
        <v>J</v>
      </c>
      <c r="G1287" s="118">
        <f ca="1">IFERROR(__xludf.DUMMYFUNCTION("""COMPUTED_VALUE"""),1)</f>
        <v>1</v>
      </c>
      <c r="H1287" s="118" t="str">
        <f ca="1">IFERROR(__xludf.DUMMYFUNCTION("""COMPUTED_VALUE"""),"OAK")</f>
        <v>OAK</v>
      </c>
      <c r="I1287" s="118">
        <f ca="1">IFERROR(__xludf.DUMMYFUNCTION("""COMPUTED_VALUE"""),4)</f>
        <v>4</v>
      </c>
      <c r="J1287" s="118">
        <f ca="1">IFERROR(__xludf.DUMMYFUNCTION("""COMPUTED_VALUE"""),2)</f>
        <v>2</v>
      </c>
      <c r="K1287" s="120">
        <f ca="1">IFERROR(__xludf.DUMMYFUNCTION("""COMPUTED_VALUE"""),38.2)</f>
        <v>38.200000000000003</v>
      </c>
      <c r="L1287" s="121"/>
      <c r="M1287" s="120">
        <f ca="1">IFERROR(__xludf.DUMMYFUNCTION("""COMPUTED_VALUE"""),36.85)</f>
        <v>36.85</v>
      </c>
      <c r="N1287" s="121"/>
      <c r="O1287" s="120"/>
      <c r="P1287" s="122"/>
      <c r="Q1287" s="123"/>
      <c r="R1287" s="123"/>
      <c r="S1287" s="123"/>
      <c r="T1287" s="123"/>
    </row>
    <row r="1288" spans="1:20" ht="13.8">
      <c r="A1288" s="118" t="str">
        <f ca="1">IFERROR(__xludf.DUMMYFUNCTION("""COMPUTED_VALUE"""),"OAK")</f>
        <v>OAK</v>
      </c>
      <c r="B1288" s="119" t="str">
        <f ca="1">IFERROR(__xludf.DUMMYFUNCTION("""COMPUTED_VALUE"""),"Katherine Emerick")</f>
        <v>Katherine Emerick</v>
      </c>
      <c r="C1288" s="118">
        <f ca="1">IFERROR(__xludf.DUMMYFUNCTION("""COMPUTED_VALUE"""),10)</f>
        <v>10</v>
      </c>
      <c r="D1288" s="118" t="str">
        <f ca="1">IFERROR(__xludf.DUMMYFUNCTION("""COMPUTED_VALUE"""),"G")</f>
        <v>G</v>
      </c>
      <c r="E1288" s="118" t="str">
        <f ca="1">IFERROR(__xludf.DUMMYFUNCTION("""COMPUTED_VALUE"""),"F")</f>
        <v>F</v>
      </c>
      <c r="F1288" s="118" t="str">
        <f ca="1">IFERROR(__xludf.DUMMYFUNCTION("""COMPUTED_VALUE"""),"J")</f>
        <v>J</v>
      </c>
      <c r="G1288" s="118">
        <f ca="1">IFERROR(__xludf.DUMMYFUNCTION("""COMPUTED_VALUE"""),1)</f>
        <v>1</v>
      </c>
      <c r="H1288" s="118" t="str">
        <f ca="1">IFERROR(__xludf.DUMMYFUNCTION("""COMPUTED_VALUE"""),"OAK")</f>
        <v>OAK</v>
      </c>
      <c r="I1288" s="118">
        <f ca="1">IFERROR(__xludf.DUMMYFUNCTION("""COMPUTED_VALUE"""),4)</f>
        <v>4</v>
      </c>
      <c r="J1288" s="118">
        <f ca="1">IFERROR(__xludf.DUMMYFUNCTION("""COMPUTED_VALUE"""),5)</f>
        <v>5</v>
      </c>
      <c r="K1288" s="120">
        <f ca="1">IFERROR(__xludf.DUMMYFUNCTION("""COMPUTED_VALUE"""),69.9)</f>
        <v>69.900000000000006</v>
      </c>
      <c r="L1288" s="121"/>
      <c r="M1288" s="120">
        <f ca="1">IFERROR(__xludf.DUMMYFUNCTION("""COMPUTED_VALUE"""),49.25)</f>
        <v>49.25</v>
      </c>
      <c r="N1288" s="121"/>
      <c r="O1288" s="120">
        <f ca="1">IFERROR(__xludf.DUMMYFUNCTION("""COMPUTED_VALUE"""),55)</f>
        <v>55</v>
      </c>
      <c r="P1288" s="122"/>
      <c r="Q1288" s="123"/>
      <c r="R1288" s="123"/>
      <c r="S1288" s="123"/>
      <c r="T1288" s="123"/>
    </row>
    <row r="1289" spans="1:20" ht="13.8">
      <c r="A1289" s="118" t="str">
        <f ca="1">IFERROR(__xludf.DUMMYFUNCTION("""COMPUTED_VALUE"""),"OAK")</f>
        <v>OAK</v>
      </c>
      <c r="B1289" s="119" t="str">
        <f ca="1">IFERROR(__xludf.DUMMYFUNCTION("""COMPUTED_VALUE"""),"Maddie Dennison-Gibby")</f>
        <v>Maddie Dennison-Gibby</v>
      </c>
      <c r="C1289" s="118">
        <f ca="1">IFERROR(__xludf.DUMMYFUNCTION("""COMPUTED_VALUE"""),8)</f>
        <v>8</v>
      </c>
      <c r="D1289" s="118" t="str">
        <f ca="1">IFERROR(__xludf.DUMMYFUNCTION("""COMPUTED_VALUE"""),"G")</f>
        <v>G</v>
      </c>
      <c r="E1289" s="118" t="str">
        <f ca="1">IFERROR(__xludf.DUMMYFUNCTION("""COMPUTED_VALUE"""),"F")</f>
        <v>F</v>
      </c>
      <c r="F1289" s="118" t="str">
        <f ca="1">IFERROR(__xludf.DUMMYFUNCTION("""COMPUTED_VALUE"""),"J")</f>
        <v>J</v>
      </c>
      <c r="G1289" s="118">
        <f ca="1">IFERROR(__xludf.DUMMYFUNCTION("""COMPUTED_VALUE"""),1)</f>
        <v>1</v>
      </c>
      <c r="H1289" s="118" t="str">
        <f ca="1">IFERROR(__xludf.DUMMYFUNCTION("""COMPUTED_VALUE"""),"OAK")</f>
        <v>OAK</v>
      </c>
      <c r="I1289" s="118">
        <f ca="1">IFERROR(__xludf.DUMMYFUNCTION("""COMPUTED_VALUE"""),4)</f>
        <v>4</v>
      </c>
      <c r="J1289" s="118">
        <f ca="1">IFERROR(__xludf.DUMMYFUNCTION("""COMPUTED_VALUE"""),1)</f>
        <v>1</v>
      </c>
      <c r="K1289" s="120">
        <f ca="1">IFERROR(__xludf.DUMMYFUNCTION("""COMPUTED_VALUE"""),37.65)</f>
        <v>37.65</v>
      </c>
      <c r="L1289" s="121"/>
      <c r="M1289" s="120"/>
      <c r="N1289" s="121"/>
      <c r="O1289" s="120"/>
      <c r="P1289" s="122"/>
      <c r="Q1289" s="123"/>
      <c r="R1289" s="123"/>
      <c r="S1289" s="123"/>
      <c r="T1289" s="123"/>
    </row>
    <row r="1290" spans="1:20" ht="13.8">
      <c r="A1290" s="118" t="str">
        <f ca="1">IFERROR(__xludf.DUMMYFUNCTION("""COMPUTED_VALUE"""),"OAK")</f>
        <v>OAK</v>
      </c>
      <c r="B1290" s="119" t="str">
        <f ca="1">IFERROR(__xludf.DUMMYFUNCTION("""COMPUTED_VALUE"""),"Quinn McManus")</f>
        <v>Quinn McManus</v>
      </c>
      <c r="C1290" s="118">
        <f ca="1">IFERROR(__xludf.DUMMYFUNCTION("""COMPUTED_VALUE"""),9)</f>
        <v>9</v>
      </c>
      <c r="D1290" s="118" t="str">
        <f ca="1">IFERROR(__xludf.DUMMYFUNCTION("""COMPUTED_VALUE"""),"G")</f>
        <v>G</v>
      </c>
      <c r="E1290" s="118" t="str">
        <f ca="1">IFERROR(__xludf.DUMMYFUNCTION("""COMPUTED_VALUE"""),"F")</f>
        <v>F</v>
      </c>
      <c r="F1290" s="118" t="str">
        <f ca="1">IFERROR(__xludf.DUMMYFUNCTION("""COMPUTED_VALUE"""),"J")</f>
        <v>J</v>
      </c>
      <c r="G1290" s="118">
        <f ca="1">IFERROR(__xludf.DUMMYFUNCTION("""COMPUTED_VALUE"""),1)</f>
        <v>1</v>
      </c>
      <c r="H1290" s="118" t="str">
        <f ca="1">IFERROR(__xludf.DUMMYFUNCTION("""COMPUTED_VALUE"""),"OAK")</f>
        <v>OAK</v>
      </c>
      <c r="I1290" s="118">
        <f ca="1">IFERROR(__xludf.DUMMYFUNCTION("""COMPUTED_VALUE"""),4)</f>
        <v>4</v>
      </c>
      <c r="J1290" s="118">
        <f ca="1">IFERROR(__xludf.DUMMYFUNCTION("""COMPUTED_VALUE"""),4)</f>
        <v>4</v>
      </c>
      <c r="K1290" s="120">
        <f ca="1">IFERROR(__xludf.DUMMYFUNCTION("""COMPUTED_VALUE"""),61.3)</f>
        <v>61.3</v>
      </c>
      <c r="L1290" s="121"/>
      <c r="M1290" s="120">
        <f ca="1">IFERROR(__xludf.DUMMYFUNCTION("""COMPUTED_VALUE"""),-76.7)</f>
        <v>-76.7</v>
      </c>
      <c r="N1290" s="121"/>
      <c r="O1290" s="120">
        <f ca="1">IFERROR(__xludf.DUMMYFUNCTION("""COMPUTED_VALUE"""),52.95)</f>
        <v>52.95</v>
      </c>
      <c r="P1290" s="122"/>
      <c r="Q1290" s="123"/>
      <c r="R1290" s="123"/>
      <c r="S1290" s="123"/>
      <c r="T1290" s="123"/>
    </row>
    <row r="1291" spans="1:20" ht="13.8">
      <c r="A1291" s="118" t="str">
        <f ca="1">IFERROR(__xludf.DUMMYFUNCTION("""COMPUTED_VALUE"""),"OAK")</f>
        <v>OAK</v>
      </c>
      <c r="B1291" s="119" t="str">
        <f ca="1">IFERROR(__xludf.DUMMYFUNCTION("""COMPUTED_VALUE"""),"Sophia Blanco")</f>
        <v>Sophia Blanco</v>
      </c>
      <c r="C1291" s="118">
        <f ca="1">IFERROR(__xludf.DUMMYFUNCTION("""COMPUTED_VALUE"""),10)</f>
        <v>10</v>
      </c>
      <c r="D1291" s="118" t="str">
        <f ca="1">IFERROR(__xludf.DUMMYFUNCTION("""COMPUTED_VALUE"""),"G")</f>
        <v>G</v>
      </c>
      <c r="E1291" s="118" t="str">
        <f ca="1">IFERROR(__xludf.DUMMYFUNCTION("""COMPUTED_VALUE"""),"F")</f>
        <v>F</v>
      </c>
      <c r="F1291" s="118" t="str">
        <f ca="1">IFERROR(__xludf.DUMMYFUNCTION("""COMPUTED_VALUE"""),"J")</f>
        <v>J</v>
      </c>
      <c r="G1291" s="118">
        <f ca="1">IFERROR(__xludf.DUMMYFUNCTION("""COMPUTED_VALUE"""),1)</f>
        <v>1</v>
      </c>
      <c r="H1291" s="118" t="str">
        <f ca="1">IFERROR(__xludf.DUMMYFUNCTION("""COMPUTED_VALUE"""),"OAK")</f>
        <v>OAK</v>
      </c>
      <c r="I1291" s="118">
        <f ca="1">IFERROR(__xludf.DUMMYFUNCTION("""COMPUTED_VALUE"""),4)</f>
        <v>4</v>
      </c>
      <c r="J1291" s="118">
        <f ca="1">IFERROR(__xludf.DUMMYFUNCTION("""COMPUTED_VALUE"""),5)</f>
        <v>5</v>
      </c>
      <c r="K1291" s="120">
        <f ca="1">IFERROR(__xludf.DUMMYFUNCTION("""COMPUTED_VALUE"""),89)</f>
        <v>89</v>
      </c>
      <c r="L1291" s="121"/>
      <c r="M1291" s="120">
        <f ca="1">IFERROR(__xludf.DUMMYFUNCTION("""COMPUTED_VALUE"""),77.1)</f>
        <v>77.099999999999994</v>
      </c>
      <c r="N1291" s="121"/>
      <c r="O1291" s="120">
        <f ca="1">IFERROR(__xludf.DUMMYFUNCTION("""COMPUTED_VALUE"""),70.1)</f>
        <v>70.099999999999994</v>
      </c>
      <c r="P1291" s="122"/>
      <c r="Q1291" s="123"/>
      <c r="R1291" s="123"/>
      <c r="S1291" s="123"/>
      <c r="T1291" s="123"/>
    </row>
    <row r="1292" spans="1:20" ht="13.8">
      <c r="A1292" s="118" t="str">
        <f ca="1">IFERROR(__xludf.DUMMYFUNCTION("""COMPUTED_VALUE"""),"OAK")</f>
        <v>OAK</v>
      </c>
      <c r="B1292" s="119" t="str">
        <f ca="1">IFERROR(__xludf.DUMMYFUNCTION("""COMPUTED_VALUE"""),"Brayden Lane")</f>
        <v>Brayden Lane</v>
      </c>
      <c r="C1292" s="118">
        <f ca="1">IFERROR(__xludf.DUMMYFUNCTION("""COMPUTED_VALUE"""),9)</f>
        <v>9</v>
      </c>
      <c r="D1292" s="118" t="str">
        <f ca="1">IFERROR(__xludf.DUMMYFUNCTION("""COMPUTED_VALUE"""),"B")</f>
        <v>B</v>
      </c>
      <c r="E1292" s="118" t="str">
        <f ca="1">IFERROR(__xludf.DUMMYFUNCTION("""COMPUTED_VALUE"""),"F")</f>
        <v>F</v>
      </c>
      <c r="F1292" s="118" t="str">
        <f ca="1">IFERROR(__xludf.DUMMYFUNCTION("""COMPUTED_VALUE"""),"J")</f>
        <v>J</v>
      </c>
      <c r="G1292" s="118">
        <f ca="1">IFERROR(__xludf.DUMMYFUNCTION("""COMPUTED_VALUE"""),1)</f>
        <v>1</v>
      </c>
      <c r="H1292" s="118" t="str">
        <f ca="1">IFERROR(__xludf.DUMMYFUNCTION("""COMPUTED_VALUE"""),"OAK")</f>
        <v>OAK</v>
      </c>
      <c r="I1292" s="118">
        <f ca="1">IFERROR(__xludf.DUMMYFUNCTION("""COMPUTED_VALUE"""),5)</f>
        <v>5</v>
      </c>
      <c r="J1292" s="118">
        <f ca="1">IFERROR(__xludf.DUMMYFUNCTION("""COMPUTED_VALUE"""),5)</f>
        <v>5</v>
      </c>
      <c r="K1292" s="120">
        <f ca="1">IFERROR(__xludf.DUMMYFUNCTION("""COMPUTED_VALUE"""),47.2)</f>
        <v>47.2</v>
      </c>
      <c r="L1292" s="121"/>
      <c r="M1292" s="120">
        <f ca="1">IFERROR(__xludf.DUMMYFUNCTION("""COMPUTED_VALUE"""),-49.45)</f>
        <v>-49.45</v>
      </c>
      <c r="N1292" s="121"/>
      <c r="O1292" s="120">
        <f ca="1">IFERROR(__xludf.DUMMYFUNCTION("""COMPUTED_VALUE"""),-68.85)</f>
        <v>-68.849999999999994</v>
      </c>
      <c r="P1292" s="122"/>
      <c r="Q1292" s="123"/>
      <c r="R1292" s="123"/>
      <c r="S1292" s="123"/>
      <c r="T1292" s="123"/>
    </row>
    <row r="1293" spans="1:20" ht="13.8">
      <c r="A1293" s="118" t="str">
        <f ca="1">IFERROR(__xludf.DUMMYFUNCTION("""COMPUTED_VALUE"""),"OAK")</f>
        <v>OAK</v>
      </c>
      <c r="B1293" s="119" t="str">
        <f ca="1">IFERROR(__xludf.DUMMYFUNCTION("""COMPUTED_VALUE"""),"Breck Bowman")</f>
        <v>Breck Bowman</v>
      </c>
      <c r="C1293" s="118">
        <f ca="1">IFERROR(__xludf.DUMMYFUNCTION("""COMPUTED_VALUE"""),10)</f>
        <v>10</v>
      </c>
      <c r="D1293" s="118" t="str">
        <f ca="1">IFERROR(__xludf.DUMMYFUNCTION("""COMPUTED_VALUE"""),"B")</f>
        <v>B</v>
      </c>
      <c r="E1293" s="118" t="str">
        <f ca="1">IFERROR(__xludf.DUMMYFUNCTION("""COMPUTED_VALUE"""),"F")</f>
        <v>F</v>
      </c>
      <c r="F1293" s="118" t="str">
        <f ca="1">IFERROR(__xludf.DUMMYFUNCTION("""COMPUTED_VALUE"""),"J")</f>
        <v>J</v>
      </c>
      <c r="G1293" s="118">
        <f ca="1">IFERROR(__xludf.DUMMYFUNCTION("""COMPUTED_VALUE"""),1)</f>
        <v>1</v>
      </c>
      <c r="H1293" s="118" t="str">
        <f ca="1">IFERROR(__xludf.DUMMYFUNCTION("""COMPUTED_VALUE"""),"OAK")</f>
        <v>OAK</v>
      </c>
      <c r="I1293" s="118">
        <f ca="1">IFERROR(__xludf.DUMMYFUNCTION("""COMPUTED_VALUE"""),5)</f>
        <v>5</v>
      </c>
      <c r="J1293" s="118">
        <f ca="1">IFERROR(__xludf.DUMMYFUNCTION("""COMPUTED_VALUE"""),1)</f>
        <v>1</v>
      </c>
      <c r="K1293" s="120">
        <f ca="1">IFERROR(__xludf.DUMMYFUNCTION("""COMPUTED_VALUE"""),42.4)</f>
        <v>42.4</v>
      </c>
      <c r="L1293" s="121"/>
      <c r="M1293" s="120"/>
      <c r="N1293" s="121"/>
      <c r="O1293" s="120"/>
      <c r="P1293" s="122"/>
      <c r="Q1293" s="123"/>
      <c r="R1293" s="123"/>
      <c r="S1293" s="123"/>
      <c r="T1293" s="123"/>
    </row>
    <row r="1294" spans="1:20" ht="13.8">
      <c r="A1294" s="118" t="str">
        <f ca="1">IFERROR(__xludf.DUMMYFUNCTION("""COMPUTED_VALUE"""),"OAK")</f>
        <v>OAK</v>
      </c>
      <c r="B1294" s="119" t="str">
        <f ca="1">IFERROR(__xludf.DUMMYFUNCTION("""COMPUTED_VALUE"""),"Finn Bradley")</f>
        <v>Finn Bradley</v>
      </c>
      <c r="C1294" s="118">
        <f ca="1">IFERROR(__xludf.DUMMYFUNCTION("""COMPUTED_VALUE"""),10)</f>
        <v>10</v>
      </c>
      <c r="D1294" s="118" t="str">
        <f ca="1">IFERROR(__xludf.DUMMYFUNCTION("""COMPUTED_VALUE"""),"B")</f>
        <v>B</v>
      </c>
      <c r="E1294" s="118" t="str">
        <f ca="1">IFERROR(__xludf.DUMMYFUNCTION("""COMPUTED_VALUE"""),"F")</f>
        <v>F</v>
      </c>
      <c r="F1294" s="118" t="str">
        <f ca="1">IFERROR(__xludf.DUMMYFUNCTION("""COMPUTED_VALUE"""),"J")</f>
        <v>J</v>
      </c>
      <c r="G1294" s="118">
        <f ca="1">IFERROR(__xludf.DUMMYFUNCTION("""COMPUTED_VALUE"""),1)</f>
        <v>1</v>
      </c>
      <c r="H1294" s="118" t="str">
        <f ca="1">IFERROR(__xludf.DUMMYFUNCTION("""COMPUTED_VALUE"""),"OAK")</f>
        <v>OAK</v>
      </c>
      <c r="I1294" s="118">
        <f ca="1">IFERROR(__xludf.DUMMYFUNCTION("""COMPUTED_VALUE"""),5)</f>
        <v>5</v>
      </c>
      <c r="J1294" s="118">
        <f ca="1">IFERROR(__xludf.DUMMYFUNCTION("""COMPUTED_VALUE"""),2)</f>
        <v>2</v>
      </c>
      <c r="K1294" s="120">
        <f ca="1">IFERROR(__xludf.DUMMYFUNCTION("""COMPUTED_VALUE"""),55.85)</f>
        <v>55.85</v>
      </c>
      <c r="L1294" s="121"/>
      <c r="M1294" s="120"/>
      <c r="N1294" s="121"/>
      <c r="O1294" s="120"/>
      <c r="P1294" s="122"/>
      <c r="Q1294" s="123"/>
      <c r="R1294" s="123"/>
      <c r="S1294" s="123"/>
      <c r="T1294" s="123"/>
    </row>
    <row r="1295" spans="1:20" ht="13.8">
      <c r="A1295" s="118" t="str">
        <f ca="1">IFERROR(__xludf.DUMMYFUNCTION("""COMPUTED_VALUE"""),"OAK")</f>
        <v>OAK</v>
      </c>
      <c r="B1295" s="119" t="str">
        <f ca="1">IFERROR(__xludf.DUMMYFUNCTION("""COMPUTED_VALUE"""),"Gabe Wilson")</f>
        <v>Gabe Wilson</v>
      </c>
      <c r="C1295" s="118">
        <f ca="1">IFERROR(__xludf.DUMMYFUNCTION("""COMPUTED_VALUE"""),10)</f>
        <v>10</v>
      </c>
      <c r="D1295" s="118" t="str">
        <f ca="1">IFERROR(__xludf.DUMMYFUNCTION("""COMPUTED_VALUE"""),"B")</f>
        <v>B</v>
      </c>
      <c r="E1295" s="118" t="str">
        <f ca="1">IFERROR(__xludf.DUMMYFUNCTION("""COMPUTED_VALUE"""),"F")</f>
        <v>F</v>
      </c>
      <c r="F1295" s="118" t="str">
        <f ca="1">IFERROR(__xludf.DUMMYFUNCTION("""COMPUTED_VALUE"""),"J")</f>
        <v>J</v>
      </c>
      <c r="G1295" s="118">
        <f ca="1">IFERROR(__xludf.DUMMYFUNCTION("""COMPUTED_VALUE"""),1)</f>
        <v>1</v>
      </c>
      <c r="H1295" s="118" t="str">
        <f ca="1">IFERROR(__xludf.DUMMYFUNCTION("""COMPUTED_VALUE"""),"OAK")</f>
        <v>OAK</v>
      </c>
      <c r="I1295" s="118">
        <f ca="1">IFERROR(__xludf.DUMMYFUNCTION("""COMPUTED_VALUE"""),5)</f>
        <v>5</v>
      </c>
      <c r="J1295" s="118">
        <f ca="1">IFERROR(__xludf.DUMMYFUNCTION("""COMPUTED_VALUE"""),5)</f>
        <v>5</v>
      </c>
      <c r="K1295" s="120">
        <f ca="1">IFERROR(__xludf.DUMMYFUNCTION("""COMPUTED_VALUE"""),68.95)</f>
        <v>68.95</v>
      </c>
      <c r="L1295" s="121"/>
      <c r="M1295" s="120">
        <f ca="1">IFERROR(__xludf.DUMMYFUNCTION("""COMPUTED_VALUE"""),53.9)</f>
        <v>53.9</v>
      </c>
      <c r="N1295" s="121"/>
      <c r="O1295" s="120">
        <f ca="1">IFERROR(__xludf.DUMMYFUNCTION("""COMPUTED_VALUE"""),50.3)</f>
        <v>50.3</v>
      </c>
      <c r="P1295" s="122"/>
      <c r="Q1295" s="123"/>
      <c r="R1295" s="123"/>
      <c r="S1295" s="123"/>
      <c r="T1295" s="123"/>
    </row>
    <row r="1296" spans="1:20" ht="13.8">
      <c r="A1296" s="118" t="str">
        <f ca="1">IFERROR(__xludf.DUMMYFUNCTION("""COMPUTED_VALUE"""),"OAK")</f>
        <v>OAK</v>
      </c>
      <c r="B1296" s="119" t="str">
        <f ca="1">IFERROR(__xludf.DUMMYFUNCTION("""COMPUTED_VALUE"""),"Gaius Roberts")</f>
        <v>Gaius Roberts</v>
      </c>
      <c r="C1296" s="118">
        <f ca="1">IFERROR(__xludf.DUMMYFUNCTION("""COMPUTED_VALUE"""),6)</f>
        <v>6</v>
      </c>
      <c r="D1296" s="118" t="str">
        <f ca="1">IFERROR(__xludf.DUMMYFUNCTION("""COMPUTED_VALUE"""),"B")</f>
        <v>B</v>
      </c>
      <c r="E1296" s="118" t="str">
        <f ca="1">IFERROR(__xludf.DUMMYFUNCTION("""COMPUTED_VALUE"""),"F")</f>
        <v>F</v>
      </c>
      <c r="F1296" s="118" t="str">
        <f ca="1">IFERROR(__xludf.DUMMYFUNCTION("""COMPUTED_VALUE"""),"J")</f>
        <v>J</v>
      </c>
      <c r="G1296" s="118">
        <f ca="1">IFERROR(__xludf.DUMMYFUNCTION("""COMPUTED_VALUE"""),1)</f>
        <v>1</v>
      </c>
      <c r="H1296" s="118" t="str">
        <f ca="1">IFERROR(__xludf.DUMMYFUNCTION("""COMPUTED_VALUE"""),"OAK")</f>
        <v>OAK</v>
      </c>
      <c r="I1296" s="118">
        <f ca="1">IFERROR(__xludf.DUMMYFUNCTION("""COMPUTED_VALUE"""),5)</f>
        <v>5</v>
      </c>
      <c r="J1296" s="118">
        <f ca="1">IFERROR(__xludf.DUMMYFUNCTION("""COMPUTED_VALUE"""),0)</f>
        <v>0</v>
      </c>
      <c r="K1296" s="120"/>
      <c r="L1296" s="121"/>
      <c r="M1296" s="120"/>
      <c r="N1296" s="121"/>
      <c r="O1296" s="120"/>
      <c r="P1296" s="122"/>
      <c r="Q1296" s="123"/>
      <c r="R1296" s="123"/>
      <c r="S1296" s="123"/>
      <c r="T1296" s="123"/>
    </row>
    <row r="1297" spans="1:20" ht="13.8">
      <c r="A1297" s="118" t="str">
        <f ca="1">IFERROR(__xludf.DUMMYFUNCTION("""COMPUTED_VALUE"""),"OAK")</f>
        <v>OAK</v>
      </c>
      <c r="B1297" s="119" t="str">
        <f ca="1">IFERROR(__xludf.DUMMYFUNCTION("""COMPUTED_VALUE"""),"Graham Smith")</f>
        <v>Graham Smith</v>
      </c>
      <c r="C1297" s="118">
        <f ca="1">IFERROR(__xludf.DUMMYFUNCTION("""COMPUTED_VALUE"""),7)</f>
        <v>7</v>
      </c>
      <c r="D1297" s="118" t="str">
        <f ca="1">IFERROR(__xludf.DUMMYFUNCTION("""COMPUTED_VALUE"""),"B")</f>
        <v>B</v>
      </c>
      <c r="E1297" s="118" t="str">
        <f ca="1">IFERROR(__xludf.DUMMYFUNCTION("""COMPUTED_VALUE"""),"F")</f>
        <v>F</v>
      </c>
      <c r="F1297" s="118" t="str">
        <f ca="1">IFERROR(__xludf.DUMMYFUNCTION("""COMPUTED_VALUE"""),"J")</f>
        <v>J</v>
      </c>
      <c r="G1297" s="118">
        <f ca="1">IFERROR(__xludf.DUMMYFUNCTION("""COMPUTED_VALUE"""),1)</f>
        <v>1</v>
      </c>
      <c r="H1297" s="118" t="str">
        <f ca="1">IFERROR(__xludf.DUMMYFUNCTION("""COMPUTED_VALUE"""),"OAK")</f>
        <v>OAK</v>
      </c>
      <c r="I1297" s="118">
        <f ca="1">IFERROR(__xludf.DUMMYFUNCTION("""COMPUTED_VALUE"""),5)</f>
        <v>5</v>
      </c>
      <c r="J1297" s="118">
        <f ca="1">IFERROR(__xludf.DUMMYFUNCTION("""COMPUTED_VALUE"""),4)</f>
        <v>4</v>
      </c>
      <c r="K1297" s="120">
        <f ca="1">IFERROR(__xludf.DUMMYFUNCTION("""COMPUTED_VALUE"""),76.95)</f>
        <v>76.95</v>
      </c>
      <c r="L1297" s="121"/>
      <c r="M1297" s="120"/>
      <c r="N1297" s="121"/>
      <c r="O1297" s="120">
        <f ca="1">IFERROR(__xludf.DUMMYFUNCTION("""COMPUTED_VALUE"""),49.7)</f>
        <v>49.7</v>
      </c>
      <c r="P1297" s="122"/>
      <c r="Q1297" s="123"/>
      <c r="R1297" s="123"/>
      <c r="S1297" s="123"/>
      <c r="T1297" s="123"/>
    </row>
    <row r="1298" spans="1:20" ht="13.8">
      <c r="A1298" s="118" t="str">
        <f ca="1">IFERROR(__xludf.DUMMYFUNCTION("""COMPUTED_VALUE"""),"OAK")</f>
        <v>OAK</v>
      </c>
      <c r="B1298" s="119" t="str">
        <f ca="1">IFERROR(__xludf.DUMMYFUNCTION("""COMPUTED_VALUE"""),"Henry Chang")</f>
        <v>Henry Chang</v>
      </c>
      <c r="C1298" s="118">
        <f ca="1">IFERROR(__xludf.DUMMYFUNCTION("""COMPUTED_VALUE"""),9)</f>
        <v>9</v>
      </c>
      <c r="D1298" s="118" t="str">
        <f ca="1">IFERROR(__xludf.DUMMYFUNCTION("""COMPUTED_VALUE"""),"B")</f>
        <v>B</v>
      </c>
      <c r="E1298" s="118" t="str">
        <f ca="1">IFERROR(__xludf.DUMMYFUNCTION("""COMPUTED_VALUE"""),"F")</f>
        <v>F</v>
      </c>
      <c r="F1298" s="118" t="str">
        <f ca="1">IFERROR(__xludf.DUMMYFUNCTION("""COMPUTED_VALUE"""),"J")</f>
        <v>J</v>
      </c>
      <c r="G1298" s="118">
        <f ca="1">IFERROR(__xludf.DUMMYFUNCTION("""COMPUTED_VALUE"""),1)</f>
        <v>1</v>
      </c>
      <c r="H1298" s="118" t="str">
        <f ca="1">IFERROR(__xludf.DUMMYFUNCTION("""COMPUTED_VALUE"""),"OAK")</f>
        <v>OAK</v>
      </c>
      <c r="I1298" s="118">
        <f ca="1">IFERROR(__xludf.DUMMYFUNCTION("""COMPUTED_VALUE"""),5)</f>
        <v>5</v>
      </c>
      <c r="J1298" s="118">
        <f ca="1">IFERROR(__xludf.DUMMYFUNCTION("""COMPUTED_VALUE"""),4)</f>
        <v>4</v>
      </c>
      <c r="K1298" s="120">
        <f ca="1">IFERROR(__xludf.DUMMYFUNCTION("""COMPUTED_VALUE"""),40.8)</f>
        <v>40.799999999999997</v>
      </c>
      <c r="L1298" s="121"/>
      <c r="M1298" s="120">
        <f ca="1">IFERROR(__xludf.DUMMYFUNCTION("""COMPUTED_VALUE"""),-70.9)</f>
        <v>-70.900000000000006</v>
      </c>
      <c r="N1298" s="121"/>
      <c r="O1298" s="120">
        <f ca="1">IFERROR(__xludf.DUMMYFUNCTION("""COMPUTED_VALUE"""),40.8)</f>
        <v>40.799999999999997</v>
      </c>
      <c r="P1298" s="122"/>
      <c r="Q1298" s="123"/>
      <c r="R1298" s="123"/>
      <c r="S1298" s="123"/>
      <c r="T1298" s="123"/>
    </row>
    <row r="1299" spans="1:20" ht="13.8">
      <c r="A1299" s="118" t="str">
        <f ca="1">IFERROR(__xludf.DUMMYFUNCTION("""COMPUTED_VALUE"""),"OAK")</f>
        <v>OAK</v>
      </c>
      <c r="B1299" s="119" t="str">
        <f ca="1">IFERROR(__xludf.DUMMYFUNCTION("""COMPUTED_VALUE"""),"Justin Kroopnick")</f>
        <v>Justin Kroopnick</v>
      </c>
      <c r="C1299" s="118">
        <f ca="1">IFERROR(__xludf.DUMMYFUNCTION("""COMPUTED_VALUE"""),8)</f>
        <v>8</v>
      </c>
      <c r="D1299" s="118" t="str">
        <f ca="1">IFERROR(__xludf.DUMMYFUNCTION("""COMPUTED_VALUE"""),"B")</f>
        <v>B</v>
      </c>
      <c r="E1299" s="118" t="str">
        <f ca="1">IFERROR(__xludf.DUMMYFUNCTION("""COMPUTED_VALUE"""),"F")</f>
        <v>F</v>
      </c>
      <c r="F1299" s="118" t="str">
        <f ca="1">IFERROR(__xludf.DUMMYFUNCTION("""COMPUTED_VALUE"""),"J")</f>
        <v>J</v>
      </c>
      <c r="G1299" s="118">
        <f ca="1">IFERROR(__xludf.DUMMYFUNCTION("""COMPUTED_VALUE"""),1)</f>
        <v>1</v>
      </c>
      <c r="H1299" s="118" t="str">
        <f ca="1">IFERROR(__xludf.DUMMYFUNCTION("""COMPUTED_VALUE"""),"OAK")</f>
        <v>OAK</v>
      </c>
      <c r="I1299" s="118">
        <f ca="1">IFERROR(__xludf.DUMMYFUNCTION("""COMPUTED_VALUE"""),5)</f>
        <v>5</v>
      </c>
      <c r="J1299" s="118">
        <f ca="1">IFERROR(__xludf.DUMMYFUNCTION("""COMPUTED_VALUE"""),5)</f>
        <v>5</v>
      </c>
      <c r="K1299" s="120">
        <f ca="1">IFERROR(__xludf.DUMMYFUNCTION("""COMPUTED_VALUE"""),57.5)</f>
        <v>57.5</v>
      </c>
      <c r="L1299" s="121"/>
      <c r="M1299" s="120">
        <f ca="1">IFERROR(__xludf.DUMMYFUNCTION("""COMPUTED_VALUE"""),57.5)</f>
        <v>57.5</v>
      </c>
      <c r="N1299" s="121"/>
      <c r="O1299" s="120">
        <f ca="1">IFERROR(__xludf.DUMMYFUNCTION("""COMPUTED_VALUE"""),32.6)</f>
        <v>32.6</v>
      </c>
      <c r="P1299" s="122"/>
      <c r="Q1299" s="123"/>
      <c r="R1299" s="123"/>
      <c r="S1299" s="123"/>
      <c r="T1299" s="123"/>
    </row>
    <row r="1300" spans="1:20" ht="13.8">
      <c r="A1300" s="118" t="str">
        <f ca="1">IFERROR(__xludf.DUMMYFUNCTION("""COMPUTED_VALUE"""),"OAK")</f>
        <v>OAK</v>
      </c>
      <c r="B1300" s="119" t="str">
        <f ca="1">IFERROR(__xludf.DUMMYFUNCTION("""COMPUTED_VALUE"""),"Owen McLenahan")</f>
        <v>Owen McLenahan</v>
      </c>
      <c r="C1300" s="118">
        <f ca="1">IFERROR(__xludf.DUMMYFUNCTION("""COMPUTED_VALUE"""),9)</f>
        <v>9</v>
      </c>
      <c r="D1300" s="118" t="str">
        <f ca="1">IFERROR(__xludf.DUMMYFUNCTION("""COMPUTED_VALUE"""),"B")</f>
        <v>B</v>
      </c>
      <c r="E1300" s="118" t="str">
        <f ca="1">IFERROR(__xludf.DUMMYFUNCTION("""COMPUTED_VALUE"""),"F")</f>
        <v>F</v>
      </c>
      <c r="F1300" s="118" t="str">
        <f ca="1">IFERROR(__xludf.DUMMYFUNCTION("""COMPUTED_VALUE"""),"J")</f>
        <v>J</v>
      </c>
      <c r="G1300" s="118">
        <f ca="1">IFERROR(__xludf.DUMMYFUNCTION("""COMPUTED_VALUE"""),1)</f>
        <v>1</v>
      </c>
      <c r="H1300" s="118" t="str">
        <f ca="1">IFERROR(__xludf.DUMMYFUNCTION("""COMPUTED_VALUE"""),"OAK")</f>
        <v>OAK</v>
      </c>
      <c r="I1300" s="118">
        <f ca="1">IFERROR(__xludf.DUMMYFUNCTION("""COMPUTED_VALUE"""),5)</f>
        <v>5</v>
      </c>
      <c r="J1300" s="118">
        <f ca="1">IFERROR(__xludf.DUMMYFUNCTION("""COMPUTED_VALUE"""),5)</f>
        <v>5</v>
      </c>
      <c r="K1300" s="120">
        <f ca="1">IFERROR(__xludf.DUMMYFUNCTION("""COMPUTED_VALUE"""),60.85)</f>
        <v>60.85</v>
      </c>
      <c r="L1300" s="121"/>
      <c r="M1300" s="120">
        <f ca="1">IFERROR(__xludf.DUMMYFUNCTION("""COMPUTED_VALUE"""),50.55)</f>
        <v>50.55</v>
      </c>
      <c r="N1300" s="121"/>
      <c r="O1300" s="120">
        <f ca="1">IFERROR(__xludf.DUMMYFUNCTION("""COMPUTED_VALUE"""),47.5)</f>
        <v>47.5</v>
      </c>
      <c r="P1300" s="122"/>
      <c r="Q1300" s="123"/>
      <c r="R1300" s="123"/>
      <c r="S1300" s="123"/>
      <c r="T1300" s="123"/>
    </row>
    <row r="1301" spans="1:20" ht="13.8">
      <c r="A1301" s="118" t="str">
        <f ca="1">IFERROR(__xludf.DUMMYFUNCTION("""COMPUTED_VALUE"""),"OAK")</f>
        <v>OAK</v>
      </c>
      <c r="B1301" s="119" t="str">
        <f ca="1">IFERROR(__xludf.DUMMYFUNCTION("""COMPUTED_VALUE"""),"Patrick Walsh")</f>
        <v>Patrick Walsh</v>
      </c>
      <c r="C1301" s="118">
        <f ca="1">IFERROR(__xludf.DUMMYFUNCTION("""COMPUTED_VALUE"""),9)</f>
        <v>9</v>
      </c>
      <c r="D1301" s="118" t="str">
        <f ca="1">IFERROR(__xludf.DUMMYFUNCTION("""COMPUTED_VALUE"""),"B")</f>
        <v>B</v>
      </c>
      <c r="E1301" s="118" t="str">
        <f ca="1">IFERROR(__xludf.DUMMYFUNCTION("""COMPUTED_VALUE"""),"F")</f>
        <v>F</v>
      </c>
      <c r="F1301" s="118" t="str">
        <f ca="1">IFERROR(__xludf.DUMMYFUNCTION("""COMPUTED_VALUE"""),"J")</f>
        <v>J</v>
      </c>
      <c r="G1301" s="118">
        <f ca="1">IFERROR(__xludf.DUMMYFUNCTION("""COMPUTED_VALUE"""),1)</f>
        <v>1</v>
      </c>
      <c r="H1301" s="118" t="str">
        <f ca="1">IFERROR(__xludf.DUMMYFUNCTION("""COMPUTED_VALUE"""),"OAK")</f>
        <v>OAK</v>
      </c>
      <c r="I1301" s="118">
        <f ca="1">IFERROR(__xludf.DUMMYFUNCTION("""COMPUTED_VALUE"""),5)</f>
        <v>5</v>
      </c>
      <c r="J1301" s="118">
        <f ca="1">IFERROR(__xludf.DUMMYFUNCTION("""COMPUTED_VALUE"""),5)</f>
        <v>5</v>
      </c>
      <c r="K1301" s="120">
        <f ca="1">IFERROR(__xludf.DUMMYFUNCTION("""COMPUTED_VALUE"""),51.65)</f>
        <v>51.65</v>
      </c>
      <c r="L1301" s="121"/>
      <c r="M1301" s="120">
        <f ca="1">IFERROR(__xludf.DUMMYFUNCTION("""COMPUTED_VALUE"""),48.4)</f>
        <v>48.4</v>
      </c>
      <c r="N1301" s="121"/>
      <c r="O1301" s="120">
        <f ca="1">IFERROR(__xludf.DUMMYFUNCTION("""COMPUTED_VALUE"""),47.4)</f>
        <v>47.4</v>
      </c>
      <c r="P1301" s="122"/>
      <c r="Q1301" s="123"/>
      <c r="R1301" s="123"/>
      <c r="S1301" s="123"/>
      <c r="T1301" s="123"/>
    </row>
    <row r="1302" spans="1:20" ht="13.8">
      <c r="A1302" s="118" t="str">
        <f ca="1">IFERROR(__xludf.DUMMYFUNCTION("""COMPUTED_VALUE"""),"OAK")</f>
        <v>OAK</v>
      </c>
      <c r="B1302" s="119" t="str">
        <f ca="1">IFERROR(__xludf.DUMMYFUNCTION("""COMPUTED_VALUE"""),"Tobin Ham")</f>
        <v>Tobin Ham</v>
      </c>
      <c r="C1302" s="118">
        <f ca="1">IFERROR(__xludf.DUMMYFUNCTION("""COMPUTED_VALUE"""),9)</f>
        <v>9</v>
      </c>
      <c r="D1302" s="118" t="str">
        <f ca="1">IFERROR(__xludf.DUMMYFUNCTION("""COMPUTED_VALUE"""),"B")</f>
        <v>B</v>
      </c>
      <c r="E1302" s="118" t="str">
        <f ca="1">IFERROR(__xludf.DUMMYFUNCTION("""COMPUTED_VALUE"""),"F")</f>
        <v>F</v>
      </c>
      <c r="F1302" s="118" t="str">
        <f ca="1">IFERROR(__xludf.DUMMYFUNCTION("""COMPUTED_VALUE"""),"J")</f>
        <v>J</v>
      </c>
      <c r="G1302" s="118">
        <f ca="1">IFERROR(__xludf.DUMMYFUNCTION("""COMPUTED_VALUE"""),1)</f>
        <v>1</v>
      </c>
      <c r="H1302" s="118" t="str">
        <f ca="1">IFERROR(__xludf.DUMMYFUNCTION("""COMPUTED_VALUE"""),"OAK")</f>
        <v>OAK</v>
      </c>
      <c r="I1302" s="118">
        <f ca="1">IFERROR(__xludf.DUMMYFUNCTION("""COMPUTED_VALUE"""),5)</f>
        <v>5</v>
      </c>
      <c r="J1302" s="118">
        <f ca="1">IFERROR(__xludf.DUMMYFUNCTION("""COMPUTED_VALUE"""),1)</f>
        <v>1</v>
      </c>
      <c r="K1302" s="120">
        <f ca="1">IFERROR(__xludf.DUMMYFUNCTION("""COMPUTED_VALUE"""),48.2)</f>
        <v>48.2</v>
      </c>
      <c r="L1302" s="121"/>
      <c r="M1302" s="120">
        <f ca="1">IFERROR(__xludf.DUMMYFUNCTION("""COMPUTED_VALUE"""),48.2)</f>
        <v>48.2</v>
      </c>
      <c r="N1302" s="121"/>
      <c r="O1302" s="120"/>
      <c r="P1302" s="122"/>
      <c r="Q1302" s="123"/>
      <c r="R1302" s="123"/>
      <c r="S1302" s="123"/>
      <c r="T1302" s="123"/>
    </row>
    <row r="1303" spans="1:20" ht="13.8">
      <c r="A1303" s="118" t="str">
        <f ca="1">IFERROR(__xludf.DUMMYFUNCTION("""COMPUTED_VALUE"""),"OAK")</f>
        <v>OAK</v>
      </c>
      <c r="B1303" s="119" t="str">
        <f ca="1">IFERROR(__xludf.DUMMYFUNCTION("""COMPUTED_VALUE"""),"Tyler Kroopnick")</f>
        <v>Tyler Kroopnick</v>
      </c>
      <c r="C1303" s="118">
        <f ca="1">IFERROR(__xludf.DUMMYFUNCTION("""COMPUTED_VALUE"""),10)</f>
        <v>10</v>
      </c>
      <c r="D1303" s="118" t="str">
        <f ca="1">IFERROR(__xludf.DUMMYFUNCTION("""COMPUTED_VALUE"""),"B")</f>
        <v>B</v>
      </c>
      <c r="E1303" s="118" t="str">
        <f ca="1">IFERROR(__xludf.DUMMYFUNCTION("""COMPUTED_VALUE"""),"F")</f>
        <v>F</v>
      </c>
      <c r="F1303" s="118" t="str">
        <f ca="1">IFERROR(__xludf.DUMMYFUNCTION("""COMPUTED_VALUE"""),"J")</f>
        <v>J</v>
      </c>
      <c r="G1303" s="118">
        <f ca="1">IFERROR(__xludf.DUMMYFUNCTION("""COMPUTED_VALUE"""),1)</f>
        <v>1</v>
      </c>
      <c r="H1303" s="118" t="str">
        <f ca="1">IFERROR(__xludf.DUMMYFUNCTION("""COMPUTED_VALUE"""),"OAK")</f>
        <v>OAK</v>
      </c>
      <c r="I1303" s="118">
        <f ca="1">IFERROR(__xludf.DUMMYFUNCTION("""COMPUTED_VALUE"""),5)</f>
        <v>5</v>
      </c>
      <c r="J1303" s="118">
        <f ca="1">IFERROR(__xludf.DUMMYFUNCTION("""COMPUTED_VALUE"""),4)</f>
        <v>4</v>
      </c>
      <c r="K1303" s="120">
        <f ca="1">IFERROR(__xludf.DUMMYFUNCTION("""COMPUTED_VALUE"""),92.55)</f>
        <v>92.55</v>
      </c>
      <c r="L1303" s="121"/>
      <c r="M1303" s="120">
        <f ca="1">IFERROR(__xludf.DUMMYFUNCTION("""COMPUTED_VALUE"""),78.25)</f>
        <v>78.25</v>
      </c>
      <c r="N1303" s="121"/>
      <c r="O1303" s="120">
        <f ca="1">IFERROR(__xludf.DUMMYFUNCTION("""COMPUTED_VALUE"""),-74.05)</f>
        <v>-74.05</v>
      </c>
      <c r="P1303" s="122"/>
      <c r="Q1303" s="123"/>
      <c r="R1303" s="123"/>
      <c r="S1303" s="123"/>
      <c r="T1303" s="123"/>
    </row>
    <row r="1304" spans="1:20" ht="13.8">
      <c r="A1304" s="118" t="str">
        <f ca="1">IFERROR(__xludf.DUMMYFUNCTION("""COMPUTED_VALUE"""),"OAK")</f>
        <v>OAK</v>
      </c>
      <c r="B1304" s="119" t="str">
        <f ca="1">IFERROR(__xludf.DUMMYFUNCTION("""COMPUTED_VALUE"""),"Audrey Hammond")</f>
        <v>Audrey Hammond</v>
      </c>
      <c r="C1304" s="118">
        <f ca="1">IFERROR(__xludf.DUMMYFUNCTION("""COMPUTED_VALUE"""),12)</f>
        <v>12</v>
      </c>
      <c r="D1304" s="118" t="str">
        <f ca="1">IFERROR(__xludf.DUMMYFUNCTION("""COMPUTED_VALUE"""),"G")</f>
        <v>G</v>
      </c>
      <c r="E1304" s="118" t="str">
        <f ca="1">IFERROR(__xludf.DUMMYFUNCTION("""COMPUTED_VALUE"""),"J")</f>
        <v>J</v>
      </c>
      <c r="F1304" s="118" t="str">
        <f ca="1">IFERROR(__xludf.DUMMYFUNCTION("""COMPUTED_VALUE"""),"I")</f>
        <v>I</v>
      </c>
      <c r="G1304" s="118">
        <f ca="1">IFERROR(__xludf.DUMMYFUNCTION("""COMPUTED_VALUE"""),1)</f>
        <v>1</v>
      </c>
      <c r="H1304" s="118" t="str">
        <f ca="1">IFERROR(__xludf.DUMMYFUNCTION("""COMPUTED_VALUE"""),"OAK")</f>
        <v>OAK</v>
      </c>
      <c r="I1304" s="118">
        <f ca="1">IFERROR(__xludf.DUMMYFUNCTION("""COMPUTED_VALUE"""),6)</f>
        <v>6</v>
      </c>
      <c r="J1304" s="118">
        <f ca="1">IFERROR(__xludf.DUMMYFUNCTION("""COMPUTED_VALUE"""),4)</f>
        <v>4</v>
      </c>
      <c r="K1304" s="120">
        <f ca="1">IFERROR(__xludf.DUMMYFUNCTION("""COMPUTED_VALUE"""),103.7)</f>
        <v>103.7</v>
      </c>
      <c r="L1304" s="121"/>
      <c r="M1304" s="120"/>
      <c r="N1304" s="121"/>
      <c r="O1304" s="120">
        <f ca="1">IFERROR(__xludf.DUMMYFUNCTION("""COMPUTED_VALUE"""),84.3)</f>
        <v>84.3</v>
      </c>
      <c r="P1304" s="122"/>
      <c r="Q1304" s="123"/>
      <c r="R1304" s="123"/>
      <c r="S1304" s="123"/>
      <c r="T1304" s="123"/>
    </row>
    <row r="1305" spans="1:20" ht="13.8">
      <c r="A1305" s="118" t="str">
        <f ca="1">IFERROR(__xludf.DUMMYFUNCTION("""COMPUTED_VALUE"""),"OAK")</f>
        <v>OAK</v>
      </c>
      <c r="B1305" s="119" t="str">
        <f ca="1">IFERROR(__xludf.DUMMYFUNCTION("""COMPUTED_VALUE"""),"Lauren Emerick")</f>
        <v>Lauren Emerick</v>
      </c>
      <c r="C1305" s="118">
        <f ca="1">IFERROR(__xludf.DUMMYFUNCTION("""COMPUTED_VALUE"""),12)</f>
        <v>12</v>
      </c>
      <c r="D1305" s="118" t="str">
        <f ca="1">IFERROR(__xludf.DUMMYFUNCTION("""COMPUTED_VALUE"""),"G")</f>
        <v>G</v>
      </c>
      <c r="E1305" s="118" t="str">
        <f ca="1">IFERROR(__xludf.DUMMYFUNCTION("""COMPUTED_VALUE"""),"J")</f>
        <v>J</v>
      </c>
      <c r="F1305" s="118" t="str">
        <f ca="1">IFERROR(__xludf.DUMMYFUNCTION("""COMPUTED_VALUE"""),"I")</f>
        <v>I</v>
      </c>
      <c r="G1305" s="118">
        <f ca="1">IFERROR(__xludf.DUMMYFUNCTION("""COMPUTED_VALUE"""),1)</f>
        <v>1</v>
      </c>
      <c r="H1305" s="118" t="str">
        <f ca="1">IFERROR(__xludf.DUMMYFUNCTION("""COMPUTED_VALUE"""),"OAK")</f>
        <v>OAK</v>
      </c>
      <c r="I1305" s="118">
        <f ca="1">IFERROR(__xludf.DUMMYFUNCTION("""COMPUTED_VALUE"""),6)</f>
        <v>6</v>
      </c>
      <c r="J1305" s="118">
        <f ca="1">IFERROR(__xludf.DUMMYFUNCTION("""COMPUTED_VALUE"""),5)</f>
        <v>5</v>
      </c>
      <c r="K1305" s="120">
        <f ca="1">IFERROR(__xludf.DUMMYFUNCTION("""COMPUTED_VALUE"""),103.6)</f>
        <v>103.6</v>
      </c>
      <c r="L1305" s="121"/>
      <c r="M1305" s="120">
        <f ca="1">IFERROR(__xludf.DUMMYFUNCTION("""COMPUTED_VALUE"""),86.1)</f>
        <v>86.1</v>
      </c>
      <c r="N1305" s="121"/>
      <c r="O1305" s="120">
        <f ca="1">IFERROR(__xludf.DUMMYFUNCTION("""COMPUTED_VALUE"""),84.3)</f>
        <v>84.3</v>
      </c>
      <c r="P1305" s="122"/>
      <c r="Q1305" s="123"/>
      <c r="R1305" s="123"/>
      <c r="S1305" s="123"/>
      <c r="T1305" s="123"/>
    </row>
    <row r="1306" spans="1:20" ht="13.8">
      <c r="A1306" s="118" t="str">
        <f ca="1">IFERROR(__xludf.DUMMYFUNCTION("""COMPUTED_VALUE"""),"OAK")</f>
        <v>OAK</v>
      </c>
      <c r="B1306" s="119" t="str">
        <f ca="1">IFERROR(__xludf.DUMMYFUNCTION("""COMPUTED_VALUE"""),"Margie Hammond")</f>
        <v>Margie Hammond</v>
      </c>
      <c r="C1306" s="118">
        <f ca="1">IFERROR(__xludf.DUMMYFUNCTION("""COMPUTED_VALUE"""),11)</f>
        <v>11</v>
      </c>
      <c r="D1306" s="118" t="str">
        <f ca="1">IFERROR(__xludf.DUMMYFUNCTION("""COMPUTED_VALUE"""),"G")</f>
        <v>G</v>
      </c>
      <c r="E1306" s="118" t="str">
        <f ca="1">IFERROR(__xludf.DUMMYFUNCTION("""COMPUTED_VALUE"""),"J")</f>
        <v>J</v>
      </c>
      <c r="F1306" s="118" t="str">
        <f ca="1">IFERROR(__xludf.DUMMYFUNCTION("""COMPUTED_VALUE"""),"I")</f>
        <v>I</v>
      </c>
      <c r="G1306" s="118">
        <f ca="1">IFERROR(__xludf.DUMMYFUNCTION("""COMPUTED_VALUE"""),1)</f>
        <v>1</v>
      </c>
      <c r="H1306" s="118" t="str">
        <f ca="1">IFERROR(__xludf.DUMMYFUNCTION("""COMPUTED_VALUE"""),"OAK")</f>
        <v>OAK</v>
      </c>
      <c r="I1306" s="118">
        <f ca="1">IFERROR(__xludf.DUMMYFUNCTION("""COMPUTED_VALUE"""),6)</f>
        <v>6</v>
      </c>
      <c r="J1306" s="118">
        <f ca="1">IFERROR(__xludf.DUMMYFUNCTION("""COMPUTED_VALUE"""),4)</f>
        <v>4</v>
      </c>
      <c r="K1306" s="120">
        <f ca="1">IFERROR(__xludf.DUMMYFUNCTION("""COMPUTED_VALUE"""),76.4)</f>
        <v>76.400000000000006</v>
      </c>
      <c r="L1306" s="121"/>
      <c r="M1306" s="120"/>
      <c r="N1306" s="121"/>
      <c r="O1306" s="120">
        <f ca="1">IFERROR(__xludf.DUMMYFUNCTION("""COMPUTED_VALUE"""),75.2)</f>
        <v>75.2</v>
      </c>
      <c r="P1306" s="122"/>
      <c r="Q1306" s="123"/>
      <c r="R1306" s="123"/>
      <c r="S1306" s="123"/>
      <c r="T1306" s="123"/>
    </row>
    <row r="1307" spans="1:20" ht="13.8">
      <c r="A1307" s="118" t="str">
        <f ca="1">IFERROR(__xludf.DUMMYFUNCTION("""COMPUTED_VALUE"""),"OAK")</f>
        <v>OAK</v>
      </c>
      <c r="B1307" s="119" t="str">
        <f ca="1">IFERROR(__xludf.DUMMYFUNCTION("""COMPUTED_VALUE"""),"Simone Wilson")</f>
        <v>Simone Wilson</v>
      </c>
      <c r="C1307" s="118">
        <f ca="1">IFERROR(__xludf.DUMMYFUNCTION("""COMPUTED_VALUE"""),12)</f>
        <v>12</v>
      </c>
      <c r="D1307" s="118" t="str">
        <f ca="1">IFERROR(__xludf.DUMMYFUNCTION("""COMPUTED_VALUE"""),"G")</f>
        <v>G</v>
      </c>
      <c r="E1307" s="118" t="str">
        <f ca="1">IFERROR(__xludf.DUMMYFUNCTION("""COMPUTED_VALUE"""),"J")</f>
        <v>J</v>
      </c>
      <c r="F1307" s="118" t="str">
        <f ca="1">IFERROR(__xludf.DUMMYFUNCTION("""COMPUTED_VALUE"""),"I")</f>
        <v>I</v>
      </c>
      <c r="G1307" s="118">
        <f ca="1">IFERROR(__xludf.DUMMYFUNCTION("""COMPUTED_VALUE"""),1)</f>
        <v>1</v>
      </c>
      <c r="H1307" s="118" t="str">
        <f ca="1">IFERROR(__xludf.DUMMYFUNCTION("""COMPUTED_VALUE"""),"OAK")</f>
        <v>OAK</v>
      </c>
      <c r="I1307" s="118">
        <f ca="1">IFERROR(__xludf.DUMMYFUNCTION("""COMPUTED_VALUE"""),6)</f>
        <v>6</v>
      </c>
      <c r="J1307" s="118">
        <f ca="1">IFERROR(__xludf.DUMMYFUNCTION("""COMPUTED_VALUE"""),5)</f>
        <v>5</v>
      </c>
      <c r="K1307" s="120">
        <f ca="1">IFERROR(__xludf.DUMMYFUNCTION("""COMPUTED_VALUE"""),112.1)</f>
        <v>112.1</v>
      </c>
      <c r="L1307" s="121"/>
      <c r="M1307" s="120">
        <f ca="1">IFERROR(__xludf.DUMMYFUNCTION("""COMPUTED_VALUE"""),98.95)</f>
        <v>98.95</v>
      </c>
      <c r="N1307" s="121"/>
      <c r="O1307" s="120">
        <f ca="1">IFERROR(__xludf.DUMMYFUNCTION("""COMPUTED_VALUE"""),93.5)</f>
        <v>93.5</v>
      </c>
      <c r="P1307" s="122"/>
      <c r="Q1307" s="123"/>
      <c r="R1307" s="123"/>
      <c r="S1307" s="123"/>
      <c r="T1307" s="123"/>
    </row>
    <row r="1308" spans="1:20" ht="13.8">
      <c r="A1308" s="118" t="str">
        <f ca="1">IFERROR(__xludf.DUMMYFUNCTION("""COMPUTED_VALUE"""),"OAK")</f>
        <v>OAK</v>
      </c>
      <c r="B1308" s="119" t="str">
        <f ca="1">IFERROR(__xludf.DUMMYFUNCTION("""COMPUTED_VALUE"""),"Vivian Warren")</f>
        <v>Vivian Warren</v>
      </c>
      <c r="C1308" s="118">
        <f ca="1">IFERROR(__xludf.DUMMYFUNCTION("""COMPUTED_VALUE"""),11)</f>
        <v>11</v>
      </c>
      <c r="D1308" s="118" t="str">
        <f ca="1">IFERROR(__xludf.DUMMYFUNCTION("""COMPUTED_VALUE"""),"G")</f>
        <v>G</v>
      </c>
      <c r="E1308" s="118" t="str">
        <f ca="1">IFERROR(__xludf.DUMMYFUNCTION("""COMPUTED_VALUE"""),"J")</f>
        <v>J</v>
      </c>
      <c r="F1308" s="118" t="str">
        <f ca="1">IFERROR(__xludf.DUMMYFUNCTION("""COMPUTED_VALUE"""),"I")</f>
        <v>I</v>
      </c>
      <c r="G1308" s="118">
        <f ca="1">IFERROR(__xludf.DUMMYFUNCTION("""COMPUTED_VALUE"""),1)</f>
        <v>1</v>
      </c>
      <c r="H1308" s="118" t="str">
        <f ca="1">IFERROR(__xludf.DUMMYFUNCTION("""COMPUTED_VALUE"""),"OAK")</f>
        <v>OAK</v>
      </c>
      <c r="I1308" s="118">
        <f ca="1">IFERROR(__xludf.DUMMYFUNCTION("""COMPUTED_VALUE"""),6)</f>
        <v>6</v>
      </c>
      <c r="J1308" s="118">
        <f ca="1">IFERROR(__xludf.DUMMYFUNCTION("""COMPUTED_VALUE"""),0)</f>
        <v>0</v>
      </c>
      <c r="K1308" s="120"/>
      <c r="L1308" s="121"/>
      <c r="M1308" s="120"/>
      <c r="N1308" s="121"/>
      <c r="O1308" s="120"/>
      <c r="P1308" s="122"/>
      <c r="Q1308" s="123"/>
      <c r="R1308" s="123"/>
      <c r="S1308" s="123"/>
      <c r="T1308" s="123"/>
    </row>
    <row r="1309" spans="1:20" ht="13.8">
      <c r="A1309" s="118" t="str">
        <f ca="1">IFERROR(__xludf.DUMMYFUNCTION("""COMPUTED_VALUE"""),"OAK")</f>
        <v>OAK</v>
      </c>
      <c r="B1309" s="119" t="str">
        <f ca="1">IFERROR(__xludf.DUMMYFUNCTION("""COMPUTED_VALUE"""),"Jameson Ham")</f>
        <v>Jameson Ham</v>
      </c>
      <c r="C1309" s="118">
        <f ca="1">IFERROR(__xludf.DUMMYFUNCTION("""COMPUTED_VALUE"""),12)</f>
        <v>12</v>
      </c>
      <c r="D1309" s="118" t="str">
        <f ca="1">IFERROR(__xludf.DUMMYFUNCTION("""COMPUTED_VALUE"""),"B")</f>
        <v>B</v>
      </c>
      <c r="E1309" s="118" t="str">
        <f ca="1">IFERROR(__xludf.DUMMYFUNCTION("""COMPUTED_VALUE"""),"J")</f>
        <v>J</v>
      </c>
      <c r="F1309" s="118" t="str">
        <f ca="1">IFERROR(__xludf.DUMMYFUNCTION("""COMPUTED_VALUE"""),"I")</f>
        <v>I</v>
      </c>
      <c r="G1309" s="118">
        <f ca="1">IFERROR(__xludf.DUMMYFUNCTION("""COMPUTED_VALUE"""),1)</f>
        <v>1</v>
      </c>
      <c r="H1309" s="118" t="str">
        <f ca="1">IFERROR(__xludf.DUMMYFUNCTION("""COMPUTED_VALUE"""),"OAK")</f>
        <v>OAK</v>
      </c>
      <c r="I1309" s="118">
        <f ca="1">IFERROR(__xludf.DUMMYFUNCTION("""COMPUTED_VALUE"""),7)</f>
        <v>7</v>
      </c>
      <c r="J1309" s="118">
        <f ca="1">IFERROR(__xludf.DUMMYFUNCTION("""COMPUTED_VALUE"""),4)</f>
        <v>4</v>
      </c>
      <c r="K1309" s="120">
        <f ca="1">IFERROR(__xludf.DUMMYFUNCTION("""COMPUTED_VALUE"""),83.65)</f>
        <v>83.65</v>
      </c>
      <c r="L1309" s="121"/>
      <c r="M1309" s="120">
        <f ca="1">IFERROR(__xludf.DUMMYFUNCTION("""COMPUTED_VALUE"""),60.35)</f>
        <v>60.35</v>
      </c>
      <c r="N1309" s="121"/>
      <c r="O1309" s="120">
        <f ca="1">IFERROR(__xludf.DUMMYFUNCTION("""COMPUTED_VALUE"""),78.25)</f>
        <v>78.25</v>
      </c>
      <c r="P1309" s="122"/>
      <c r="Q1309" s="123"/>
      <c r="R1309" s="123"/>
      <c r="S1309" s="123"/>
      <c r="T1309" s="123"/>
    </row>
    <row r="1310" spans="1:20" ht="13.8">
      <c r="A1310" s="118" t="str">
        <f ca="1">IFERROR(__xludf.DUMMYFUNCTION("""COMPUTED_VALUE"""),"OAK")</f>
        <v>OAK</v>
      </c>
      <c r="B1310" s="119" t="str">
        <f ca="1">IFERROR(__xludf.DUMMYFUNCTION("""COMPUTED_VALUE"""),"Timmy Van Haute")</f>
        <v>Timmy Van Haute</v>
      </c>
      <c r="C1310" s="118">
        <f ca="1">IFERROR(__xludf.DUMMYFUNCTION("""COMPUTED_VALUE"""),12)</f>
        <v>12</v>
      </c>
      <c r="D1310" s="118" t="str">
        <f ca="1">IFERROR(__xludf.DUMMYFUNCTION("""COMPUTED_VALUE"""),"B")</f>
        <v>B</v>
      </c>
      <c r="E1310" s="118" t="str">
        <f ca="1">IFERROR(__xludf.DUMMYFUNCTION("""COMPUTED_VALUE"""),"J")</f>
        <v>J</v>
      </c>
      <c r="F1310" s="118" t="str">
        <f ca="1">IFERROR(__xludf.DUMMYFUNCTION("""COMPUTED_VALUE"""),"I")</f>
        <v>I</v>
      </c>
      <c r="G1310" s="118">
        <f ca="1">IFERROR(__xludf.DUMMYFUNCTION("""COMPUTED_VALUE"""),1)</f>
        <v>1</v>
      </c>
      <c r="H1310" s="118" t="str">
        <f ca="1">IFERROR(__xludf.DUMMYFUNCTION("""COMPUTED_VALUE"""),"OAK")</f>
        <v>OAK</v>
      </c>
      <c r="I1310" s="118">
        <f ca="1">IFERROR(__xludf.DUMMYFUNCTION("""COMPUTED_VALUE"""),7)</f>
        <v>7</v>
      </c>
      <c r="J1310" s="118">
        <f ca="1">IFERROR(__xludf.DUMMYFUNCTION("""COMPUTED_VALUE"""),2)</f>
        <v>2</v>
      </c>
      <c r="K1310" s="120">
        <f ca="1">IFERROR(__xludf.DUMMYFUNCTION("""COMPUTED_VALUE"""),70.8)</f>
        <v>70.8</v>
      </c>
      <c r="L1310" s="121"/>
      <c r="M1310" s="120"/>
      <c r="N1310" s="121"/>
      <c r="O1310" s="120"/>
      <c r="P1310" s="122"/>
      <c r="Q1310" s="123"/>
      <c r="R1310" s="123"/>
      <c r="S1310" s="123"/>
      <c r="T1310" s="123"/>
    </row>
    <row r="1311" spans="1:20" ht="13.8">
      <c r="A1311" s="118" t="str">
        <f ca="1">IFERROR(__xludf.DUMMYFUNCTION("""COMPUTED_VALUE"""),"OAK")</f>
        <v>OAK</v>
      </c>
      <c r="B1311" s="119" t="str">
        <f ca="1">IFERROR(__xludf.DUMMYFUNCTION("""COMPUTED_VALUE"""),"Charlotte Henderson")</f>
        <v>Charlotte Henderson</v>
      </c>
      <c r="C1311" s="118">
        <f ca="1">IFERROR(__xludf.DUMMYFUNCTION("""COMPUTED_VALUE"""),14)</f>
        <v>14</v>
      </c>
      <c r="D1311" s="118" t="str">
        <f ca="1">IFERROR(__xludf.DUMMYFUNCTION("""COMPUTED_VALUE"""),"G")</f>
        <v>G</v>
      </c>
      <c r="E1311" s="118" t="str">
        <f ca="1">IFERROR(__xludf.DUMMYFUNCTION("""COMPUTED_VALUE"""),"I")</f>
        <v>I</v>
      </c>
      <c r="F1311" s="118" t="str">
        <f ca="1">IFERROR(__xludf.DUMMYFUNCTION("""COMPUTED_VALUE"""),"S")</f>
        <v>S</v>
      </c>
      <c r="G1311" s="118">
        <f ca="1">IFERROR(__xludf.DUMMYFUNCTION("""COMPUTED_VALUE"""),1)</f>
        <v>1</v>
      </c>
      <c r="H1311" s="118" t="str">
        <f ca="1">IFERROR(__xludf.DUMMYFUNCTION("""COMPUTED_VALUE"""),"OAK")</f>
        <v>OAK</v>
      </c>
      <c r="I1311" s="118">
        <f ca="1">IFERROR(__xludf.DUMMYFUNCTION("""COMPUTED_VALUE"""),8)</f>
        <v>8</v>
      </c>
      <c r="J1311" s="118">
        <f ca="1">IFERROR(__xludf.DUMMYFUNCTION("""COMPUTED_VALUE"""),5)</f>
        <v>5</v>
      </c>
      <c r="K1311" s="120">
        <f ca="1">IFERROR(__xludf.DUMMYFUNCTION("""COMPUTED_VALUE"""),137.6)</f>
        <v>137.6</v>
      </c>
      <c r="L1311" s="121"/>
      <c r="M1311" s="120">
        <f ca="1">IFERROR(__xludf.DUMMYFUNCTION("""COMPUTED_VALUE"""),124.6)</f>
        <v>124.6</v>
      </c>
      <c r="N1311" s="121"/>
      <c r="O1311" s="120">
        <f ca="1">IFERROR(__xludf.DUMMYFUNCTION("""COMPUTED_VALUE"""),129.85)</f>
        <v>129.85</v>
      </c>
      <c r="P1311" s="122"/>
      <c r="Q1311" s="123"/>
      <c r="R1311" s="123"/>
      <c r="S1311" s="123"/>
      <c r="T1311" s="123"/>
    </row>
    <row r="1312" spans="1:20" ht="13.8">
      <c r="A1312" s="118" t="str">
        <f ca="1">IFERROR(__xludf.DUMMYFUNCTION("""COMPUTED_VALUE"""),"OAK")</f>
        <v>OAK</v>
      </c>
      <c r="B1312" s="119" t="str">
        <f ca="1">IFERROR(__xludf.DUMMYFUNCTION("""COMPUTED_VALUE"""),"Ella Henderson")</f>
        <v>Ella Henderson</v>
      </c>
      <c r="C1312" s="118">
        <f ca="1">IFERROR(__xludf.DUMMYFUNCTION("""COMPUTED_VALUE"""),14)</f>
        <v>14</v>
      </c>
      <c r="D1312" s="118" t="str">
        <f ca="1">IFERROR(__xludf.DUMMYFUNCTION("""COMPUTED_VALUE"""),"G")</f>
        <v>G</v>
      </c>
      <c r="E1312" s="118" t="str">
        <f ca="1">IFERROR(__xludf.DUMMYFUNCTION("""COMPUTED_VALUE"""),"I")</f>
        <v>I</v>
      </c>
      <c r="F1312" s="118" t="str">
        <f ca="1">IFERROR(__xludf.DUMMYFUNCTION("""COMPUTED_VALUE"""),"S")</f>
        <v>S</v>
      </c>
      <c r="G1312" s="118">
        <f ca="1">IFERROR(__xludf.DUMMYFUNCTION("""COMPUTED_VALUE"""),1)</f>
        <v>1</v>
      </c>
      <c r="H1312" s="118" t="str">
        <f ca="1">IFERROR(__xludf.DUMMYFUNCTION("""COMPUTED_VALUE"""),"OAK")</f>
        <v>OAK</v>
      </c>
      <c r="I1312" s="118">
        <f ca="1">IFERROR(__xludf.DUMMYFUNCTION("""COMPUTED_VALUE"""),8)</f>
        <v>8</v>
      </c>
      <c r="J1312" s="118">
        <f ca="1">IFERROR(__xludf.DUMMYFUNCTION("""COMPUTED_VALUE"""),5)</f>
        <v>5</v>
      </c>
      <c r="K1312" s="120">
        <f ca="1">IFERROR(__xludf.DUMMYFUNCTION("""COMPUTED_VALUE"""),112.05)</f>
        <v>112.05</v>
      </c>
      <c r="L1312" s="121"/>
      <c r="M1312" s="120">
        <f ca="1">IFERROR(__xludf.DUMMYFUNCTION("""COMPUTED_VALUE"""),101.7)</f>
        <v>101.7</v>
      </c>
      <c r="N1312" s="121"/>
      <c r="O1312" s="120">
        <f ca="1">IFERROR(__xludf.DUMMYFUNCTION("""COMPUTED_VALUE"""),108.45)</f>
        <v>108.45</v>
      </c>
      <c r="P1312" s="122"/>
      <c r="Q1312" s="123"/>
      <c r="R1312" s="123"/>
      <c r="S1312" s="123"/>
      <c r="T1312" s="123"/>
    </row>
    <row r="1313" spans="1:20" ht="13.8">
      <c r="A1313" s="118" t="str">
        <f ca="1">IFERROR(__xludf.DUMMYFUNCTION("""COMPUTED_VALUE"""),"OAK")</f>
        <v>OAK</v>
      </c>
      <c r="B1313" s="119" t="str">
        <f ca="1">IFERROR(__xludf.DUMMYFUNCTION("""COMPUTED_VALUE"""),"Genevieve Wilson")</f>
        <v>Genevieve Wilson</v>
      </c>
      <c r="C1313" s="118">
        <f ca="1">IFERROR(__xludf.DUMMYFUNCTION("""COMPUTED_VALUE"""),14)</f>
        <v>14</v>
      </c>
      <c r="D1313" s="118" t="str">
        <f ca="1">IFERROR(__xludf.DUMMYFUNCTION("""COMPUTED_VALUE"""),"G")</f>
        <v>G</v>
      </c>
      <c r="E1313" s="118" t="str">
        <f ca="1">IFERROR(__xludf.DUMMYFUNCTION("""COMPUTED_VALUE"""),"I")</f>
        <v>I</v>
      </c>
      <c r="F1313" s="118" t="str">
        <f ca="1">IFERROR(__xludf.DUMMYFUNCTION("""COMPUTED_VALUE"""),"S")</f>
        <v>S</v>
      </c>
      <c r="G1313" s="118">
        <f ca="1">IFERROR(__xludf.DUMMYFUNCTION("""COMPUTED_VALUE"""),1)</f>
        <v>1</v>
      </c>
      <c r="H1313" s="118" t="str">
        <f ca="1">IFERROR(__xludf.DUMMYFUNCTION("""COMPUTED_VALUE"""),"OAK")</f>
        <v>OAK</v>
      </c>
      <c r="I1313" s="118">
        <f ca="1">IFERROR(__xludf.DUMMYFUNCTION("""COMPUTED_VALUE"""),8)</f>
        <v>8</v>
      </c>
      <c r="J1313" s="118">
        <f ca="1">IFERROR(__xludf.DUMMYFUNCTION("""COMPUTED_VALUE"""),0)</f>
        <v>0</v>
      </c>
      <c r="K1313" s="120"/>
      <c r="L1313" s="121"/>
      <c r="M1313" s="120"/>
      <c r="N1313" s="121"/>
      <c r="O1313" s="120"/>
      <c r="P1313" s="122"/>
      <c r="Q1313" s="123"/>
      <c r="R1313" s="123"/>
      <c r="S1313" s="123"/>
      <c r="T1313" s="123"/>
    </row>
    <row r="1314" spans="1:20" ht="13.8">
      <c r="A1314" s="118" t="str">
        <f ca="1">IFERROR(__xludf.DUMMYFUNCTION("""COMPUTED_VALUE"""),"OAK")</f>
        <v>OAK</v>
      </c>
      <c r="B1314" s="119" t="str">
        <f ca="1">IFERROR(__xludf.DUMMYFUNCTION("""COMPUTED_VALUE"""),"Maia Berthe")</f>
        <v>Maia Berthe</v>
      </c>
      <c r="C1314" s="118">
        <f ca="1">IFERROR(__xludf.DUMMYFUNCTION("""COMPUTED_VALUE"""),14)</f>
        <v>14</v>
      </c>
      <c r="D1314" s="118" t="str">
        <f ca="1">IFERROR(__xludf.DUMMYFUNCTION("""COMPUTED_VALUE"""),"G")</f>
        <v>G</v>
      </c>
      <c r="E1314" s="118" t="str">
        <f ca="1">IFERROR(__xludf.DUMMYFUNCTION("""COMPUTED_VALUE"""),"I")</f>
        <v>I</v>
      </c>
      <c r="F1314" s="118" t="str">
        <f ca="1">IFERROR(__xludf.DUMMYFUNCTION("""COMPUTED_VALUE"""),"S")</f>
        <v>S</v>
      </c>
      <c r="G1314" s="118">
        <f ca="1">IFERROR(__xludf.DUMMYFUNCTION("""COMPUTED_VALUE"""),1)</f>
        <v>1</v>
      </c>
      <c r="H1314" s="118" t="str">
        <f ca="1">IFERROR(__xludf.DUMMYFUNCTION("""COMPUTED_VALUE"""),"OAK")</f>
        <v>OAK</v>
      </c>
      <c r="I1314" s="118">
        <f ca="1">IFERROR(__xludf.DUMMYFUNCTION("""COMPUTED_VALUE"""),8)</f>
        <v>8</v>
      </c>
      <c r="J1314" s="118">
        <f ca="1">IFERROR(__xludf.DUMMYFUNCTION("""COMPUTED_VALUE"""),0)</f>
        <v>0</v>
      </c>
      <c r="K1314" s="120"/>
      <c r="L1314" s="121"/>
      <c r="M1314" s="120"/>
      <c r="N1314" s="121"/>
      <c r="O1314" s="120"/>
      <c r="P1314" s="122"/>
      <c r="Q1314" s="123"/>
      <c r="R1314" s="123"/>
      <c r="S1314" s="123"/>
      <c r="T1314" s="123"/>
    </row>
    <row r="1315" spans="1:20" ht="13.8">
      <c r="A1315" s="118" t="str">
        <f ca="1">IFERROR(__xludf.DUMMYFUNCTION("""COMPUTED_VALUE"""),"OAK")</f>
        <v>OAK</v>
      </c>
      <c r="B1315" s="119" t="str">
        <f ca="1">IFERROR(__xludf.DUMMYFUNCTION("""COMPUTED_VALUE"""),"Alex Negron")</f>
        <v>Alex Negron</v>
      </c>
      <c r="C1315" s="118">
        <f ca="1">IFERROR(__xludf.DUMMYFUNCTION("""COMPUTED_VALUE"""),14)</f>
        <v>14</v>
      </c>
      <c r="D1315" s="118" t="str">
        <f ca="1">IFERROR(__xludf.DUMMYFUNCTION("""COMPUTED_VALUE"""),"B")</f>
        <v>B</v>
      </c>
      <c r="E1315" s="118" t="str">
        <f ca="1">IFERROR(__xludf.DUMMYFUNCTION("""COMPUTED_VALUE"""),"I")</f>
        <v>I</v>
      </c>
      <c r="F1315" s="118" t="str">
        <f ca="1">IFERROR(__xludf.DUMMYFUNCTION("""COMPUTED_VALUE"""),"S")</f>
        <v>S</v>
      </c>
      <c r="G1315" s="118">
        <f ca="1">IFERROR(__xludf.DUMMYFUNCTION("""COMPUTED_VALUE"""),1)</f>
        <v>1</v>
      </c>
      <c r="H1315" s="118" t="str">
        <f ca="1">IFERROR(__xludf.DUMMYFUNCTION("""COMPUTED_VALUE"""),"OAK")</f>
        <v>OAK</v>
      </c>
      <c r="I1315" s="118">
        <f ca="1">IFERROR(__xludf.DUMMYFUNCTION("""COMPUTED_VALUE"""),9)</f>
        <v>9</v>
      </c>
      <c r="J1315" s="118">
        <f ca="1">IFERROR(__xludf.DUMMYFUNCTION("""COMPUTED_VALUE"""),5)</f>
        <v>5</v>
      </c>
      <c r="K1315" s="120">
        <f ca="1">IFERROR(__xludf.DUMMYFUNCTION("""COMPUTED_VALUE"""),103.1)</f>
        <v>103.1</v>
      </c>
      <c r="L1315" s="121"/>
      <c r="M1315" s="120">
        <f ca="1">IFERROR(__xludf.DUMMYFUNCTION("""COMPUTED_VALUE"""),80.4)</f>
        <v>80.400000000000006</v>
      </c>
      <c r="N1315" s="121"/>
      <c r="O1315" s="120">
        <f ca="1">IFERROR(__xludf.DUMMYFUNCTION("""COMPUTED_VALUE"""),93.05)</f>
        <v>93.05</v>
      </c>
      <c r="P1315" s="122"/>
      <c r="Q1315" s="123"/>
      <c r="R1315" s="123"/>
      <c r="S1315" s="123"/>
      <c r="T1315" s="123"/>
    </row>
    <row r="1316" spans="1:20" ht="13.8">
      <c r="A1316" s="118" t="str">
        <f ca="1">IFERROR(__xludf.DUMMYFUNCTION("""COMPUTED_VALUE"""),"OAK")</f>
        <v>OAK</v>
      </c>
      <c r="B1316" s="119" t="str">
        <f ca="1">IFERROR(__xludf.DUMMYFUNCTION("""COMPUTED_VALUE"""),"Caleb McManus")</f>
        <v>Caleb McManus</v>
      </c>
      <c r="C1316" s="118">
        <f ca="1">IFERROR(__xludf.DUMMYFUNCTION("""COMPUTED_VALUE"""),13)</f>
        <v>13</v>
      </c>
      <c r="D1316" s="118" t="str">
        <f ca="1">IFERROR(__xludf.DUMMYFUNCTION("""COMPUTED_VALUE"""),"B")</f>
        <v>B</v>
      </c>
      <c r="E1316" s="118" t="str">
        <f ca="1">IFERROR(__xludf.DUMMYFUNCTION("""COMPUTED_VALUE"""),"I")</f>
        <v>I</v>
      </c>
      <c r="F1316" s="118" t="str">
        <f ca="1">IFERROR(__xludf.DUMMYFUNCTION("""COMPUTED_VALUE"""),"S")</f>
        <v>S</v>
      </c>
      <c r="G1316" s="118">
        <f ca="1">IFERROR(__xludf.DUMMYFUNCTION("""COMPUTED_VALUE"""),1)</f>
        <v>1</v>
      </c>
      <c r="H1316" s="118" t="str">
        <f ca="1">IFERROR(__xludf.DUMMYFUNCTION("""COMPUTED_VALUE"""),"OAK")</f>
        <v>OAK</v>
      </c>
      <c r="I1316" s="118">
        <f ca="1">IFERROR(__xludf.DUMMYFUNCTION("""COMPUTED_VALUE"""),9)</f>
        <v>9</v>
      </c>
      <c r="J1316" s="118">
        <f ca="1">IFERROR(__xludf.DUMMYFUNCTION("""COMPUTED_VALUE"""),4)</f>
        <v>4</v>
      </c>
      <c r="K1316" s="120">
        <f ca="1">IFERROR(__xludf.DUMMYFUNCTION("""COMPUTED_VALUE"""),141.1)</f>
        <v>141.1</v>
      </c>
      <c r="L1316" s="121"/>
      <c r="M1316" s="120">
        <f ca="1">IFERROR(__xludf.DUMMYFUNCTION("""COMPUTED_VALUE"""),123.3)</f>
        <v>123.3</v>
      </c>
      <c r="N1316" s="121"/>
      <c r="O1316" s="120">
        <f ca="1">IFERROR(__xludf.DUMMYFUNCTION("""COMPUTED_VALUE"""),123.2)</f>
        <v>123.2</v>
      </c>
      <c r="P1316" s="122"/>
      <c r="Q1316" s="123"/>
      <c r="R1316" s="123"/>
      <c r="S1316" s="123"/>
      <c r="T1316" s="123"/>
    </row>
    <row r="1317" spans="1:20" ht="13.8">
      <c r="A1317" s="118" t="str">
        <f ca="1">IFERROR(__xludf.DUMMYFUNCTION("""COMPUTED_VALUE"""),"OAK")</f>
        <v>OAK</v>
      </c>
      <c r="B1317" s="119" t="str">
        <f ca="1">IFERROR(__xludf.DUMMYFUNCTION("""COMPUTED_VALUE"""),"Colby Reese")</f>
        <v>Colby Reese</v>
      </c>
      <c r="C1317" s="118">
        <f ca="1">IFERROR(__xludf.DUMMYFUNCTION("""COMPUTED_VALUE"""),13)</f>
        <v>13</v>
      </c>
      <c r="D1317" s="118" t="str">
        <f ca="1">IFERROR(__xludf.DUMMYFUNCTION("""COMPUTED_VALUE"""),"B")</f>
        <v>B</v>
      </c>
      <c r="E1317" s="118" t="str">
        <f ca="1">IFERROR(__xludf.DUMMYFUNCTION("""COMPUTED_VALUE"""),"I")</f>
        <v>I</v>
      </c>
      <c r="F1317" s="118" t="str">
        <f ca="1">IFERROR(__xludf.DUMMYFUNCTION("""COMPUTED_VALUE"""),"S")</f>
        <v>S</v>
      </c>
      <c r="G1317" s="118">
        <f ca="1">IFERROR(__xludf.DUMMYFUNCTION("""COMPUTED_VALUE"""),1)</f>
        <v>1</v>
      </c>
      <c r="H1317" s="118" t="str">
        <f ca="1">IFERROR(__xludf.DUMMYFUNCTION("""COMPUTED_VALUE"""),"OAK")</f>
        <v>OAK</v>
      </c>
      <c r="I1317" s="118">
        <f ca="1">IFERROR(__xludf.DUMMYFUNCTION("""COMPUTED_VALUE"""),9)</f>
        <v>9</v>
      </c>
      <c r="J1317" s="118">
        <f ca="1">IFERROR(__xludf.DUMMYFUNCTION("""COMPUTED_VALUE"""),3)</f>
        <v>3</v>
      </c>
      <c r="K1317" s="120">
        <f ca="1">IFERROR(__xludf.DUMMYFUNCTION("""COMPUTED_VALUE"""),111.4)</f>
        <v>111.4</v>
      </c>
      <c r="L1317" s="121"/>
      <c r="M1317" s="120"/>
      <c r="N1317" s="121"/>
      <c r="O1317" s="120">
        <f ca="1">IFERROR(__xludf.DUMMYFUNCTION("""COMPUTED_VALUE"""),110.7)</f>
        <v>110.7</v>
      </c>
      <c r="P1317" s="122"/>
      <c r="Q1317" s="123"/>
      <c r="R1317" s="123"/>
      <c r="S1317" s="123"/>
      <c r="T1317" s="123"/>
    </row>
    <row r="1318" spans="1:20" ht="13.8">
      <c r="A1318" s="118" t="str">
        <f ca="1">IFERROR(__xludf.DUMMYFUNCTION("""COMPUTED_VALUE"""),"OAK")</f>
        <v>OAK</v>
      </c>
      <c r="B1318" s="119" t="str">
        <f ca="1">IFERROR(__xludf.DUMMYFUNCTION("""COMPUTED_VALUE"""),"Connor Timm")</f>
        <v>Connor Timm</v>
      </c>
      <c r="C1318" s="118">
        <f ca="1">IFERROR(__xludf.DUMMYFUNCTION("""COMPUTED_VALUE"""),13)</f>
        <v>13</v>
      </c>
      <c r="D1318" s="118" t="str">
        <f ca="1">IFERROR(__xludf.DUMMYFUNCTION("""COMPUTED_VALUE"""),"B")</f>
        <v>B</v>
      </c>
      <c r="E1318" s="118" t="str">
        <f ca="1">IFERROR(__xludf.DUMMYFUNCTION("""COMPUTED_VALUE"""),"I")</f>
        <v>I</v>
      </c>
      <c r="F1318" s="118" t="str">
        <f ca="1">IFERROR(__xludf.DUMMYFUNCTION("""COMPUTED_VALUE"""),"S")</f>
        <v>S</v>
      </c>
      <c r="G1318" s="118">
        <f ca="1">IFERROR(__xludf.DUMMYFUNCTION("""COMPUTED_VALUE"""),1)</f>
        <v>1</v>
      </c>
      <c r="H1318" s="118" t="str">
        <f ca="1">IFERROR(__xludf.DUMMYFUNCTION("""COMPUTED_VALUE"""),"OAK")</f>
        <v>OAK</v>
      </c>
      <c r="I1318" s="118">
        <f ca="1">IFERROR(__xludf.DUMMYFUNCTION("""COMPUTED_VALUE"""),9)</f>
        <v>9</v>
      </c>
      <c r="J1318" s="118">
        <f ca="1">IFERROR(__xludf.DUMMYFUNCTION("""COMPUTED_VALUE"""),4)</f>
        <v>4</v>
      </c>
      <c r="K1318" s="120">
        <f ca="1">IFERROR(__xludf.DUMMYFUNCTION("""COMPUTED_VALUE"""),114.25)</f>
        <v>114.25</v>
      </c>
      <c r="L1318" s="121"/>
      <c r="M1318" s="120">
        <f ca="1">IFERROR(__xludf.DUMMYFUNCTION("""COMPUTED_VALUE"""),91.95)</f>
        <v>91.95</v>
      </c>
      <c r="N1318" s="121"/>
      <c r="O1318" s="120">
        <f ca="1">IFERROR(__xludf.DUMMYFUNCTION("""COMPUTED_VALUE"""),104.35)</f>
        <v>104.35</v>
      </c>
      <c r="P1318" s="122"/>
      <c r="Q1318" s="123"/>
      <c r="R1318" s="123"/>
      <c r="S1318" s="123"/>
      <c r="T1318" s="123"/>
    </row>
    <row r="1319" spans="1:20" ht="13.8">
      <c r="A1319" s="118" t="str">
        <f ca="1">IFERROR(__xludf.DUMMYFUNCTION("""COMPUTED_VALUE"""),"OAK")</f>
        <v>OAK</v>
      </c>
      <c r="B1319" s="119" t="str">
        <f ca="1">IFERROR(__xludf.DUMMYFUNCTION("""COMPUTED_VALUE"""),"Sam Zarechnak")</f>
        <v>Sam Zarechnak</v>
      </c>
      <c r="C1319" s="118">
        <f ca="1">IFERROR(__xludf.DUMMYFUNCTION("""COMPUTED_VALUE"""),13)</f>
        <v>13</v>
      </c>
      <c r="D1319" s="118" t="str">
        <f ca="1">IFERROR(__xludf.DUMMYFUNCTION("""COMPUTED_VALUE"""),"B")</f>
        <v>B</v>
      </c>
      <c r="E1319" s="118" t="str">
        <f ca="1">IFERROR(__xludf.DUMMYFUNCTION("""COMPUTED_VALUE"""),"I")</f>
        <v>I</v>
      </c>
      <c r="F1319" s="118" t="str">
        <f ca="1">IFERROR(__xludf.DUMMYFUNCTION("""COMPUTED_VALUE"""),"S")</f>
        <v>S</v>
      </c>
      <c r="G1319" s="118">
        <f ca="1">IFERROR(__xludf.DUMMYFUNCTION("""COMPUTED_VALUE"""),1)</f>
        <v>1</v>
      </c>
      <c r="H1319" s="118" t="str">
        <f ca="1">IFERROR(__xludf.DUMMYFUNCTION("""COMPUTED_VALUE"""),"OAK")</f>
        <v>OAK</v>
      </c>
      <c r="I1319" s="118">
        <f ca="1">IFERROR(__xludf.DUMMYFUNCTION("""COMPUTED_VALUE"""),9)</f>
        <v>9</v>
      </c>
      <c r="J1319" s="118">
        <f ca="1">IFERROR(__xludf.DUMMYFUNCTION("""COMPUTED_VALUE"""),4)</f>
        <v>4</v>
      </c>
      <c r="K1319" s="120">
        <f ca="1">IFERROR(__xludf.DUMMYFUNCTION("""COMPUTED_VALUE"""),88.15)</f>
        <v>88.15</v>
      </c>
      <c r="L1319" s="121"/>
      <c r="M1319" s="120">
        <f ca="1">IFERROR(__xludf.DUMMYFUNCTION("""COMPUTED_VALUE"""),83.8)</f>
        <v>83.8</v>
      </c>
      <c r="N1319" s="121"/>
      <c r="O1319" s="120"/>
      <c r="P1319" s="122"/>
      <c r="Q1319" s="123"/>
      <c r="R1319" s="123"/>
      <c r="S1319" s="123"/>
      <c r="T1319" s="123"/>
    </row>
    <row r="1320" spans="1:20" ht="13.8">
      <c r="A1320" s="118" t="str">
        <f ca="1">IFERROR(__xludf.DUMMYFUNCTION("""COMPUTED_VALUE"""),"OAK")</f>
        <v>OAK</v>
      </c>
      <c r="B1320" s="119" t="str">
        <f ca="1">IFERROR(__xludf.DUMMYFUNCTION("""COMPUTED_VALUE"""),"Freya Griffiths")</f>
        <v>Freya Griffiths</v>
      </c>
      <c r="C1320" s="118">
        <f ca="1">IFERROR(__xludf.DUMMYFUNCTION("""COMPUTED_VALUE"""),15)</f>
        <v>15</v>
      </c>
      <c r="D1320" s="118" t="str">
        <f ca="1">IFERROR(__xludf.DUMMYFUNCTION("""COMPUTED_VALUE"""),"G")</f>
        <v>G</v>
      </c>
      <c r="E1320" s="118" t="str">
        <f ca="1">IFERROR(__xludf.DUMMYFUNCTION("""COMPUTED_VALUE"""),"S")</f>
        <v>S</v>
      </c>
      <c r="F1320" s="118" t="str">
        <f ca="1">IFERROR(__xludf.DUMMYFUNCTION("""COMPUTED_VALUE"""),"S")</f>
        <v>S</v>
      </c>
      <c r="G1320" s="118">
        <f ca="1">IFERROR(__xludf.DUMMYFUNCTION("""COMPUTED_VALUE"""),1)</f>
        <v>1</v>
      </c>
      <c r="H1320" s="118" t="str">
        <f ca="1">IFERROR(__xludf.DUMMYFUNCTION("""COMPUTED_VALUE"""),"OAK")</f>
        <v>OAK</v>
      </c>
      <c r="I1320" s="118">
        <f ca="1">IFERROR(__xludf.DUMMYFUNCTION("""COMPUTED_VALUE"""),10)</f>
        <v>10</v>
      </c>
      <c r="J1320" s="118">
        <f ca="1">IFERROR(__xludf.DUMMYFUNCTION("""COMPUTED_VALUE"""),5)</f>
        <v>5</v>
      </c>
      <c r="K1320" s="120">
        <f ca="1">IFERROR(__xludf.DUMMYFUNCTION("""COMPUTED_VALUE"""),129.4)</f>
        <v>129.4</v>
      </c>
      <c r="L1320" s="121"/>
      <c r="M1320" s="120">
        <f ca="1">IFERROR(__xludf.DUMMYFUNCTION("""COMPUTED_VALUE"""),109.7)</f>
        <v>109.7</v>
      </c>
      <c r="N1320" s="121"/>
      <c r="O1320" s="120">
        <f ca="1">IFERROR(__xludf.DUMMYFUNCTION("""COMPUTED_VALUE"""),113.15)</f>
        <v>113.15</v>
      </c>
      <c r="P1320" s="122"/>
      <c r="Q1320" s="123"/>
      <c r="R1320" s="123"/>
      <c r="S1320" s="123"/>
      <c r="T1320" s="123"/>
    </row>
    <row r="1321" spans="1:20" ht="13.8">
      <c r="A1321" s="118" t="str">
        <f ca="1">IFERROR(__xludf.DUMMYFUNCTION("""COMPUTED_VALUE"""),"OAK")</f>
        <v>OAK</v>
      </c>
      <c r="B1321" s="119" t="str">
        <f ca="1">IFERROR(__xludf.DUMMYFUNCTION("""COMPUTED_VALUE"""),"Isabelle Whang")</f>
        <v>Isabelle Whang</v>
      </c>
      <c r="C1321" s="118">
        <f ca="1">IFERROR(__xludf.DUMMYFUNCTION("""COMPUTED_VALUE"""),15)</f>
        <v>15</v>
      </c>
      <c r="D1321" s="118" t="str">
        <f ca="1">IFERROR(__xludf.DUMMYFUNCTION("""COMPUTED_VALUE"""),"G")</f>
        <v>G</v>
      </c>
      <c r="E1321" s="118" t="str">
        <f ca="1">IFERROR(__xludf.DUMMYFUNCTION("""COMPUTED_VALUE"""),"S")</f>
        <v>S</v>
      </c>
      <c r="F1321" s="118" t="str">
        <f ca="1">IFERROR(__xludf.DUMMYFUNCTION("""COMPUTED_VALUE"""),"S")</f>
        <v>S</v>
      </c>
      <c r="G1321" s="118">
        <f ca="1">IFERROR(__xludf.DUMMYFUNCTION("""COMPUTED_VALUE"""),1)</f>
        <v>1</v>
      </c>
      <c r="H1321" s="118" t="str">
        <f ca="1">IFERROR(__xludf.DUMMYFUNCTION("""COMPUTED_VALUE"""),"OAK")</f>
        <v>OAK</v>
      </c>
      <c r="I1321" s="118">
        <f ca="1">IFERROR(__xludf.DUMMYFUNCTION("""COMPUTED_VALUE"""),10)</f>
        <v>10</v>
      </c>
      <c r="J1321" s="118">
        <f ca="1">IFERROR(__xludf.DUMMYFUNCTION("""COMPUTED_VALUE"""),5)</f>
        <v>5</v>
      </c>
      <c r="K1321" s="120">
        <f ca="1">IFERROR(__xludf.DUMMYFUNCTION("""COMPUTED_VALUE"""),210)</f>
        <v>210</v>
      </c>
      <c r="L1321" s="121"/>
      <c r="M1321" s="120">
        <f ca="1">IFERROR(__xludf.DUMMYFUNCTION("""COMPUTED_VALUE"""),198.05)</f>
        <v>198.05</v>
      </c>
      <c r="N1321" s="121"/>
      <c r="O1321" s="120">
        <f ca="1">IFERROR(__xludf.DUMMYFUNCTION("""COMPUTED_VALUE"""),208.35)</f>
        <v>208.35</v>
      </c>
      <c r="P1321" s="122"/>
      <c r="Q1321" s="123"/>
      <c r="R1321" s="123"/>
      <c r="S1321" s="123"/>
      <c r="T1321" s="123"/>
    </row>
    <row r="1322" spans="1:20" ht="13.8">
      <c r="A1322" s="118" t="str">
        <f ca="1">IFERROR(__xludf.DUMMYFUNCTION("""COMPUTED_VALUE"""),"OAK")</f>
        <v>OAK</v>
      </c>
      <c r="B1322" s="119" t="str">
        <f ca="1">IFERROR(__xludf.DUMMYFUNCTION("""COMPUTED_VALUE"""),"Kayla Knight")</f>
        <v>Kayla Knight</v>
      </c>
      <c r="C1322" s="118">
        <f ca="1">IFERROR(__xludf.DUMMYFUNCTION("""COMPUTED_VALUE"""),15)</f>
        <v>15</v>
      </c>
      <c r="D1322" s="118" t="str">
        <f ca="1">IFERROR(__xludf.DUMMYFUNCTION("""COMPUTED_VALUE"""),"G")</f>
        <v>G</v>
      </c>
      <c r="E1322" s="118" t="str">
        <f ca="1">IFERROR(__xludf.DUMMYFUNCTION("""COMPUTED_VALUE"""),"S")</f>
        <v>S</v>
      </c>
      <c r="F1322" s="118" t="str">
        <f ca="1">IFERROR(__xludf.DUMMYFUNCTION("""COMPUTED_VALUE"""),"S")</f>
        <v>S</v>
      </c>
      <c r="G1322" s="118">
        <f ca="1">IFERROR(__xludf.DUMMYFUNCTION("""COMPUTED_VALUE"""),1)</f>
        <v>1</v>
      </c>
      <c r="H1322" s="118" t="str">
        <f ca="1">IFERROR(__xludf.DUMMYFUNCTION("""COMPUTED_VALUE"""),"OAK")</f>
        <v>OAK</v>
      </c>
      <c r="I1322" s="118">
        <f ca="1">IFERROR(__xludf.DUMMYFUNCTION("""COMPUTED_VALUE"""),10)</f>
        <v>10</v>
      </c>
      <c r="J1322" s="118">
        <f ca="1">IFERROR(__xludf.DUMMYFUNCTION("""COMPUTED_VALUE"""),5)</f>
        <v>5</v>
      </c>
      <c r="K1322" s="120">
        <f ca="1">IFERROR(__xludf.DUMMYFUNCTION("""COMPUTED_VALUE"""),178.2)</f>
        <v>178.2</v>
      </c>
      <c r="L1322" s="121"/>
      <c r="M1322" s="120">
        <f ca="1">IFERROR(__xludf.DUMMYFUNCTION("""COMPUTED_VALUE"""),175.35)</f>
        <v>175.35</v>
      </c>
      <c r="N1322" s="121"/>
      <c r="O1322" s="120">
        <f ca="1">IFERROR(__xludf.DUMMYFUNCTION("""COMPUTED_VALUE"""),173.95)</f>
        <v>173.95</v>
      </c>
      <c r="P1322" s="122"/>
      <c r="Q1322" s="123"/>
      <c r="R1322" s="123"/>
      <c r="S1322" s="123"/>
      <c r="T1322" s="123"/>
    </row>
    <row r="1323" spans="1:20" ht="13.8">
      <c r="A1323" s="118" t="str">
        <f ca="1">IFERROR(__xludf.DUMMYFUNCTION("""COMPUTED_VALUE"""),"OAK")</f>
        <v>OAK</v>
      </c>
      <c r="B1323" s="119" t="str">
        <f ca="1">IFERROR(__xludf.DUMMYFUNCTION("""COMPUTED_VALUE"""),"Kendall Arnz")</f>
        <v>Kendall Arnz</v>
      </c>
      <c r="C1323" s="118">
        <f ca="1">IFERROR(__xludf.DUMMYFUNCTION("""COMPUTED_VALUE"""),16)</f>
        <v>16</v>
      </c>
      <c r="D1323" s="118" t="str">
        <f ca="1">IFERROR(__xludf.DUMMYFUNCTION("""COMPUTED_VALUE"""),"G")</f>
        <v>G</v>
      </c>
      <c r="E1323" s="118" t="str">
        <f ca="1">IFERROR(__xludf.DUMMYFUNCTION("""COMPUTED_VALUE"""),"S")</f>
        <v>S</v>
      </c>
      <c r="F1323" s="118" t="str">
        <f ca="1">IFERROR(__xludf.DUMMYFUNCTION("""COMPUTED_VALUE"""),"S")</f>
        <v>S</v>
      </c>
      <c r="G1323" s="118">
        <f ca="1">IFERROR(__xludf.DUMMYFUNCTION("""COMPUTED_VALUE"""),1)</f>
        <v>1</v>
      </c>
      <c r="H1323" s="118" t="str">
        <f ca="1">IFERROR(__xludf.DUMMYFUNCTION("""COMPUTED_VALUE"""),"OAK")</f>
        <v>OAK</v>
      </c>
      <c r="I1323" s="118">
        <f ca="1">IFERROR(__xludf.DUMMYFUNCTION("""COMPUTED_VALUE"""),10)</f>
        <v>10</v>
      </c>
      <c r="J1323" s="118">
        <f ca="1">IFERROR(__xludf.DUMMYFUNCTION("""COMPUTED_VALUE"""),4)</f>
        <v>4</v>
      </c>
      <c r="K1323" s="120">
        <f ca="1">IFERROR(__xludf.DUMMYFUNCTION("""COMPUTED_VALUE"""),141.2)</f>
        <v>141.19999999999999</v>
      </c>
      <c r="L1323" s="121"/>
      <c r="M1323" s="120">
        <f ca="1">IFERROR(__xludf.DUMMYFUNCTION("""COMPUTED_VALUE"""),127.45)</f>
        <v>127.45</v>
      </c>
      <c r="N1323" s="121"/>
      <c r="O1323" s="120">
        <f ca="1">IFERROR(__xludf.DUMMYFUNCTION("""COMPUTED_VALUE"""),141.2)</f>
        <v>141.19999999999999</v>
      </c>
      <c r="P1323" s="122"/>
      <c r="Q1323" s="123"/>
      <c r="R1323" s="123"/>
      <c r="S1323" s="123"/>
      <c r="T1323" s="123"/>
    </row>
    <row r="1324" spans="1:20" ht="13.8">
      <c r="A1324" s="118" t="str">
        <f ca="1">IFERROR(__xludf.DUMMYFUNCTION("""COMPUTED_VALUE"""),"OAK")</f>
        <v>OAK</v>
      </c>
      <c r="B1324" s="119" t="str">
        <f ca="1">IFERROR(__xludf.DUMMYFUNCTION("""COMPUTED_VALUE"""),"Bennett Wozny")</f>
        <v>Bennett Wozny</v>
      </c>
      <c r="C1324" s="118">
        <f ca="1">IFERROR(__xludf.DUMMYFUNCTION("""COMPUTED_VALUE"""),18)</f>
        <v>18</v>
      </c>
      <c r="D1324" s="118" t="str">
        <f ca="1">IFERROR(__xludf.DUMMYFUNCTION("""COMPUTED_VALUE"""),"B")</f>
        <v>B</v>
      </c>
      <c r="E1324" s="118" t="str">
        <f ca="1">IFERROR(__xludf.DUMMYFUNCTION("""COMPUTED_VALUE"""),"S")</f>
        <v>S</v>
      </c>
      <c r="F1324" s="118" t="str">
        <f ca="1">IFERROR(__xludf.DUMMYFUNCTION("""COMPUTED_VALUE"""),"S")</f>
        <v>S</v>
      </c>
      <c r="G1324" s="118">
        <f ca="1">IFERROR(__xludf.DUMMYFUNCTION("""COMPUTED_VALUE"""),1)</f>
        <v>1</v>
      </c>
      <c r="H1324" s="118" t="str">
        <f ca="1">IFERROR(__xludf.DUMMYFUNCTION("""COMPUTED_VALUE"""),"OAK")</f>
        <v>OAK</v>
      </c>
      <c r="I1324" s="118">
        <f ca="1">IFERROR(__xludf.DUMMYFUNCTION("""COMPUTED_VALUE"""),11)</f>
        <v>11</v>
      </c>
      <c r="J1324" s="118">
        <f ca="1">IFERROR(__xludf.DUMMYFUNCTION("""COMPUTED_VALUE"""),2)</f>
        <v>2</v>
      </c>
      <c r="K1324" s="120">
        <f ca="1">IFERROR(__xludf.DUMMYFUNCTION("""COMPUTED_VALUE"""),127.85)</f>
        <v>127.85</v>
      </c>
      <c r="L1324" s="121"/>
      <c r="M1324" s="120"/>
      <c r="N1324" s="121"/>
      <c r="O1324" s="120">
        <f ca="1">IFERROR(__xludf.DUMMYFUNCTION("""COMPUTED_VALUE"""),127.85)</f>
        <v>127.85</v>
      </c>
      <c r="P1324" s="122"/>
      <c r="Q1324" s="123"/>
      <c r="R1324" s="123"/>
      <c r="S1324" s="123"/>
      <c r="T1324" s="123"/>
    </row>
    <row r="1325" spans="1:20" ht="13.8">
      <c r="A1325" s="118" t="str">
        <f ca="1">IFERROR(__xludf.DUMMYFUNCTION("""COMPUTED_VALUE"""),"OAK")</f>
        <v>OAK</v>
      </c>
      <c r="B1325" s="119" t="str">
        <f ca="1">IFERROR(__xludf.DUMMYFUNCTION("""COMPUTED_VALUE"""),"Brendan Doe")</f>
        <v>Brendan Doe</v>
      </c>
      <c r="C1325" s="118">
        <f ca="1">IFERROR(__xludf.DUMMYFUNCTION("""COMPUTED_VALUE"""),17)</f>
        <v>17</v>
      </c>
      <c r="D1325" s="118" t="str">
        <f ca="1">IFERROR(__xludf.DUMMYFUNCTION("""COMPUTED_VALUE"""),"B")</f>
        <v>B</v>
      </c>
      <c r="E1325" s="118" t="str">
        <f ca="1">IFERROR(__xludf.DUMMYFUNCTION("""COMPUTED_VALUE"""),"S")</f>
        <v>S</v>
      </c>
      <c r="F1325" s="118" t="str">
        <f ca="1">IFERROR(__xludf.DUMMYFUNCTION("""COMPUTED_VALUE"""),"S")</f>
        <v>S</v>
      </c>
      <c r="G1325" s="118">
        <f ca="1">IFERROR(__xludf.DUMMYFUNCTION("""COMPUTED_VALUE"""),1)</f>
        <v>1</v>
      </c>
      <c r="H1325" s="118" t="str">
        <f ca="1">IFERROR(__xludf.DUMMYFUNCTION("""COMPUTED_VALUE"""),"OAK")</f>
        <v>OAK</v>
      </c>
      <c r="I1325" s="118">
        <f ca="1">IFERROR(__xludf.DUMMYFUNCTION("""COMPUTED_VALUE"""),11)</f>
        <v>11</v>
      </c>
      <c r="J1325" s="118">
        <f ca="1">IFERROR(__xludf.DUMMYFUNCTION("""COMPUTED_VALUE"""),5)</f>
        <v>5</v>
      </c>
      <c r="K1325" s="120">
        <f ca="1">IFERROR(__xludf.DUMMYFUNCTION("""COMPUTED_VALUE"""),263.15)</f>
        <v>263.14999999999998</v>
      </c>
      <c r="L1325" s="121"/>
      <c r="M1325" s="120">
        <f ca="1">IFERROR(__xludf.DUMMYFUNCTION("""COMPUTED_VALUE"""),242.25)</f>
        <v>242.25</v>
      </c>
      <c r="N1325" s="121"/>
      <c r="O1325" s="120">
        <f ca="1">IFERROR(__xludf.DUMMYFUNCTION("""COMPUTED_VALUE"""),254.65)</f>
        <v>254.65</v>
      </c>
      <c r="P1325" s="122"/>
      <c r="Q1325" s="123"/>
      <c r="R1325" s="123"/>
      <c r="S1325" s="123"/>
      <c r="T1325" s="123"/>
    </row>
    <row r="1326" spans="1:20" ht="13.8">
      <c r="A1326" s="118" t="str">
        <f ca="1">IFERROR(__xludf.DUMMYFUNCTION("""COMPUTED_VALUE"""),"OAK")</f>
        <v>OAK</v>
      </c>
      <c r="B1326" s="119" t="str">
        <f ca="1">IFERROR(__xludf.DUMMYFUNCTION("""COMPUTED_VALUE"""),"Jon Anthony Montel")</f>
        <v>Jon Anthony Montel</v>
      </c>
      <c r="C1326" s="118">
        <f ca="1">IFERROR(__xludf.DUMMYFUNCTION("""COMPUTED_VALUE"""),16)</f>
        <v>16</v>
      </c>
      <c r="D1326" s="118" t="str">
        <f ca="1">IFERROR(__xludf.DUMMYFUNCTION("""COMPUTED_VALUE"""),"B")</f>
        <v>B</v>
      </c>
      <c r="E1326" s="118" t="str">
        <f ca="1">IFERROR(__xludf.DUMMYFUNCTION("""COMPUTED_VALUE"""),"S")</f>
        <v>S</v>
      </c>
      <c r="F1326" s="118" t="str">
        <f ca="1">IFERROR(__xludf.DUMMYFUNCTION("""COMPUTED_VALUE"""),"S")</f>
        <v>S</v>
      </c>
      <c r="G1326" s="118">
        <f ca="1">IFERROR(__xludf.DUMMYFUNCTION("""COMPUTED_VALUE"""),1)</f>
        <v>1</v>
      </c>
      <c r="H1326" s="118" t="str">
        <f ca="1">IFERROR(__xludf.DUMMYFUNCTION("""COMPUTED_VALUE"""),"OAK")</f>
        <v>OAK</v>
      </c>
      <c r="I1326" s="118">
        <f ca="1">IFERROR(__xludf.DUMMYFUNCTION("""COMPUTED_VALUE"""),11)</f>
        <v>11</v>
      </c>
      <c r="J1326" s="118">
        <f ca="1">IFERROR(__xludf.DUMMYFUNCTION("""COMPUTED_VALUE"""),4)</f>
        <v>4</v>
      </c>
      <c r="K1326" s="120">
        <f ca="1">IFERROR(__xludf.DUMMYFUNCTION("""COMPUTED_VALUE"""),235.05)</f>
        <v>235.05</v>
      </c>
      <c r="L1326" s="121"/>
      <c r="M1326" s="120">
        <f ca="1">IFERROR(__xludf.DUMMYFUNCTION("""COMPUTED_VALUE"""),211.65)</f>
        <v>211.65</v>
      </c>
      <c r="N1326" s="121"/>
      <c r="O1326" s="120">
        <f ca="1">IFERROR(__xludf.DUMMYFUNCTION("""COMPUTED_VALUE"""),204.5)</f>
        <v>204.5</v>
      </c>
      <c r="P1326" s="122"/>
      <c r="Q1326" s="123"/>
      <c r="R1326" s="123"/>
      <c r="S1326" s="123"/>
      <c r="T1326" s="123"/>
    </row>
    <row r="1327" spans="1:20" ht="13.8">
      <c r="A1327" s="118" t="str">
        <f ca="1">IFERROR(__xludf.DUMMYFUNCTION("""COMPUTED_VALUE"""),"OAK")</f>
        <v>OAK</v>
      </c>
      <c r="B1327" s="119" t="str">
        <f ca="1">IFERROR(__xludf.DUMMYFUNCTION("""COMPUTED_VALUE"""),"Thibault Lede")</f>
        <v>Thibault Lede</v>
      </c>
      <c r="C1327" s="118">
        <f ca="1">IFERROR(__xludf.DUMMYFUNCTION("""COMPUTED_VALUE"""),15)</f>
        <v>15</v>
      </c>
      <c r="D1327" s="118" t="str">
        <f ca="1">IFERROR(__xludf.DUMMYFUNCTION("""COMPUTED_VALUE"""),"B")</f>
        <v>B</v>
      </c>
      <c r="E1327" s="118" t="str">
        <f ca="1">IFERROR(__xludf.DUMMYFUNCTION("""COMPUTED_VALUE"""),"S")</f>
        <v>S</v>
      </c>
      <c r="F1327" s="118" t="str">
        <f ca="1">IFERROR(__xludf.DUMMYFUNCTION("""COMPUTED_VALUE"""),"S")</f>
        <v>S</v>
      </c>
      <c r="G1327" s="118">
        <f ca="1">IFERROR(__xludf.DUMMYFUNCTION("""COMPUTED_VALUE"""),1)</f>
        <v>1</v>
      </c>
      <c r="H1327" s="118" t="str">
        <f ca="1">IFERROR(__xludf.DUMMYFUNCTION("""COMPUTED_VALUE"""),"OAK")</f>
        <v>OAK</v>
      </c>
      <c r="I1327" s="118">
        <f ca="1">IFERROR(__xludf.DUMMYFUNCTION("""COMPUTED_VALUE"""),11)</f>
        <v>11</v>
      </c>
      <c r="J1327" s="118">
        <f ca="1">IFERROR(__xludf.DUMMYFUNCTION("""COMPUTED_VALUE"""),5)</f>
        <v>5</v>
      </c>
      <c r="K1327" s="120">
        <f ca="1">IFERROR(__xludf.DUMMYFUNCTION("""COMPUTED_VALUE"""),256.3)</f>
        <v>256.3</v>
      </c>
      <c r="L1327" s="121"/>
      <c r="M1327" s="120">
        <f ca="1">IFERROR(__xludf.DUMMYFUNCTION("""COMPUTED_VALUE"""),220.8)</f>
        <v>220.8</v>
      </c>
      <c r="N1327" s="121"/>
      <c r="O1327" s="120">
        <f ca="1">IFERROR(__xludf.DUMMYFUNCTION("""COMPUTED_VALUE"""),256.3)</f>
        <v>256.3</v>
      </c>
      <c r="P1327" s="122"/>
      <c r="Q1327" s="123"/>
      <c r="R1327" s="123"/>
      <c r="S1327" s="123"/>
      <c r="T1327" s="123"/>
    </row>
    <row r="1328" spans="1:20" ht="13.8">
      <c r="A1328" s="118" t="str">
        <f ca="1">IFERROR(__xludf.DUMMYFUNCTION("""COMPUTED_VALUE"""),"OH")</f>
        <v>OH</v>
      </c>
      <c r="B1328" s="119" t="str">
        <f ca="1">IFERROR(__xludf.DUMMYFUNCTION("""COMPUTED_VALUE"""),"Anna Dreyer")</f>
        <v>Anna Dreyer</v>
      </c>
      <c r="C1328" s="118">
        <f ca="1">IFERROR(__xludf.DUMMYFUNCTION("""COMPUTED_VALUE"""),9)</f>
        <v>9</v>
      </c>
      <c r="D1328" s="118" t="str">
        <f ca="1">IFERROR(__xludf.DUMMYFUNCTION("""COMPUTED_VALUE"""),"G")</f>
        <v>G</v>
      </c>
      <c r="E1328" s="118" t="str">
        <f ca="1">IFERROR(__xludf.DUMMYFUNCTION("""COMPUTED_VALUE"""),"F")</f>
        <v>F</v>
      </c>
      <c r="F1328" s="118" t="str">
        <f ca="1">IFERROR(__xludf.DUMMYFUNCTION("""COMPUTED_VALUE"""),"J")</f>
        <v>J</v>
      </c>
      <c r="G1328" s="118">
        <f ca="1">IFERROR(__xludf.DUMMYFUNCTION("""COMPUTED_VALUE"""),8)</f>
        <v>8</v>
      </c>
      <c r="H1328" s="118" t="str">
        <f ca="1">IFERROR(__xludf.DUMMYFUNCTION("""COMPUTED_VALUE"""),"OH")</f>
        <v>OH</v>
      </c>
      <c r="I1328" s="118">
        <f ca="1">IFERROR(__xludf.DUMMYFUNCTION("""COMPUTED_VALUE"""),4)</f>
        <v>4</v>
      </c>
      <c r="J1328" s="118">
        <f ca="1">IFERROR(__xludf.DUMMYFUNCTION("""COMPUTED_VALUE"""),4)</f>
        <v>4</v>
      </c>
      <c r="K1328" s="120">
        <f ca="1">IFERROR(__xludf.DUMMYFUNCTION("""COMPUTED_VALUE"""),43.15)</f>
        <v>43.15</v>
      </c>
      <c r="L1328" s="121"/>
      <c r="M1328" s="120">
        <f ca="1">IFERROR(__xludf.DUMMYFUNCTION("""COMPUTED_VALUE"""),28.85)</f>
        <v>28.85</v>
      </c>
      <c r="N1328" s="121"/>
      <c r="O1328" s="120">
        <f ca="1">IFERROR(__xludf.DUMMYFUNCTION("""COMPUTED_VALUE"""),36.6)</f>
        <v>36.6</v>
      </c>
      <c r="P1328" s="122"/>
      <c r="Q1328" s="123"/>
      <c r="R1328" s="123"/>
      <c r="S1328" s="123"/>
      <c r="T1328" s="123"/>
    </row>
    <row r="1329" spans="1:20" ht="13.8">
      <c r="A1329" s="118" t="str">
        <f ca="1">IFERROR(__xludf.DUMMYFUNCTION("""COMPUTED_VALUE"""),"OH")</f>
        <v>OH</v>
      </c>
      <c r="B1329" s="119" t="str">
        <f ca="1">IFERROR(__xludf.DUMMYFUNCTION("""COMPUTED_VALUE"""),"Elaina Ryan")</f>
        <v>Elaina Ryan</v>
      </c>
      <c r="C1329" s="118">
        <f ca="1">IFERROR(__xludf.DUMMYFUNCTION("""COMPUTED_VALUE"""),8)</f>
        <v>8</v>
      </c>
      <c r="D1329" s="118" t="str">
        <f ca="1">IFERROR(__xludf.DUMMYFUNCTION("""COMPUTED_VALUE"""),"G")</f>
        <v>G</v>
      </c>
      <c r="E1329" s="118" t="str">
        <f ca="1">IFERROR(__xludf.DUMMYFUNCTION("""COMPUTED_VALUE"""),"F")</f>
        <v>F</v>
      </c>
      <c r="F1329" s="118" t="str">
        <f ca="1">IFERROR(__xludf.DUMMYFUNCTION("""COMPUTED_VALUE"""),"J")</f>
        <v>J</v>
      </c>
      <c r="G1329" s="118">
        <f ca="1">IFERROR(__xludf.DUMMYFUNCTION("""COMPUTED_VALUE"""),8)</f>
        <v>8</v>
      </c>
      <c r="H1329" s="118" t="str">
        <f ca="1">IFERROR(__xludf.DUMMYFUNCTION("""COMPUTED_VALUE"""),"OH")</f>
        <v>OH</v>
      </c>
      <c r="I1329" s="118">
        <f ca="1">IFERROR(__xludf.DUMMYFUNCTION("""COMPUTED_VALUE"""),4)</f>
        <v>4</v>
      </c>
      <c r="J1329" s="118">
        <f ca="1">IFERROR(__xludf.DUMMYFUNCTION("""COMPUTED_VALUE"""),1)</f>
        <v>1</v>
      </c>
      <c r="K1329" s="120">
        <f ca="1">IFERROR(__xludf.DUMMYFUNCTION("""COMPUTED_VALUE"""),33.85)</f>
        <v>33.85</v>
      </c>
      <c r="L1329" s="121"/>
      <c r="M1329" s="120"/>
      <c r="N1329" s="121"/>
      <c r="O1329" s="120"/>
      <c r="P1329" s="122"/>
      <c r="Q1329" s="123"/>
      <c r="R1329" s="123"/>
      <c r="S1329" s="123"/>
      <c r="T1329" s="123"/>
    </row>
    <row r="1330" spans="1:20" ht="13.8">
      <c r="A1330" s="118" t="str">
        <f ca="1">IFERROR(__xludf.DUMMYFUNCTION("""COMPUTED_VALUE"""),"OH")</f>
        <v>OH</v>
      </c>
      <c r="B1330" s="119" t="str">
        <f ca="1">IFERROR(__xludf.DUMMYFUNCTION("""COMPUTED_VALUE"""),"Eleanor Bermingham")</f>
        <v>Eleanor Bermingham</v>
      </c>
      <c r="C1330" s="118">
        <f ca="1">IFERROR(__xludf.DUMMYFUNCTION("""COMPUTED_VALUE"""),8)</f>
        <v>8</v>
      </c>
      <c r="D1330" s="118" t="str">
        <f ca="1">IFERROR(__xludf.DUMMYFUNCTION("""COMPUTED_VALUE"""),"G")</f>
        <v>G</v>
      </c>
      <c r="E1330" s="118" t="str">
        <f ca="1">IFERROR(__xludf.DUMMYFUNCTION("""COMPUTED_VALUE"""),"F")</f>
        <v>F</v>
      </c>
      <c r="F1330" s="118" t="str">
        <f ca="1">IFERROR(__xludf.DUMMYFUNCTION("""COMPUTED_VALUE"""),"J")</f>
        <v>J</v>
      </c>
      <c r="G1330" s="118">
        <f ca="1">IFERROR(__xludf.DUMMYFUNCTION("""COMPUTED_VALUE"""),8)</f>
        <v>8</v>
      </c>
      <c r="H1330" s="118" t="str">
        <f ca="1">IFERROR(__xludf.DUMMYFUNCTION("""COMPUTED_VALUE"""),"OH")</f>
        <v>OH</v>
      </c>
      <c r="I1330" s="118">
        <f ca="1">IFERROR(__xludf.DUMMYFUNCTION("""COMPUTED_VALUE"""),4)</f>
        <v>4</v>
      </c>
      <c r="J1330" s="118">
        <f ca="1">IFERROR(__xludf.DUMMYFUNCTION("""COMPUTED_VALUE"""),3)</f>
        <v>3</v>
      </c>
      <c r="K1330" s="120">
        <f ca="1">IFERROR(__xludf.DUMMYFUNCTION("""COMPUTED_VALUE"""),27.5)</f>
        <v>27.5</v>
      </c>
      <c r="L1330" s="121"/>
      <c r="M1330" s="120"/>
      <c r="N1330" s="121"/>
      <c r="O1330" s="120"/>
      <c r="P1330" s="122"/>
      <c r="Q1330" s="123"/>
      <c r="R1330" s="123"/>
      <c r="S1330" s="123"/>
      <c r="T1330" s="123"/>
    </row>
    <row r="1331" spans="1:20" ht="13.8">
      <c r="A1331" s="118" t="str">
        <f ca="1">IFERROR(__xludf.DUMMYFUNCTION("""COMPUTED_VALUE"""),"OH")</f>
        <v>OH</v>
      </c>
      <c r="B1331" s="119" t="str">
        <f ca="1">IFERROR(__xludf.DUMMYFUNCTION("""COMPUTED_VALUE"""),"Elena Johnson")</f>
        <v>Elena Johnson</v>
      </c>
      <c r="C1331" s="118">
        <f ca="1">IFERROR(__xludf.DUMMYFUNCTION("""COMPUTED_VALUE"""),10)</f>
        <v>10</v>
      </c>
      <c r="D1331" s="118" t="str">
        <f ca="1">IFERROR(__xludf.DUMMYFUNCTION("""COMPUTED_VALUE"""),"G")</f>
        <v>G</v>
      </c>
      <c r="E1331" s="118" t="str">
        <f ca="1">IFERROR(__xludf.DUMMYFUNCTION("""COMPUTED_VALUE"""),"F")</f>
        <v>F</v>
      </c>
      <c r="F1331" s="118" t="str">
        <f ca="1">IFERROR(__xludf.DUMMYFUNCTION("""COMPUTED_VALUE"""),"J")</f>
        <v>J</v>
      </c>
      <c r="G1331" s="118">
        <f ca="1">IFERROR(__xludf.DUMMYFUNCTION("""COMPUTED_VALUE"""),8)</f>
        <v>8</v>
      </c>
      <c r="H1331" s="118" t="str">
        <f ca="1">IFERROR(__xludf.DUMMYFUNCTION("""COMPUTED_VALUE"""),"OH")</f>
        <v>OH</v>
      </c>
      <c r="I1331" s="118">
        <f ca="1">IFERROR(__xludf.DUMMYFUNCTION("""COMPUTED_VALUE"""),4)</f>
        <v>4</v>
      </c>
      <c r="J1331" s="118">
        <f ca="1">IFERROR(__xludf.DUMMYFUNCTION("""COMPUTED_VALUE"""),2)</f>
        <v>2</v>
      </c>
      <c r="K1331" s="120">
        <f ca="1">IFERROR(__xludf.DUMMYFUNCTION("""COMPUTED_VALUE"""),49.8)</f>
        <v>49.8</v>
      </c>
      <c r="L1331" s="121"/>
      <c r="M1331" s="120">
        <f ca="1">IFERROR(__xludf.DUMMYFUNCTION("""COMPUTED_VALUE"""),36.7)</f>
        <v>36.700000000000003</v>
      </c>
      <c r="N1331" s="121"/>
      <c r="O1331" s="120"/>
      <c r="P1331" s="122"/>
      <c r="Q1331" s="123"/>
      <c r="R1331" s="123"/>
      <c r="S1331" s="123"/>
      <c r="T1331" s="123"/>
    </row>
    <row r="1332" spans="1:20" ht="13.8">
      <c r="A1332" s="118" t="str">
        <f ca="1">IFERROR(__xludf.DUMMYFUNCTION("""COMPUTED_VALUE"""),"OH")</f>
        <v>OH</v>
      </c>
      <c r="B1332" s="119" t="str">
        <f ca="1">IFERROR(__xludf.DUMMYFUNCTION("""COMPUTED_VALUE"""),"Ellie Hiscock")</f>
        <v>Ellie Hiscock</v>
      </c>
      <c r="C1332" s="118">
        <f ca="1">IFERROR(__xludf.DUMMYFUNCTION("""COMPUTED_VALUE"""),10)</f>
        <v>10</v>
      </c>
      <c r="D1332" s="118" t="str">
        <f ca="1">IFERROR(__xludf.DUMMYFUNCTION("""COMPUTED_VALUE"""),"G")</f>
        <v>G</v>
      </c>
      <c r="E1332" s="118" t="str">
        <f ca="1">IFERROR(__xludf.DUMMYFUNCTION("""COMPUTED_VALUE"""),"F")</f>
        <v>F</v>
      </c>
      <c r="F1332" s="118" t="str">
        <f ca="1">IFERROR(__xludf.DUMMYFUNCTION("""COMPUTED_VALUE"""),"J")</f>
        <v>J</v>
      </c>
      <c r="G1332" s="118">
        <f ca="1">IFERROR(__xludf.DUMMYFUNCTION("""COMPUTED_VALUE"""),8)</f>
        <v>8</v>
      </c>
      <c r="H1332" s="118" t="str">
        <f ca="1">IFERROR(__xludf.DUMMYFUNCTION("""COMPUTED_VALUE"""),"OH")</f>
        <v>OH</v>
      </c>
      <c r="I1332" s="118">
        <f ca="1">IFERROR(__xludf.DUMMYFUNCTION("""COMPUTED_VALUE"""),4)</f>
        <v>4</v>
      </c>
      <c r="J1332" s="118">
        <f ca="1">IFERROR(__xludf.DUMMYFUNCTION("""COMPUTED_VALUE"""),3)</f>
        <v>3</v>
      </c>
      <c r="K1332" s="120">
        <f ca="1">IFERROR(__xludf.DUMMYFUNCTION("""COMPUTED_VALUE"""),55.95)</f>
        <v>55.95</v>
      </c>
      <c r="L1332" s="121"/>
      <c r="M1332" s="120"/>
      <c r="N1332" s="121"/>
      <c r="O1332" s="120"/>
      <c r="P1332" s="122"/>
      <c r="Q1332" s="123"/>
      <c r="R1332" s="123"/>
      <c r="S1332" s="123"/>
      <c r="T1332" s="123"/>
    </row>
    <row r="1333" spans="1:20" ht="13.8">
      <c r="A1333" s="118" t="str">
        <f ca="1">IFERROR(__xludf.DUMMYFUNCTION("""COMPUTED_VALUE"""),"OH")</f>
        <v>OH</v>
      </c>
      <c r="B1333" s="119" t="str">
        <f ca="1">IFERROR(__xludf.DUMMYFUNCTION("""COMPUTED_VALUE"""),"Emilia Schvind")</f>
        <v>Emilia Schvind</v>
      </c>
      <c r="C1333" s="118">
        <f ca="1">IFERROR(__xludf.DUMMYFUNCTION("""COMPUTED_VALUE"""),8)</f>
        <v>8</v>
      </c>
      <c r="D1333" s="118" t="str">
        <f ca="1">IFERROR(__xludf.DUMMYFUNCTION("""COMPUTED_VALUE"""),"G")</f>
        <v>G</v>
      </c>
      <c r="E1333" s="118" t="str">
        <f ca="1">IFERROR(__xludf.DUMMYFUNCTION("""COMPUTED_VALUE"""),"F")</f>
        <v>F</v>
      </c>
      <c r="F1333" s="118" t="str">
        <f ca="1">IFERROR(__xludf.DUMMYFUNCTION("""COMPUTED_VALUE"""),"J")</f>
        <v>J</v>
      </c>
      <c r="G1333" s="118">
        <f ca="1">IFERROR(__xludf.DUMMYFUNCTION("""COMPUTED_VALUE"""),8)</f>
        <v>8</v>
      </c>
      <c r="H1333" s="118" t="str">
        <f ca="1">IFERROR(__xludf.DUMMYFUNCTION("""COMPUTED_VALUE"""),"OH")</f>
        <v>OH</v>
      </c>
      <c r="I1333" s="118">
        <f ca="1">IFERROR(__xludf.DUMMYFUNCTION("""COMPUTED_VALUE"""),4)</f>
        <v>4</v>
      </c>
      <c r="J1333" s="118">
        <f ca="1">IFERROR(__xludf.DUMMYFUNCTION("""COMPUTED_VALUE"""),0)</f>
        <v>0</v>
      </c>
      <c r="K1333" s="120"/>
      <c r="L1333" s="121"/>
      <c r="M1333" s="120"/>
      <c r="N1333" s="121"/>
      <c r="O1333" s="120"/>
      <c r="P1333" s="122"/>
      <c r="Q1333" s="123"/>
      <c r="R1333" s="123"/>
      <c r="S1333" s="123"/>
      <c r="T1333" s="123"/>
    </row>
    <row r="1334" spans="1:20" ht="13.8">
      <c r="A1334" s="118" t="str">
        <f ca="1">IFERROR(__xludf.DUMMYFUNCTION("""COMPUTED_VALUE"""),"OH")</f>
        <v>OH</v>
      </c>
      <c r="B1334" s="119" t="str">
        <f ca="1">IFERROR(__xludf.DUMMYFUNCTION("""COMPUTED_VALUE"""),"Hannah Murawski")</f>
        <v>Hannah Murawski</v>
      </c>
      <c r="C1334" s="118">
        <f ca="1">IFERROR(__xludf.DUMMYFUNCTION("""COMPUTED_VALUE"""),8)</f>
        <v>8</v>
      </c>
      <c r="D1334" s="118" t="str">
        <f ca="1">IFERROR(__xludf.DUMMYFUNCTION("""COMPUTED_VALUE"""),"G")</f>
        <v>G</v>
      </c>
      <c r="E1334" s="118" t="str">
        <f ca="1">IFERROR(__xludf.DUMMYFUNCTION("""COMPUTED_VALUE"""),"F")</f>
        <v>F</v>
      </c>
      <c r="F1334" s="118" t="str">
        <f ca="1">IFERROR(__xludf.DUMMYFUNCTION("""COMPUTED_VALUE"""),"J")</f>
        <v>J</v>
      </c>
      <c r="G1334" s="118">
        <f ca="1">IFERROR(__xludf.DUMMYFUNCTION("""COMPUTED_VALUE"""),8)</f>
        <v>8</v>
      </c>
      <c r="H1334" s="118" t="str">
        <f ca="1">IFERROR(__xludf.DUMMYFUNCTION("""COMPUTED_VALUE"""),"OH")</f>
        <v>OH</v>
      </c>
      <c r="I1334" s="118">
        <f ca="1">IFERROR(__xludf.DUMMYFUNCTION("""COMPUTED_VALUE"""),4)</f>
        <v>4</v>
      </c>
      <c r="J1334" s="118">
        <f ca="1">IFERROR(__xludf.DUMMYFUNCTION("""COMPUTED_VALUE"""),0)</f>
        <v>0</v>
      </c>
      <c r="K1334" s="120"/>
      <c r="L1334" s="121"/>
      <c r="M1334" s="120"/>
      <c r="N1334" s="121"/>
      <c r="O1334" s="120"/>
      <c r="P1334" s="122"/>
      <c r="Q1334" s="123"/>
      <c r="R1334" s="123"/>
      <c r="S1334" s="123"/>
      <c r="T1334" s="123"/>
    </row>
    <row r="1335" spans="1:20" ht="13.8">
      <c r="A1335" s="118" t="str">
        <f ca="1">IFERROR(__xludf.DUMMYFUNCTION("""COMPUTED_VALUE"""),"OH")</f>
        <v>OH</v>
      </c>
      <c r="B1335" s="119" t="str">
        <f ca="1">IFERROR(__xludf.DUMMYFUNCTION("""COMPUTED_VALUE"""),"Kiera Carpenter")</f>
        <v>Kiera Carpenter</v>
      </c>
      <c r="C1335" s="118">
        <f ca="1">IFERROR(__xludf.DUMMYFUNCTION("""COMPUTED_VALUE"""),10)</f>
        <v>10</v>
      </c>
      <c r="D1335" s="118" t="str">
        <f ca="1">IFERROR(__xludf.DUMMYFUNCTION("""COMPUTED_VALUE"""),"G")</f>
        <v>G</v>
      </c>
      <c r="E1335" s="118" t="str">
        <f ca="1">IFERROR(__xludf.DUMMYFUNCTION("""COMPUTED_VALUE"""),"F")</f>
        <v>F</v>
      </c>
      <c r="F1335" s="118" t="str">
        <f ca="1">IFERROR(__xludf.DUMMYFUNCTION("""COMPUTED_VALUE"""),"J")</f>
        <v>J</v>
      </c>
      <c r="G1335" s="118">
        <f ca="1">IFERROR(__xludf.DUMMYFUNCTION("""COMPUTED_VALUE"""),8)</f>
        <v>8</v>
      </c>
      <c r="H1335" s="118" t="str">
        <f ca="1">IFERROR(__xludf.DUMMYFUNCTION("""COMPUTED_VALUE"""),"OH")</f>
        <v>OH</v>
      </c>
      <c r="I1335" s="118">
        <f ca="1">IFERROR(__xludf.DUMMYFUNCTION("""COMPUTED_VALUE"""),4)</f>
        <v>4</v>
      </c>
      <c r="J1335" s="118">
        <f ca="1">IFERROR(__xludf.DUMMYFUNCTION("""COMPUTED_VALUE"""),5)</f>
        <v>5</v>
      </c>
      <c r="K1335" s="120">
        <f ca="1">IFERROR(__xludf.DUMMYFUNCTION("""COMPUTED_VALUE"""),36.35)</f>
        <v>36.35</v>
      </c>
      <c r="L1335" s="121"/>
      <c r="M1335" s="120">
        <f ca="1">IFERROR(__xludf.DUMMYFUNCTION("""COMPUTED_VALUE"""),29.75)</f>
        <v>29.75</v>
      </c>
      <c r="N1335" s="121"/>
      <c r="O1335" s="120">
        <f ca="1">IFERROR(__xludf.DUMMYFUNCTION("""COMPUTED_VALUE"""),36)</f>
        <v>36</v>
      </c>
      <c r="P1335" s="122"/>
      <c r="Q1335" s="123"/>
      <c r="R1335" s="123"/>
      <c r="S1335" s="123"/>
      <c r="T1335" s="123"/>
    </row>
    <row r="1336" spans="1:20" ht="13.8">
      <c r="A1336" s="118" t="str">
        <f ca="1">IFERROR(__xludf.DUMMYFUNCTION("""COMPUTED_VALUE"""),"OH")</f>
        <v>OH</v>
      </c>
      <c r="B1336" s="119" t="str">
        <f ca="1">IFERROR(__xludf.DUMMYFUNCTION("""COMPUTED_VALUE"""),"Lauren Lynn")</f>
        <v>Lauren Lynn</v>
      </c>
      <c r="C1336" s="118">
        <f ca="1">IFERROR(__xludf.DUMMYFUNCTION("""COMPUTED_VALUE"""),10)</f>
        <v>10</v>
      </c>
      <c r="D1336" s="118" t="str">
        <f ca="1">IFERROR(__xludf.DUMMYFUNCTION("""COMPUTED_VALUE"""),"G")</f>
        <v>G</v>
      </c>
      <c r="E1336" s="118" t="str">
        <f ca="1">IFERROR(__xludf.DUMMYFUNCTION("""COMPUTED_VALUE"""),"F")</f>
        <v>F</v>
      </c>
      <c r="F1336" s="118" t="str">
        <f ca="1">IFERROR(__xludf.DUMMYFUNCTION("""COMPUTED_VALUE"""),"J")</f>
        <v>J</v>
      </c>
      <c r="G1336" s="118">
        <f ca="1">IFERROR(__xludf.DUMMYFUNCTION("""COMPUTED_VALUE"""),8)</f>
        <v>8</v>
      </c>
      <c r="H1336" s="118" t="str">
        <f ca="1">IFERROR(__xludf.DUMMYFUNCTION("""COMPUTED_VALUE"""),"OH")</f>
        <v>OH</v>
      </c>
      <c r="I1336" s="118">
        <f ca="1">IFERROR(__xludf.DUMMYFUNCTION("""COMPUTED_VALUE"""),4)</f>
        <v>4</v>
      </c>
      <c r="J1336" s="118">
        <f ca="1">IFERROR(__xludf.DUMMYFUNCTION("""COMPUTED_VALUE"""),2)</f>
        <v>2</v>
      </c>
      <c r="K1336" s="120">
        <f ca="1">IFERROR(__xludf.DUMMYFUNCTION("""COMPUTED_VALUE"""),53.15)</f>
        <v>53.15</v>
      </c>
      <c r="L1336" s="121"/>
      <c r="M1336" s="120"/>
      <c r="N1336" s="121"/>
      <c r="O1336" s="120"/>
      <c r="P1336" s="122"/>
      <c r="Q1336" s="123"/>
      <c r="R1336" s="123"/>
      <c r="S1336" s="123"/>
      <c r="T1336" s="123"/>
    </row>
    <row r="1337" spans="1:20" ht="13.8">
      <c r="A1337" s="118" t="str">
        <f ca="1">IFERROR(__xludf.DUMMYFUNCTION("""COMPUTED_VALUE"""),"OH")</f>
        <v>OH</v>
      </c>
      <c r="B1337" s="119" t="str">
        <f ca="1">IFERROR(__xludf.DUMMYFUNCTION("""COMPUTED_VALUE"""),"Lillian Rakip")</f>
        <v>Lillian Rakip</v>
      </c>
      <c r="C1337" s="118">
        <f ca="1">IFERROR(__xludf.DUMMYFUNCTION("""COMPUTED_VALUE"""),10)</f>
        <v>10</v>
      </c>
      <c r="D1337" s="118" t="str">
        <f ca="1">IFERROR(__xludf.DUMMYFUNCTION("""COMPUTED_VALUE"""),"G")</f>
        <v>G</v>
      </c>
      <c r="E1337" s="118" t="str">
        <f ca="1">IFERROR(__xludf.DUMMYFUNCTION("""COMPUTED_VALUE"""),"F")</f>
        <v>F</v>
      </c>
      <c r="F1337" s="118" t="str">
        <f ca="1">IFERROR(__xludf.DUMMYFUNCTION("""COMPUTED_VALUE"""),"J")</f>
        <v>J</v>
      </c>
      <c r="G1337" s="118">
        <f ca="1">IFERROR(__xludf.DUMMYFUNCTION("""COMPUTED_VALUE"""),8)</f>
        <v>8</v>
      </c>
      <c r="H1337" s="118" t="str">
        <f ca="1">IFERROR(__xludf.DUMMYFUNCTION("""COMPUTED_VALUE"""),"OH")</f>
        <v>OH</v>
      </c>
      <c r="I1337" s="118">
        <f ca="1">IFERROR(__xludf.DUMMYFUNCTION("""COMPUTED_VALUE"""),4)</f>
        <v>4</v>
      </c>
      <c r="J1337" s="118">
        <f ca="1">IFERROR(__xludf.DUMMYFUNCTION("""COMPUTED_VALUE"""),5)</f>
        <v>5</v>
      </c>
      <c r="K1337" s="120">
        <f ca="1">IFERROR(__xludf.DUMMYFUNCTION("""COMPUTED_VALUE"""),51.6)</f>
        <v>51.6</v>
      </c>
      <c r="L1337" s="121"/>
      <c r="M1337" s="120">
        <f ca="1">IFERROR(__xludf.DUMMYFUNCTION("""COMPUTED_VALUE"""),33.65)</f>
        <v>33.65</v>
      </c>
      <c r="N1337" s="121"/>
      <c r="O1337" s="120">
        <f ca="1">IFERROR(__xludf.DUMMYFUNCTION("""COMPUTED_VALUE"""),51.6)</f>
        <v>51.6</v>
      </c>
      <c r="P1337" s="122"/>
      <c r="Q1337" s="123"/>
      <c r="R1337" s="123"/>
      <c r="S1337" s="123"/>
      <c r="T1337" s="123"/>
    </row>
    <row r="1338" spans="1:20" ht="13.8">
      <c r="A1338" s="118" t="str">
        <f ca="1">IFERROR(__xludf.DUMMYFUNCTION("""COMPUTED_VALUE"""),"OH")</f>
        <v>OH</v>
      </c>
      <c r="B1338" s="119" t="str">
        <f ca="1">IFERROR(__xludf.DUMMYFUNCTION("""COMPUTED_VALUE"""),"Maren Randazzo")</f>
        <v>Maren Randazzo</v>
      </c>
      <c r="C1338" s="118">
        <f ca="1">IFERROR(__xludf.DUMMYFUNCTION("""COMPUTED_VALUE"""),9)</f>
        <v>9</v>
      </c>
      <c r="D1338" s="118" t="str">
        <f ca="1">IFERROR(__xludf.DUMMYFUNCTION("""COMPUTED_VALUE"""),"G")</f>
        <v>G</v>
      </c>
      <c r="E1338" s="118" t="str">
        <f ca="1">IFERROR(__xludf.DUMMYFUNCTION("""COMPUTED_VALUE"""),"F")</f>
        <v>F</v>
      </c>
      <c r="F1338" s="118" t="str">
        <f ca="1">IFERROR(__xludf.DUMMYFUNCTION("""COMPUTED_VALUE"""),"J")</f>
        <v>J</v>
      </c>
      <c r="G1338" s="118">
        <f ca="1">IFERROR(__xludf.DUMMYFUNCTION("""COMPUTED_VALUE"""),8)</f>
        <v>8</v>
      </c>
      <c r="H1338" s="118" t="str">
        <f ca="1">IFERROR(__xludf.DUMMYFUNCTION("""COMPUTED_VALUE"""),"OH")</f>
        <v>OH</v>
      </c>
      <c r="I1338" s="118">
        <f ca="1">IFERROR(__xludf.DUMMYFUNCTION("""COMPUTED_VALUE"""),4)</f>
        <v>4</v>
      </c>
      <c r="J1338" s="118">
        <f ca="1">IFERROR(__xludf.DUMMYFUNCTION("""COMPUTED_VALUE"""),4)</f>
        <v>4</v>
      </c>
      <c r="K1338" s="120">
        <f ca="1">IFERROR(__xludf.DUMMYFUNCTION("""COMPUTED_VALUE"""),41.05)</f>
        <v>41.05</v>
      </c>
      <c r="L1338" s="121"/>
      <c r="M1338" s="120">
        <f ca="1">IFERROR(__xludf.DUMMYFUNCTION("""COMPUTED_VALUE"""),29.55)</f>
        <v>29.55</v>
      </c>
      <c r="N1338" s="121"/>
      <c r="O1338" s="120"/>
      <c r="P1338" s="122"/>
      <c r="Q1338" s="123"/>
      <c r="R1338" s="123"/>
      <c r="S1338" s="123"/>
      <c r="T1338" s="123"/>
    </row>
    <row r="1339" spans="1:20" ht="13.8">
      <c r="A1339" s="118" t="str">
        <f ca="1">IFERROR(__xludf.DUMMYFUNCTION("""COMPUTED_VALUE"""),"OH")</f>
        <v>OH</v>
      </c>
      <c r="B1339" s="119" t="str">
        <f ca="1">IFERROR(__xludf.DUMMYFUNCTION("""COMPUTED_VALUE"""),"Meora Allsbrook")</f>
        <v>Meora Allsbrook</v>
      </c>
      <c r="C1339" s="118">
        <f ca="1">IFERROR(__xludf.DUMMYFUNCTION("""COMPUTED_VALUE"""),10)</f>
        <v>10</v>
      </c>
      <c r="D1339" s="118" t="str">
        <f ca="1">IFERROR(__xludf.DUMMYFUNCTION("""COMPUTED_VALUE"""),"G")</f>
        <v>G</v>
      </c>
      <c r="E1339" s="118" t="str">
        <f ca="1">IFERROR(__xludf.DUMMYFUNCTION("""COMPUTED_VALUE"""),"F")</f>
        <v>F</v>
      </c>
      <c r="F1339" s="118" t="str">
        <f ca="1">IFERROR(__xludf.DUMMYFUNCTION("""COMPUTED_VALUE"""),"J")</f>
        <v>J</v>
      </c>
      <c r="G1339" s="118">
        <f ca="1">IFERROR(__xludf.DUMMYFUNCTION("""COMPUTED_VALUE"""),8)</f>
        <v>8</v>
      </c>
      <c r="H1339" s="118" t="str">
        <f ca="1">IFERROR(__xludf.DUMMYFUNCTION("""COMPUTED_VALUE"""),"OH")</f>
        <v>OH</v>
      </c>
      <c r="I1339" s="118">
        <f ca="1">IFERROR(__xludf.DUMMYFUNCTION("""COMPUTED_VALUE"""),4)</f>
        <v>4</v>
      </c>
      <c r="J1339" s="118">
        <f ca="1">IFERROR(__xludf.DUMMYFUNCTION("""COMPUTED_VALUE"""),1)</f>
        <v>1</v>
      </c>
      <c r="K1339" s="120">
        <f ca="1">IFERROR(__xludf.DUMMYFUNCTION("""COMPUTED_VALUE"""),15.7)</f>
        <v>15.7</v>
      </c>
      <c r="L1339" s="121"/>
      <c r="M1339" s="120"/>
      <c r="N1339" s="121"/>
      <c r="O1339" s="120">
        <f ca="1">IFERROR(__xludf.DUMMYFUNCTION("""COMPUTED_VALUE"""),15.7)</f>
        <v>15.7</v>
      </c>
      <c r="P1339" s="122"/>
      <c r="Q1339" s="123"/>
      <c r="R1339" s="123"/>
      <c r="S1339" s="123"/>
      <c r="T1339" s="123"/>
    </row>
    <row r="1340" spans="1:20" ht="13.8">
      <c r="A1340" s="118" t="str">
        <f ca="1">IFERROR(__xludf.DUMMYFUNCTION("""COMPUTED_VALUE"""),"OH")</f>
        <v>OH</v>
      </c>
      <c r="B1340" s="119" t="str">
        <f ca="1">IFERROR(__xludf.DUMMYFUNCTION("""COMPUTED_VALUE"""),"Natalie Aurilio")</f>
        <v>Natalie Aurilio</v>
      </c>
      <c r="C1340" s="118">
        <f ca="1">IFERROR(__xludf.DUMMYFUNCTION("""COMPUTED_VALUE"""),10)</f>
        <v>10</v>
      </c>
      <c r="D1340" s="118" t="str">
        <f ca="1">IFERROR(__xludf.DUMMYFUNCTION("""COMPUTED_VALUE"""),"G")</f>
        <v>G</v>
      </c>
      <c r="E1340" s="118" t="str">
        <f ca="1">IFERROR(__xludf.DUMMYFUNCTION("""COMPUTED_VALUE"""),"F")</f>
        <v>F</v>
      </c>
      <c r="F1340" s="118" t="str">
        <f ca="1">IFERROR(__xludf.DUMMYFUNCTION("""COMPUTED_VALUE"""),"J")</f>
        <v>J</v>
      </c>
      <c r="G1340" s="118">
        <f ca="1">IFERROR(__xludf.DUMMYFUNCTION("""COMPUTED_VALUE"""),8)</f>
        <v>8</v>
      </c>
      <c r="H1340" s="118" t="str">
        <f ca="1">IFERROR(__xludf.DUMMYFUNCTION("""COMPUTED_VALUE"""),"OH")</f>
        <v>OH</v>
      </c>
      <c r="I1340" s="118">
        <f ca="1">IFERROR(__xludf.DUMMYFUNCTION("""COMPUTED_VALUE"""),4)</f>
        <v>4</v>
      </c>
      <c r="J1340" s="118">
        <f ca="1">IFERROR(__xludf.DUMMYFUNCTION("""COMPUTED_VALUE"""),3)</f>
        <v>3</v>
      </c>
      <c r="K1340" s="120">
        <f ca="1">IFERROR(__xludf.DUMMYFUNCTION("""COMPUTED_VALUE"""),43.45)</f>
        <v>43.45</v>
      </c>
      <c r="L1340" s="121"/>
      <c r="M1340" s="120">
        <f ca="1">IFERROR(__xludf.DUMMYFUNCTION("""COMPUTED_VALUE"""),40.05)</f>
        <v>40.049999999999997</v>
      </c>
      <c r="N1340" s="121"/>
      <c r="O1340" s="120"/>
      <c r="P1340" s="122"/>
      <c r="Q1340" s="123"/>
      <c r="R1340" s="123"/>
      <c r="S1340" s="123"/>
      <c r="T1340" s="123"/>
    </row>
    <row r="1341" spans="1:20" ht="13.8">
      <c r="A1341" s="118" t="str">
        <f ca="1">IFERROR(__xludf.DUMMYFUNCTION("""COMPUTED_VALUE"""),"OH")</f>
        <v>OH</v>
      </c>
      <c r="B1341" s="119" t="str">
        <f ca="1">IFERROR(__xludf.DUMMYFUNCTION("""COMPUTED_VALUE"""),"Orley Allsbrook")</f>
        <v>Orley Allsbrook</v>
      </c>
      <c r="C1341" s="118">
        <f ca="1">IFERROR(__xludf.DUMMYFUNCTION("""COMPUTED_VALUE"""),8)</f>
        <v>8</v>
      </c>
      <c r="D1341" s="118" t="str">
        <f ca="1">IFERROR(__xludf.DUMMYFUNCTION("""COMPUTED_VALUE"""),"G")</f>
        <v>G</v>
      </c>
      <c r="E1341" s="118" t="str">
        <f ca="1">IFERROR(__xludf.DUMMYFUNCTION("""COMPUTED_VALUE"""),"F")</f>
        <v>F</v>
      </c>
      <c r="F1341" s="118" t="str">
        <f ca="1">IFERROR(__xludf.DUMMYFUNCTION("""COMPUTED_VALUE"""),"J")</f>
        <v>J</v>
      </c>
      <c r="G1341" s="118">
        <f ca="1">IFERROR(__xludf.DUMMYFUNCTION("""COMPUTED_VALUE"""),8)</f>
        <v>8</v>
      </c>
      <c r="H1341" s="118" t="str">
        <f ca="1">IFERROR(__xludf.DUMMYFUNCTION("""COMPUTED_VALUE"""),"OH")</f>
        <v>OH</v>
      </c>
      <c r="I1341" s="118">
        <f ca="1">IFERROR(__xludf.DUMMYFUNCTION("""COMPUTED_VALUE"""),4)</f>
        <v>4</v>
      </c>
      <c r="J1341" s="118">
        <f ca="1">IFERROR(__xludf.DUMMYFUNCTION("""COMPUTED_VALUE"""),0)</f>
        <v>0</v>
      </c>
      <c r="K1341" s="120"/>
      <c r="L1341" s="121"/>
      <c r="M1341" s="120"/>
      <c r="N1341" s="121"/>
      <c r="O1341" s="120"/>
      <c r="P1341" s="122"/>
      <c r="Q1341" s="123"/>
      <c r="R1341" s="123"/>
      <c r="S1341" s="123"/>
      <c r="T1341" s="123"/>
    </row>
    <row r="1342" spans="1:20" ht="13.8">
      <c r="A1342" s="118" t="str">
        <f ca="1">IFERROR(__xludf.DUMMYFUNCTION("""COMPUTED_VALUE"""),"OH")</f>
        <v>OH</v>
      </c>
      <c r="B1342" s="119" t="str">
        <f ca="1">IFERROR(__xludf.DUMMYFUNCTION("""COMPUTED_VALUE"""),"Raeya Murawski")</f>
        <v>Raeya Murawski</v>
      </c>
      <c r="C1342" s="118">
        <f ca="1">IFERROR(__xludf.DUMMYFUNCTION("""COMPUTED_VALUE"""),6)</f>
        <v>6</v>
      </c>
      <c r="D1342" s="118" t="str">
        <f ca="1">IFERROR(__xludf.DUMMYFUNCTION("""COMPUTED_VALUE"""),"G")</f>
        <v>G</v>
      </c>
      <c r="E1342" s="118" t="str">
        <f ca="1">IFERROR(__xludf.DUMMYFUNCTION("""COMPUTED_VALUE"""),"F")</f>
        <v>F</v>
      </c>
      <c r="F1342" s="118" t="str">
        <f ca="1">IFERROR(__xludf.DUMMYFUNCTION("""COMPUTED_VALUE"""),"J")</f>
        <v>J</v>
      </c>
      <c r="G1342" s="118">
        <f ca="1">IFERROR(__xludf.DUMMYFUNCTION("""COMPUTED_VALUE"""),8)</f>
        <v>8</v>
      </c>
      <c r="H1342" s="118" t="str">
        <f ca="1">IFERROR(__xludf.DUMMYFUNCTION("""COMPUTED_VALUE"""),"OH")</f>
        <v>OH</v>
      </c>
      <c r="I1342" s="118">
        <f ca="1">IFERROR(__xludf.DUMMYFUNCTION("""COMPUTED_VALUE"""),4)</f>
        <v>4</v>
      </c>
      <c r="J1342" s="118">
        <f ca="1">IFERROR(__xludf.DUMMYFUNCTION("""COMPUTED_VALUE"""),1)</f>
        <v>1</v>
      </c>
      <c r="K1342" s="120">
        <f ca="1">IFERROR(__xludf.DUMMYFUNCTION("""COMPUTED_VALUE"""),25)</f>
        <v>25</v>
      </c>
      <c r="L1342" s="121"/>
      <c r="M1342" s="120"/>
      <c r="N1342" s="121"/>
      <c r="O1342" s="120"/>
      <c r="P1342" s="122"/>
      <c r="Q1342" s="123"/>
      <c r="R1342" s="123"/>
      <c r="S1342" s="123"/>
      <c r="T1342" s="123"/>
    </row>
    <row r="1343" spans="1:20" ht="13.8">
      <c r="A1343" s="118" t="str">
        <f ca="1">IFERROR(__xludf.DUMMYFUNCTION("""COMPUTED_VALUE"""),"OH")</f>
        <v>OH</v>
      </c>
      <c r="B1343" s="119" t="str">
        <f ca="1">IFERROR(__xludf.DUMMYFUNCTION("""COMPUTED_VALUE"""),"Roya Calkins")</f>
        <v>Roya Calkins</v>
      </c>
      <c r="C1343" s="118">
        <f ca="1">IFERROR(__xludf.DUMMYFUNCTION("""COMPUTED_VALUE"""),9)</f>
        <v>9</v>
      </c>
      <c r="D1343" s="118" t="str">
        <f ca="1">IFERROR(__xludf.DUMMYFUNCTION("""COMPUTED_VALUE"""),"G")</f>
        <v>G</v>
      </c>
      <c r="E1343" s="118" t="str">
        <f ca="1">IFERROR(__xludf.DUMMYFUNCTION("""COMPUTED_VALUE"""),"F")</f>
        <v>F</v>
      </c>
      <c r="F1343" s="118" t="str">
        <f ca="1">IFERROR(__xludf.DUMMYFUNCTION("""COMPUTED_VALUE"""),"J")</f>
        <v>J</v>
      </c>
      <c r="G1343" s="118">
        <f ca="1">IFERROR(__xludf.DUMMYFUNCTION("""COMPUTED_VALUE"""),8)</f>
        <v>8</v>
      </c>
      <c r="H1343" s="118" t="str">
        <f ca="1">IFERROR(__xludf.DUMMYFUNCTION("""COMPUTED_VALUE"""),"OH")</f>
        <v>OH</v>
      </c>
      <c r="I1343" s="118">
        <f ca="1">IFERROR(__xludf.DUMMYFUNCTION("""COMPUTED_VALUE"""),4)</f>
        <v>4</v>
      </c>
      <c r="J1343" s="118">
        <f ca="1">IFERROR(__xludf.DUMMYFUNCTION("""COMPUTED_VALUE"""),2)</f>
        <v>2</v>
      </c>
      <c r="K1343" s="120">
        <f ca="1">IFERROR(__xludf.DUMMYFUNCTION("""COMPUTED_VALUE"""),36.75)</f>
        <v>36.75</v>
      </c>
      <c r="L1343" s="121"/>
      <c r="M1343" s="120"/>
      <c r="N1343" s="121"/>
      <c r="O1343" s="120"/>
      <c r="P1343" s="122"/>
      <c r="Q1343" s="123"/>
      <c r="R1343" s="123"/>
      <c r="S1343" s="123"/>
      <c r="T1343" s="123"/>
    </row>
    <row r="1344" spans="1:20" ht="13.8">
      <c r="A1344" s="118" t="str">
        <f ca="1">IFERROR(__xludf.DUMMYFUNCTION("""COMPUTED_VALUE"""),"OH")</f>
        <v>OH</v>
      </c>
      <c r="B1344" s="119" t="str">
        <f ca="1">IFERROR(__xludf.DUMMYFUNCTION("""COMPUTED_VALUE"""),"Sophie Burges")</f>
        <v>Sophie Burges</v>
      </c>
      <c r="C1344" s="118">
        <f ca="1">IFERROR(__xludf.DUMMYFUNCTION("""COMPUTED_VALUE"""),8)</f>
        <v>8</v>
      </c>
      <c r="D1344" s="118" t="str">
        <f ca="1">IFERROR(__xludf.DUMMYFUNCTION("""COMPUTED_VALUE"""),"G")</f>
        <v>G</v>
      </c>
      <c r="E1344" s="118" t="str">
        <f ca="1">IFERROR(__xludf.DUMMYFUNCTION("""COMPUTED_VALUE"""),"F")</f>
        <v>F</v>
      </c>
      <c r="F1344" s="118" t="str">
        <f ca="1">IFERROR(__xludf.DUMMYFUNCTION("""COMPUTED_VALUE"""),"J")</f>
        <v>J</v>
      </c>
      <c r="G1344" s="118">
        <f ca="1">IFERROR(__xludf.DUMMYFUNCTION("""COMPUTED_VALUE"""),8)</f>
        <v>8</v>
      </c>
      <c r="H1344" s="118" t="str">
        <f ca="1">IFERROR(__xludf.DUMMYFUNCTION("""COMPUTED_VALUE"""),"OH")</f>
        <v>OH</v>
      </c>
      <c r="I1344" s="118">
        <f ca="1">IFERROR(__xludf.DUMMYFUNCTION("""COMPUTED_VALUE"""),4)</f>
        <v>4</v>
      </c>
      <c r="J1344" s="118">
        <f ca="1">IFERROR(__xludf.DUMMYFUNCTION("""COMPUTED_VALUE"""),0)</f>
        <v>0</v>
      </c>
      <c r="K1344" s="120"/>
      <c r="L1344" s="121"/>
      <c r="M1344" s="120"/>
      <c r="N1344" s="121"/>
      <c r="O1344" s="120"/>
      <c r="P1344" s="122"/>
      <c r="Q1344" s="123"/>
      <c r="R1344" s="123"/>
      <c r="S1344" s="123"/>
      <c r="T1344" s="123"/>
    </row>
    <row r="1345" spans="1:20" ht="13.8">
      <c r="A1345" s="118" t="str">
        <f ca="1">IFERROR(__xludf.DUMMYFUNCTION("""COMPUTED_VALUE"""),"OH")</f>
        <v>OH</v>
      </c>
      <c r="B1345" s="119" t="str">
        <f ca="1">IFERROR(__xludf.DUMMYFUNCTION("""COMPUTED_VALUE"""),"Taylor Randazzo")</f>
        <v>Taylor Randazzo</v>
      </c>
      <c r="C1345" s="118">
        <f ca="1">IFERROR(__xludf.DUMMYFUNCTION("""COMPUTED_VALUE"""),9)</f>
        <v>9</v>
      </c>
      <c r="D1345" s="118" t="str">
        <f ca="1">IFERROR(__xludf.DUMMYFUNCTION("""COMPUTED_VALUE"""),"G")</f>
        <v>G</v>
      </c>
      <c r="E1345" s="118" t="str">
        <f ca="1">IFERROR(__xludf.DUMMYFUNCTION("""COMPUTED_VALUE"""),"F")</f>
        <v>F</v>
      </c>
      <c r="F1345" s="118" t="str">
        <f ca="1">IFERROR(__xludf.DUMMYFUNCTION("""COMPUTED_VALUE"""),"J")</f>
        <v>J</v>
      </c>
      <c r="G1345" s="118">
        <f ca="1">IFERROR(__xludf.DUMMYFUNCTION("""COMPUTED_VALUE"""),8)</f>
        <v>8</v>
      </c>
      <c r="H1345" s="118" t="str">
        <f ca="1">IFERROR(__xludf.DUMMYFUNCTION("""COMPUTED_VALUE"""),"OH")</f>
        <v>OH</v>
      </c>
      <c r="I1345" s="118">
        <f ca="1">IFERROR(__xludf.DUMMYFUNCTION("""COMPUTED_VALUE"""),4)</f>
        <v>4</v>
      </c>
      <c r="J1345" s="118">
        <f ca="1">IFERROR(__xludf.DUMMYFUNCTION("""COMPUTED_VALUE"""),4)</f>
        <v>4</v>
      </c>
      <c r="K1345" s="120">
        <f ca="1">IFERROR(__xludf.DUMMYFUNCTION("""COMPUTED_VALUE"""),52.6)</f>
        <v>52.6</v>
      </c>
      <c r="L1345" s="121"/>
      <c r="M1345" s="120">
        <f ca="1">IFERROR(__xludf.DUMMYFUNCTION("""COMPUTED_VALUE"""),31.2)</f>
        <v>31.2</v>
      </c>
      <c r="N1345" s="121"/>
      <c r="O1345" s="120"/>
      <c r="P1345" s="122"/>
      <c r="Q1345" s="123"/>
      <c r="R1345" s="123"/>
      <c r="S1345" s="123"/>
      <c r="T1345" s="123"/>
    </row>
    <row r="1346" spans="1:20" ht="13.8">
      <c r="A1346" s="118" t="str">
        <f ca="1">IFERROR(__xludf.DUMMYFUNCTION("""COMPUTED_VALUE"""),"OH")</f>
        <v>OH</v>
      </c>
      <c r="B1346" s="119" t="str">
        <f ca="1">IFERROR(__xludf.DUMMYFUNCTION("""COMPUTED_VALUE"""),"Adam Zimmer")</f>
        <v>Adam Zimmer</v>
      </c>
      <c r="C1346" s="118">
        <f ca="1">IFERROR(__xludf.DUMMYFUNCTION("""COMPUTED_VALUE"""),10)</f>
        <v>10</v>
      </c>
      <c r="D1346" s="118" t="str">
        <f ca="1">IFERROR(__xludf.DUMMYFUNCTION("""COMPUTED_VALUE"""),"B")</f>
        <v>B</v>
      </c>
      <c r="E1346" s="118" t="str">
        <f ca="1">IFERROR(__xludf.DUMMYFUNCTION("""COMPUTED_VALUE"""),"F")</f>
        <v>F</v>
      </c>
      <c r="F1346" s="118" t="str">
        <f ca="1">IFERROR(__xludf.DUMMYFUNCTION("""COMPUTED_VALUE"""),"J")</f>
        <v>J</v>
      </c>
      <c r="G1346" s="118">
        <f ca="1">IFERROR(__xludf.DUMMYFUNCTION("""COMPUTED_VALUE"""),8)</f>
        <v>8</v>
      </c>
      <c r="H1346" s="118" t="str">
        <f ca="1">IFERROR(__xludf.DUMMYFUNCTION("""COMPUTED_VALUE"""),"OH")</f>
        <v>OH</v>
      </c>
      <c r="I1346" s="118">
        <f ca="1">IFERROR(__xludf.DUMMYFUNCTION("""COMPUTED_VALUE"""),5)</f>
        <v>5</v>
      </c>
      <c r="J1346" s="118">
        <f ca="1">IFERROR(__xludf.DUMMYFUNCTION("""COMPUTED_VALUE"""),5)</f>
        <v>5</v>
      </c>
      <c r="K1346" s="120">
        <f ca="1">IFERROR(__xludf.DUMMYFUNCTION("""COMPUTED_VALUE"""),45.4)</f>
        <v>45.4</v>
      </c>
      <c r="L1346" s="121"/>
      <c r="M1346" s="120">
        <f ca="1">IFERROR(__xludf.DUMMYFUNCTION("""COMPUTED_VALUE"""),36.95)</f>
        <v>36.950000000000003</v>
      </c>
      <c r="N1346" s="121"/>
      <c r="O1346" s="120">
        <f ca="1">IFERROR(__xludf.DUMMYFUNCTION("""COMPUTED_VALUE"""),42)</f>
        <v>42</v>
      </c>
      <c r="P1346" s="122"/>
      <c r="Q1346" s="123"/>
      <c r="R1346" s="123"/>
      <c r="S1346" s="123"/>
      <c r="T1346" s="123"/>
    </row>
    <row r="1347" spans="1:20" ht="13.8">
      <c r="A1347" s="118" t="str">
        <f ca="1">IFERROR(__xludf.DUMMYFUNCTION("""COMPUTED_VALUE"""),"OH")</f>
        <v>OH</v>
      </c>
      <c r="B1347" s="119" t="str">
        <f ca="1">IFERROR(__xludf.DUMMYFUNCTION("""COMPUTED_VALUE"""),"Alex Aurilio")</f>
        <v>Alex Aurilio</v>
      </c>
      <c r="C1347" s="118">
        <f ca="1">IFERROR(__xludf.DUMMYFUNCTION("""COMPUTED_VALUE"""),7)</f>
        <v>7</v>
      </c>
      <c r="D1347" s="118" t="str">
        <f ca="1">IFERROR(__xludf.DUMMYFUNCTION("""COMPUTED_VALUE"""),"B")</f>
        <v>B</v>
      </c>
      <c r="E1347" s="118" t="str">
        <f ca="1">IFERROR(__xludf.DUMMYFUNCTION("""COMPUTED_VALUE"""),"F")</f>
        <v>F</v>
      </c>
      <c r="F1347" s="118" t="str">
        <f ca="1">IFERROR(__xludf.DUMMYFUNCTION("""COMPUTED_VALUE"""),"J")</f>
        <v>J</v>
      </c>
      <c r="G1347" s="118">
        <f ca="1">IFERROR(__xludf.DUMMYFUNCTION("""COMPUTED_VALUE"""),8)</f>
        <v>8</v>
      </c>
      <c r="H1347" s="118" t="str">
        <f ca="1">IFERROR(__xludf.DUMMYFUNCTION("""COMPUTED_VALUE"""),"OH")</f>
        <v>OH</v>
      </c>
      <c r="I1347" s="118">
        <f ca="1">IFERROR(__xludf.DUMMYFUNCTION("""COMPUTED_VALUE"""),5)</f>
        <v>5</v>
      </c>
      <c r="J1347" s="118">
        <f ca="1">IFERROR(__xludf.DUMMYFUNCTION("""COMPUTED_VALUE"""),0)</f>
        <v>0</v>
      </c>
      <c r="K1347" s="120"/>
      <c r="L1347" s="121"/>
      <c r="M1347" s="120"/>
      <c r="N1347" s="121"/>
      <c r="O1347" s="120"/>
      <c r="P1347" s="122"/>
      <c r="Q1347" s="123"/>
      <c r="R1347" s="123"/>
      <c r="S1347" s="123"/>
      <c r="T1347" s="123"/>
    </row>
    <row r="1348" spans="1:20" ht="13.8">
      <c r="A1348" s="118" t="str">
        <f ca="1">IFERROR(__xludf.DUMMYFUNCTION("""COMPUTED_VALUE"""),"OH")</f>
        <v>OH</v>
      </c>
      <c r="B1348" s="119" t="str">
        <f ca="1">IFERROR(__xludf.DUMMYFUNCTION("""COMPUTED_VALUE"""),"Amias Paz")</f>
        <v>Amias Paz</v>
      </c>
      <c r="C1348" s="118">
        <f ca="1">IFERROR(__xludf.DUMMYFUNCTION("""COMPUTED_VALUE"""),7)</f>
        <v>7</v>
      </c>
      <c r="D1348" s="118" t="str">
        <f ca="1">IFERROR(__xludf.DUMMYFUNCTION("""COMPUTED_VALUE"""),"B")</f>
        <v>B</v>
      </c>
      <c r="E1348" s="118" t="str">
        <f ca="1">IFERROR(__xludf.DUMMYFUNCTION("""COMPUTED_VALUE"""),"F")</f>
        <v>F</v>
      </c>
      <c r="F1348" s="118" t="str">
        <f ca="1">IFERROR(__xludf.DUMMYFUNCTION("""COMPUTED_VALUE"""),"J")</f>
        <v>J</v>
      </c>
      <c r="G1348" s="118">
        <f ca="1">IFERROR(__xludf.DUMMYFUNCTION("""COMPUTED_VALUE"""),8)</f>
        <v>8</v>
      </c>
      <c r="H1348" s="118" t="str">
        <f ca="1">IFERROR(__xludf.DUMMYFUNCTION("""COMPUTED_VALUE"""),"OH")</f>
        <v>OH</v>
      </c>
      <c r="I1348" s="118">
        <f ca="1">IFERROR(__xludf.DUMMYFUNCTION("""COMPUTED_VALUE"""),5)</f>
        <v>5</v>
      </c>
      <c r="J1348" s="118">
        <f ca="1">IFERROR(__xludf.DUMMYFUNCTION("""COMPUTED_VALUE"""),3)</f>
        <v>3</v>
      </c>
      <c r="K1348" s="120">
        <f ca="1">IFERROR(__xludf.DUMMYFUNCTION("""COMPUTED_VALUE"""),19.1)</f>
        <v>19.100000000000001</v>
      </c>
      <c r="L1348" s="121"/>
      <c r="M1348" s="120">
        <f ca="1">IFERROR(__xludf.DUMMYFUNCTION("""COMPUTED_VALUE"""),10)</f>
        <v>10</v>
      </c>
      <c r="N1348" s="121"/>
      <c r="O1348" s="120">
        <f ca="1">IFERROR(__xludf.DUMMYFUNCTION("""COMPUTED_VALUE"""),18.4)</f>
        <v>18.399999999999999</v>
      </c>
      <c r="P1348" s="122"/>
      <c r="Q1348" s="123"/>
      <c r="R1348" s="123"/>
      <c r="S1348" s="123"/>
      <c r="T1348" s="123"/>
    </row>
    <row r="1349" spans="1:20" ht="13.8">
      <c r="A1349" s="118" t="str">
        <f ca="1">IFERROR(__xludf.DUMMYFUNCTION("""COMPUTED_VALUE"""),"OH")</f>
        <v>OH</v>
      </c>
      <c r="B1349" s="119" t="str">
        <f ca="1">IFERROR(__xludf.DUMMYFUNCTION("""COMPUTED_VALUE"""),"Brouk Yared")</f>
        <v>Brouk Yared</v>
      </c>
      <c r="C1349" s="118">
        <f ca="1">IFERROR(__xludf.DUMMYFUNCTION("""COMPUTED_VALUE"""),10)</f>
        <v>10</v>
      </c>
      <c r="D1349" s="118" t="str">
        <f ca="1">IFERROR(__xludf.DUMMYFUNCTION("""COMPUTED_VALUE"""),"B")</f>
        <v>B</v>
      </c>
      <c r="E1349" s="118" t="str">
        <f ca="1">IFERROR(__xludf.DUMMYFUNCTION("""COMPUTED_VALUE"""),"F")</f>
        <v>F</v>
      </c>
      <c r="F1349" s="118" t="str">
        <f ca="1">IFERROR(__xludf.DUMMYFUNCTION("""COMPUTED_VALUE"""),"J")</f>
        <v>J</v>
      </c>
      <c r="G1349" s="118">
        <f ca="1">IFERROR(__xludf.DUMMYFUNCTION("""COMPUTED_VALUE"""),8)</f>
        <v>8</v>
      </c>
      <c r="H1349" s="118" t="str">
        <f ca="1">IFERROR(__xludf.DUMMYFUNCTION("""COMPUTED_VALUE"""),"OH")</f>
        <v>OH</v>
      </c>
      <c r="I1349" s="118">
        <f ca="1">IFERROR(__xludf.DUMMYFUNCTION("""COMPUTED_VALUE"""),5)</f>
        <v>5</v>
      </c>
      <c r="J1349" s="118">
        <f ca="1">IFERROR(__xludf.DUMMYFUNCTION("""COMPUTED_VALUE"""),0)</f>
        <v>0</v>
      </c>
      <c r="K1349" s="120"/>
      <c r="L1349" s="121"/>
      <c r="M1349" s="120"/>
      <c r="N1349" s="121"/>
      <c r="O1349" s="120"/>
      <c r="P1349" s="122"/>
      <c r="Q1349" s="123"/>
      <c r="R1349" s="123"/>
      <c r="S1349" s="123"/>
      <c r="T1349" s="123"/>
    </row>
    <row r="1350" spans="1:20" ht="13.8">
      <c r="A1350" s="118" t="str">
        <f ca="1">IFERROR(__xludf.DUMMYFUNCTION("""COMPUTED_VALUE"""),"OH")</f>
        <v>OH</v>
      </c>
      <c r="B1350" s="119" t="str">
        <f ca="1">IFERROR(__xludf.DUMMYFUNCTION("""COMPUTED_VALUE"""),"CJ Petersen")</f>
        <v>CJ Petersen</v>
      </c>
      <c r="C1350" s="118">
        <f ca="1">IFERROR(__xludf.DUMMYFUNCTION("""COMPUTED_VALUE"""),9)</f>
        <v>9</v>
      </c>
      <c r="D1350" s="118" t="str">
        <f ca="1">IFERROR(__xludf.DUMMYFUNCTION("""COMPUTED_VALUE"""),"B")</f>
        <v>B</v>
      </c>
      <c r="E1350" s="118" t="str">
        <f ca="1">IFERROR(__xludf.DUMMYFUNCTION("""COMPUTED_VALUE"""),"F")</f>
        <v>F</v>
      </c>
      <c r="F1350" s="118" t="str">
        <f ca="1">IFERROR(__xludf.DUMMYFUNCTION("""COMPUTED_VALUE"""),"J")</f>
        <v>J</v>
      </c>
      <c r="G1350" s="118">
        <f ca="1">IFERROR(__xludf.DUMMYFUNCTION("""COMPUTED_VALUE"""),8)</f>
        <v>8</v>
      </c>
      <c r="H1350" s="118" t="str">
        <f ca="1">IFERROR(__xludf.DUMMYFUNCTION("""COMPUTED_VALUE"""),"OH")</f>
        <v>OH</v>
      </c>
      <c r="I1350" s="118">
        <f ca="1">IFERROR(__xludf.DUMMYFUNCTION("""COMPUTED_VALUE"""),5)</f>
        <v>5</v>
      </c>
      <c r="J1350" s="118">
        <f ca="1">IFERROR(__xludf.DUMMYFUNCTION("""COMPUTED_VALUE"""),1)</f>
        <v>1</v>
      </c>
      <c r="K1350" s="120">
        <f ca="1">IFERROR(__xludf.DUMMYFUNCTION("""COMPUTED_VALUE"""),26.9)</f>
        <v>26.9</v>
      </c>
      <c r="L1350" s="121"/>
      <c r="M1350" s="120"/>
      <c r="N1350" s="121"/>
      <c r="O1350" s="120"/>
      <c r="P1350" s="122"/>
      <c r="Q1350" s="123"/>
      <c r="R1350" s="123"/>
      <c r="S1350" s="123"/>
      <c r="T1350" s="123"/>
    </row>
    <row r="1351" spans="1:20" ht="13.8">
      <c r="A1351" s="118" t="str">
        <f ca="1">IFERROR(__xludf.DUMMYFUNCTION("""COMPUTED_VALUE"""),"OH")</f>
        <v>OH</v>
      </c>
      <c r="B1351" s="119" t="str">
        <f ca="1">IFERROR(__xludf.DUMMYFUNCTION("""COMPUTED_VALUE"""),"Ellis Constantine")</f>
        <v>Ellis Constantine</v>
      </c>
      <c r="C1351" s="118">
        <f ca="1">IFERROR(__xludf.DUMMYFUNCTION("""COMPUTED_VALUE"""),6)</f>
        <v>6</v>
      </c>
      <c r="D1351" s="118" t="str">
        <f ca="1">IFERROR(__xludf.DUMMYFUNCTION("""COMPUTED_VALUE"""),"B")</f>
        <v>B</v>
      </c>
      <c r="E1351" s="118" t="str">
        <f ca="1">IFERROR(__xludf.DUMMYFUNCTION("""COMPUTED_VALUE"""),"F")</f>
        <v>F</v>
      </c>
      <c r="F1351" s="118" t="str">
        <f ca="1">IFERROR(__xludf.DUMMYFUNCTION("""COMPUTED_VALUE"""),"J")</f>
        <v>J</v>
      </c>
      <c r="G1351" s="118">
        <f ca="1">IFERROR(__xludf.DUMMYFUNCTION("""COMPUTED_VALUE"""),8)</f>
        <v>8</v>
      </c>
      <c r="H1351" s="118" t="str">
        <f ca="1">IFERROR(__xludf.DUMMYFUNCTION("""COMPUTED_VALUE"""),"OH")</f>
        <v>OH</v>
      </c>
      <c r="I1351" s="118">
        <f ca="1">IFERROR(__xludf.DUMMYFUNCTION("""COMPUTED_VALUE"""),5)</f>
        <v>5</v>
      </c>
      <c r="J1351" s="118">
        <f ca="1">IFERROR(__xludf.DUMMYFUNCTION("""COMPUTED_VALUE"""),2)</f>
        <v>2</v>
      </c>
      <c r="K1351" s="120">
        <f ca="1">IFERROR(__xludf.DUMMYFUNCTION("""COMPUTED_VALUE"""),16.75)</f>
        <v>16.75</v>
      </c>
      <c r="L1351" s="121"/>
      <c r="M1351" s="120">
        <f ca="1">IFERROR(__xludf.DUMMYFUNCTION("""COMPUTED_VALUE"""),8.75)</f>
        <v>8.75</v>
      </c>
      <c r="N1351" s="121"/>
      <c r="O1351" s="120"/>
      <c r="P1351" s="122"/>
      <c r="Q1351" s="123"/>
      <c r="R1351" s="123"/>
      <c r="S1351" s="123"/>
      <c r="T1351" s="123"/>
    </row>
    <row r="1352" spans="1:20" ht="13.8">
      <c r="A1352" s="118" t="str">
        <f ca="1">IFERROR(__xludf.DUMMYFUNCTION("""COMPUTED_VALUE"""),"OH")</f>
        <v>OH</v>
      </c>
      <c r="B1352" s="119" t="str">
        <f ca="1">IFERROR(__xludf.DUMMYFUNCTION("""COMPUTED_VALUE"""),"Kidus Yared")</f>
        <v>Kidus Yared</v>
      </c>
      <c r="C1352" s="118">
        <f ca="1">IFERROR(__xludf.DUMMYFUNCTION("""COMPUTED_VALUE"""),8)</f>
        <v>8</v>
      </c>
      <c r="D1352" s="118" t="str">
        <f ca="1">IFERROR(__xludf.DUMMYFUNCTION("""COMPUTED_VALUE"""),"B")</f>
        <v>B</v>
      </c>
      <c r="E1352" s="118" t="str">
        <f ca="1">IFERROR(__xludf.DUMMYFUNCTION("""COMPUTED_VALUE"""),"F")</f>
        <v>F</v>
      </c>
      <c r="F1352" s="118" t="str">
        <f ca="1">IFERROR(__xludf.DUMMYFUNCTION("""COMPUTED_VALUE"""),"J")</f>
        <v>J</v>
      </c>
      <c r="G1352" s="118">
        <f ca="1">IFERROR(__xludf.DUMMYFUNCTION("""COMPUTED_VALUE"""),8)</f>
        <v>8</v>
      </c>
      <c r="H1352" s="118" t="str">
        <f ca="1">IFERROR(__xludf.DUMMYFUNCTION("""COMPUTED_VALUE"""),"OH")</f>
        <v>OH</v>
      </c>
      <c r="I1352" s="118">
        <f ca="1">IFERROR(__xludf.DUMMYFUNCTION("""COMPUTED_VALUE"""),5)</f>
        <v>5</v>
      </c>
      <c r="J1352" s="118">
        <f ca="1">IFERROR(__xludf.DUMMYFUNCTION("""COMPUTED_VALUE"""),0)</f>
        <v>0</v>
      </c>
      <c r="K1352" s="120"/>
      <c r="L1352" s="121"/>
      <c r="M1352" s="120"/>
      <c r="N1352" s="121"/>
      <c r="O1352" s="120"/>
      <c r="P1352" s="122"/>
      <c r="Q1352" s="123"/>
      <c r="R1352" s="123"/>
      <c r="S1352" s="123"/>
      <c r="T1352" s="123"/>
    </row>
    <row r="1353" spans="1:20" ht="13.8">
      <c r="A1353" s="118" t="str">
        <f ca="1">IFERROR(__xludf.DUMMYFUNCTION("""COMPUTED_VALUE"""),"OH")</f>
        <v>OH</v>
      </c>
      <c r="B1353" s="119" t="str">
        <f ca="1">IFERROR(__xludf.DUMMYFUNCTION("""COMPUTED_VALUE"""),"Ronin Pickenheim")</f>
        <v>Ronin Pickenheim</v>
      </c>
      <c r="C1353" s="118">
        <f ca="1">IFERROR(__xludf.DUMMYFUNCTION("""COMPUTED_VALUE"""),7)</f>
        <v>7</v>
      </c>
      <c r="D1353" s="118" t="str">
        <f ca="1">IFERROR(__xludf.DUMMYFUNCTION("""COMPUTED_VALUE"""),"B")</f>
        <v>B</v>
      </c>
      <c r="E1353" s="118" t="str">
        <f ca="1">IFERROR(__xludf.DUMMYFUNCTION("""COMPUTED_VALUE"""),"F")</f>
        <v>F</v>
      </c>
      <c r="F1353" s="118" t="str">
        <f ca="1">IFERROR(__xludf.DUMMYFUNCTION("""COMPUTED_VALUE"""),"J")</f>
        <v>J</v>
      </c>
      <c r="G1353" s="118">
        <f ca="1">IFERROR(__xludf.DUMMYFUNCTION("""COMPUTED_VALUE"""),8)</f>
        <v>8</v>
      </c>
      <c r="H1353" s="118" t="str">
        <f ca="1">IFERROR(__xludf.DUMMYFUNCTION("""COMPUTED_VALUE"""),"OH")</f>
        <v>OH</v>
      </c>
      <c r="I1353" s="118">
        <f ca="1">IFERROR(__xludf.DUMMYFUNCTION("""COMPUTED_VALUE"""),5)</f>
        <v>5</v>
      </c>
      <c r="J1353" s="118">
        <f ca="1">IFERROR(__xludf.DUMMYFUNCTION("""COMPUTED_VALUE"""),0)</f>
        <v>0</v>
      </c>
      <c r="K1353" s="120"/>
      <c r="L1353" s="121"/>
      <c r="M1353" s="120"/>
      <c r="N1353" s="121"/>
      <c r="O1353" s="120"/>
      <c r="P1353" s="122"/>
      <c r="Q1353" s="123"/>
      <c r="R1353" s="123"/>
      <c r="S1353" s="123"/>
      <c r="T1353" s="123"/>
    </row>
    <row r="1354" spans="1:20" ht="13.8">
      <c r="A1354" s="118" t="str">
        <f ca="1">IFERROR(__xludf.DUMMYFUNCTION("""COMPUTED_VALUE"""),"OH")</f>
        <v>OH</v>
      </c>
      <c r="B1354" s="119" t="str">
        <f ca="1">IFERROR(__xludf.DUMMYFUNCTION("""COMPUTED_VALUE"""),"Wesley Johnson")</f>
        <v>Wesley Johnson</v>
      </c>
      <c r="C1354" s="118">
        <f ca="1">IFERROR(__xludf.DUMMYFUNCTION("""COMPUTED_VALUE"""),8)</f>
        <v>8</v>
      </c>
      <c r="D1354" s="118" t="str">
        <f ca="1">IFERROR(__xludf.DUMMYFUNCTION("""COMPUTED_VALUE"""),"B")</f>
        <v>B</v>
      </c>
      <c r="E1354" s="118" t="str">
        <f ca="1">IFERROR(__xludf.DUMMYFUNCTION("""COMPUTED_VALUE"""),"F")</f>
        <v>F</v>
      </c>
      <c r="F1354" s="118" t="str">
        <f ca="1">IFERROR(__xludf.DUMMYFUNCTION("""COMPUTED_VALUE"""),"J")</f>
        <v>J</v>
      </c>
      <c r="G1354" s="118">
        <f ca="1">IFERROR(__xludf.DUMMYFUNCTION("""COMPUTED_VALUE"""),8)</f>
        <v>8</v>
      </c>
      <c r="H1354" s="118" t="str">
        <f ca="1">IFERROR(__xludf.DUMMYFUNCTION("""COMPUTED_VALUE"""),"OH")</f>
        <v>OH</v>
      </c>
      <c r="I1354" s="118">
        <f ca="1">IFERROR(__xludf.DUMMYFUNCTION("""COMPUTED_VALUE"""),5)</f>
        <v>5</v>
      </c>
      <c r="J1354" s="118">
        <f ca="1">IFERROR(__xludf.DUMMYFUNCTION("""COMPUTED_VALUE"""),0)</f>
        <v>0</v>
      </c>
      <c r="K1354" s="120"/>
      <c r="L1354" s="121"/>
      <c r="M1354" s="120"/>
      <c r="N1354" s="121"/>
      <c r="O1354" s="120"/>
      <c r="P1354" s="122"/>
      <c r="Q1354" s="123"/>
      <c r="R1354" s="123"/>
      <c r="S1354" s="123"/>
      <c r="T1354" s="123"/>
    </row>
    <row r="1355" spans="1:20" ht="13.8">
      <c r="A1355" s="118" t="str">
        <f ca="1">IFERROR(__xludf.DUMMYFUNCTION("""COMPUTED_VALUE"""),"OH")</f>
        <v>OH</v>
      </c>
      <c r="B1355" s="119" t="str">
        <f ca="1">IFERROR(__xludf.DUMMYFUNCTION("""COMPUTED_VALUE"""),"Emilie Beltz")</f>
        <v>Emilie Beltz</v>
      </c>
      <c r="C1355" s="118">
        <f ca="1">IFERROR(__xludf.DUMMYFUNCTION("""COMPUTED_VALUE"""),12)</f>
        <v>12</v>
      </c>
      <c r="D1355" s="118" t="str">
        <f ca="1">IFERROR(__xludf.DUMMYFUNCTION("""COMPUTED_VALUE"""),"G")</f>
        <v>G</v>
      </c>
      <c r="E1355" s="118" t="str">
        <f ca="1">IFERROR(__xludf.DUMMYFUNCTION("""COMPUTED_VALUE"""),"J")</f>
        <v>J</v>
      </c>
      <c r="F1355" s="118" t="str">
        <f ca="1">IFERROR(__xludf.DUMMYFUNCTION("""COMPUTED_VALUE"""),"I")</f>
        <v>I</v>
      </c>
      <c r="G1355" s="118">
        <f ca="1">IFERROR(__xludf.DUMMYFUNCTION("""COMPUTED_VALUE"""),8)</f>
        <v>8</v>
      </c>
      <c r="H1355" s="118" t="str">
        <f ca="1">IFERROR(__xludf.DUMMYFUNCTION("""COMPUTED_VALUE"""),"OH")</f>
        <v>OH</v>
      </c>
      <c r="I1355" s="118">
        <f ca="1">IFERROR(__xludf.DUMMYFUNCTION("""COMPUTED_VALUE"""),6)</f>
        <v>6</v>
      </c>
      <c r="J1355" s="118">
        <f ca="1">IFERROR(__xludf.DUMMYFUNCTION("""COMPUTED_VALUE"""),5)</f>
        <v>5</v>
      </c>
      <c r="K1355" s="120">
        <f ca="1">IFERROR(__xludf.DUMMYFUNCTION("""COMPUTED_VALUE"""),71.15)</f>
        <v>71.150000000000006</v>
      </c>
      <c r="L1355" s="121"/>
      <c r="M1355" s="120">
        <f ca="1">IFERROR(__xludf.DUMMYFUNCTION("""COMPUTED_VALUE"""),63.05)</f>
        <v>63.05</v>
      </c>
      <c r="N1355" s="121"/>
      <c r="O1355" s="120">
        <f ca="1">IFERROR(__xludf.DUMMYFUNCTION("""COMPUTED_VALUE"""),61.1)</f>
        <v>61.1</v>
      </c>
      <c r="P1355" s="122"/>
      <c r="Q1355" s="123"/>
      <c r="R1355" s="123"/>
      <c r="S1355" s="123"/>
      <c r="T1355" s="123"/>
    </row>
    <row r="1356" spans="1:20" ht="13.8">
      <c r="A1356" s="118" t="str">
        <f ca="1">IFERROR(__xludf.DUMMYFUNCTION("""COMPUTED_VALUE"""),"OH")</f>
        <v>OH</v>
      </c>
      <c r="B1356" s="119" t="str">
        <f ca="1">IFERROR(__xludf.DUMMYFUNCTION("""COMPUTED_VALUE"""),"Evelyn Emmert")</f>
        <v>Evelyn Emmert</v>
      </c>
      <c r="C1356" s="118">
        <f ca="1">IFERROR(__xludf.DUMMYFUNCTION("""COMPUTED_VALUE"""),11)</f>
        <v>11</v>
      </c>
      <c r="D1356" s="118" t="str">
        <f ca="1">IFERROR(__xludf.DUMMYFUNCTION("""COMPUTED_VALUE"""),"G")</f>
        <v>G</v>
      </c>
      <c r="E1356" s="118" t="str">
        <f ca="1">IFERROR(__xludf.DUMMYFUNCTION("""COMPUTED_VALUE"""),"J")</f>
        <v>J</v>
      </c>
      <c r="F1356" s="118" t="str">
        <f ca="1">IFERROR(__xludf.DUMMYFUNCTION("""COMPUTED_VALUE"""),"I")</f>
        <v>I</v>
      </c>
      <c r="G1356" s="118">
        <f ca="1">IFERROR(__xludf.DUMMYFUNCTION("""COMPUTED_VALUE"""),8)</f>
        <v>8</v>
      </c>
      <c r="H1356" s="118" t="str">
        <f ca="1">IFERROR(__xludf.DUMMYFUNCTION("""COMPUTED_VALUE"""),"OH")</f>
        <v>OH</v>
      </c>
      <c r="I1356" s="118">
        <f ca="1">IFERROR(__xludf.DUMMYFUNCTION("""COMPUTED_VALUE"""),6)</f>
        <v>6</v>
      </c>
      <c r="J1356" s="118">
        <f ca="1">IFERROR(__xludf.DUMMYFUNCTION("""COMPUTED_VALUE"""),0)</f>
        <v>0</v>
      </c>
      <c r="K1356" s="120"/>
      <c r="L1356" s="121"/>
      <c r="M1356" s="120"/>
      <c r="N1356" s="121"/>
      <c r="O1356" s="120"/>
      <c r="P1356" s="122"/>
      <c r="Q1356" s="123"/>
      <c r="R1356" s="123"/>
      <c r="S1356" s="123"/>
      <c r="T1356" s="123"/>
    </row>
    <row r="1357" spans="1:20" ht="13.8">
      <c r="A1357" s="118" t="str">
        <f ca="1">IFERROR(__xludf.DUMMYFUNCTION("""COMPUTED_VALUE"""),"OH")</f>
        <v>OH</v>
      </c>
      <c r="B1357" s="119" t="str">
        <f ca="1">IFERROR(__xludf.DUMMYFUNCTION("""COMPUTED_VALUE"""),"Gabby Heredia")</f>
        <v>Gabby Heredia</v>
      </c>
      <c r="C1357" s="118">
        <f ca="1">IFERROR(__xludf.DUMMYFUNCTION("""COMPUTED_VALUE"""),11)</f>
        <v>11</v>
      </c>
      <c r="D1357" s="118" t="str">
        <f ca="1">IFERROR(__xludf.DUMMYFUNCTION("""COMPUTED_VALUE"""),"G")</f>
        <v>G</v>
      </c>
      <c r="E1357" s="118" t="str">
        <f ca="1">IFERROR(__xludf.DUMMYFUNCTION("""COMPUTED_VALUE"""),"J")</f>
        <v>J</v>
      </c>
      <c r="F1357" s="118" t="str">
        <f ca="1">IFERROR(__xludf.DUMMYFUNCTION("""COMPUTED_VALUE"""),"I")</f>
        <v>I</v>
      </c>
      <c r="G1357" s="118">
        <f ca="1">IFERROR(__xludf.DUMMYFUNCTION("""COMPUTED_VALUE"""),8)</f>
        <v>8</v>
      </c>
      <c r="H1357" s="118" t="str">
        <f ca="1">IFERROR(__xludf.DUMMYFUNCTION("""COMPUTED_VALUE"""),"OH")</f>
        <v>OH</v>
      </c>
      <c r="I1357" s="118">
        <f ca="1">IFERROR(__xludf.DUMMYFUNCTION("""COMPUTED_VALUE"""),6)</f>
        <v>6</v>
      </c>
      <c r="J1357" s="118">
        <f ca="1">IFERROR(__xludf.DUMMYFUNCTION("""COMPUTED_VALUE"""),5)</f>
        <v>5</v>
      </c>
      <c r="K1357" s="120">
        <f ca="1">IFERROR(__xludf.DUMMYFUNCTION("""COMPUTED_VALUE"""),60.6)</f>
        <v>60.6</v>
      </c>
      <c r="L1357" s="121"/>
      <c r="M1357" s="120">
        <f ca="1">IFERROR(__xludf.DUMMYFUNCTION("""COMPUTED_VALUE"""),53)</f>
        <v>53</v>
      </c>
      <c r="N1357" s="121"/>
      <c r="O1357" s="120">
        <f ca="1">IFERROR(__xludf.DUMMYFUNCTION("""COMPUTED_VALUE"""),56.65)</f>
        <v>56.65</v>
      </c>
      <c r="P1357" s="122"/>
      <c r="Q1357" s="123"/>
      <c r="R1357" s="123"/>
      <c r="S1357" s="123"/>
      <c r="T1357" s="123"/>
    </row>
    <row r="1358" spans="1:20" ht="13.8">
      <c r="A1358" s="118" t="str">
        <f ca="1">IFERROR(__xludf.DUMMYFUNCTION("""COMPUTED_VALUE"""),"OH")</f>
        <v>OH</v>
      </c>
      <c r="B1358" s="119" t="str">
        <f ca="1">IFERROR(__xludf.DUMMYFUNCTION("""COMPUTED_VALUE"""),"Gaby Kostova")</f>
        <v>Gaby Kostova</v>
      </c>
      <c r="C1358" s="118">
        <f ca="1">IFERROR(__xludf.DUMMYFUNCTION("""COMPUTED_VALUE"""),11)</f>
        <v>11</v>
      </c>
      <c r="D1358" s="118" t="str">
        <f ca="1">IFERROR(__xludf.DUMMYFUNCTION("""COMPUTED_VALUE"""),"G")</f>
        <v>G</v>
      </c>
      <c r="E1358" s="118" t="str">
        <f ca="1">IFERROR(__xludf.DUMMYFUNCTION("""COMPUTED_VALUE"""),"J")</f>
        <v>J</v>
      </c>
      <c r="F1358" s="118" t="str">
        <f ca="1">IFERROR(__xludf.DUMMYFUNCTION("""COMPUTED_VALUE"""),"I")</f>
        <v>I</v>
      </c>
      <c r="G1358" s="118">
        <f ca="1">IFERROR(__xludf.DUMMYFUNCTION("""COMPUTED_VALUE"""),8)</f>
        <v>8</v>
      </c>
      <c r="H1358" s="118" t="str">
        <f ca="1">IFERROR(__xludf.DUMMYFUNCTION("""COMPUTED_VALUE"""),"OH")</f>
        <v>OH</v>
      </c>
      <c r="I1358" s="118">
        <f ca="1">IFERROR(__xludf.DUMMYFUNCTION("""COMPUTED_VALUE"""),6)</f>
        <v>6</v>
      </c>
      <c r="J1358" s="118">
        <f ca="1">IFERROR(__xludf.DUMMYFUNCTION("""COMPUTED_VALUE"""),5)</f>
        <v>5</v>
      </c>
      <c r="K1358" s="120">
        <f ca="1">IFERROR(__xludf.DUMMYFUNCTION("""COMPUTED_VALUE"""),71.15)</f>
        <v>71.150000000000006</v>
      </c>
      <c r="L1358" s="121"/>
      <c r="M1358" s="120">
        <f ca="1">IFERROR(__xludf.DUMMYFUNCTION("""COMPUTED_VALUE"""),60.85)</f>
        <v>60.85</v>
      </c>
      <c r="N1358" s="121"/>
      <c r="O1358" s="120">
        <f ca="1">IFERROR(__xludf.DUMMYFUNCTION("""COMPUTED_VALUE"""),69.4)</f>
        <v>69.400000000000006</v>
      </c>
      <c r="P1358" s="122"/>
      <c r="Q1358" s="123"/>
      <c r="R1358" s="123"/>
      <c r="S1358" s="123"/>
      <c r="T1358" s="123"/>
    </row>
    <row r="1359" spans="1:20" ht="13.8">
      <c r="A1359" s="118" t="str">
        <f ca="1">IFERROR(__xludf.DUMMYFUNCTION("""COMPUTED_VALUE"""),"OH")</f>
        <v>OH</v>
      </c>
      <c r="B1359" s="119" t="str">
        <f ca="1">IFERROR(__xludf.DUMMYFUNCTION("""COMPUTED_VALUE"""),"Hailey Randazzo")</f>
        <v>Hailey Randazzo</v>
      </c>
      <c r="C1359" s="118">
        <f ca="1">IFERROR(__xludf.DUMMYFUNCTION("""COMPUTED_VALUE"""),12)</f>
        <v>12</v>
      </c>
      <c r="D1359" s="118" t="str">
        <f ca="1">IFERROR(__xludf.DUMMYFUNCTION("""COMPUTED_VALUE"""),"G")</f>
        <v>G</v>
      </c>
      <c r="E1359" s="118" t="str">
        <f ca="1">IFERROR(__xludf.DUMMYFUNCTION("""COMPUTED_VALUE"""),"J")</f>
        <v>J</v>
      </c>
      <c r="F1359" s="118" t="str">
        <f ca="1">IFERROR(__xludf.DUMMYFUNCTION("""COMPUTED_VALUE"""),"I")</f>
        <v>I</v>
      </c>
      <c r="G1359" s="118">
        <f ca="1">IFERROR(__xludf.DUMMYFUNCTION("""COMPUTED_VALUE"""),8)</f>
        <v>8</v>
      </c>
      <c r="H1359" s="118" t="str">
        <f ca="1">IFERROR(__xludf.DUMMYFUNCTION("""COMPUTED_VALUE"""),"OH")</f>
        <v>OH</v>
      </c>
      <c r="I1359" s="118">
        <f ca="1">IFERROR(__xludf.DUMMYFUNCTION("""COMPUTED_VALUE"""),6)</f>
        <v>6</v>
      </c>
      <c r="J1359" s="118">
        <f ca="1">IFERROR(__xludf.DUMMYFUNCTION("""COMPUTED_VALUE"""),4)</f>
        <v>4</v>
      </c>
      <c r="K1359" s="120">
        <f ca="1">IFERROR(__xludf.DUMMYFUNCTION("""COMPUTED_VALUE"""),79.95)</f>
        <v>79.95</v>
      </c>
      <c r="L1359" s="121"/>
      <c r="M1359" s="120">
        <f ca="1">IFERROR(__xludf.DUMMYFUNCTION("""COMPUTED_VALUE"""),74.85)</f>
        <v>74.849999999999994</v>
      </c>
      <c r="N1359" s="121"/>
      <c r="O1359" s="120"/>
      <c r="P1359" s="122"/>
      <c r="Q1359" s="123"/>
      <c r="R1359" s="123"/>
      <c r="S1359" s="123"/>
      <c r="T1359" s="123"/>
    </row>
    <row r="1360" spans="1:20" ht="13.8">
      <c r="A1360" s="118" t="str">
        <f ca="1">IFERROR(__xludf.DUMMYFUNCTION("""COMPUTED_VALUE"""),"OH")</f>
        <v>OH</v>
      </c>
      <c r="B1360" s="119" t="str">
        <f ca="1">IFERROR(__xludf.DUMMYFUNCTION("""COMPUTED_VALUE"""),"Kyla Calkins")</f>
        <v>Kyla Calkins</v>
      </c>
      <c r="C1360" s="118">
        <f ca="1">IFERROR(__xludf.DUMMYFUNCTION("""COMPUTED_VALUE"""),12)</f>
        <v>12</v>
      </c>
      <c r="D1360" s="118" t="str">
        <f ca="1">IFERROR(__xludf.DUMMYFUNCTION("""COMPUTED_VALUE"""),"G")</f>
        <v>G</v>
      </c>
      <c r="E1360" s="118" t="str">
        <f ca="1">IFERROR(__xludf.DUMMYFUNCTION("""COMPUTED_VALUE"""),"J")</f>
        <v>J</v>
      </c>
      <c r="F1360" s="118" t="str">
        <f ca="1">IFERROR(__xludf.DUMMYFUNCTION("""COMPUTED_VALUE"""),"I")</f>
        <v>I</v>
      </c>
      <c r="G1360" s="118">
        <f ca="1">IFERROR(__xludf.DUMMYFUNCTION("""COMPUTED_VALUE"""),8)</f>
        <v>8</v>
      </c>
      <c r="H1360" s="118" t="str">
        <f ca="1">IFERROR(__xludf.DUMMYFUNCTION("""COMPUTED_VALUE"""),"OH")</f>
        <v>OH</v>
      </c>
      <c r="I1360" s="118">
        <f ca="1">IFERROR(__xludf.DUMMYFUNCTION("""COMPUTED_VALUE"""),6)</f>
        <v>6</v>
      </c>
      <c r="J1360" s="118">
        <f ca="1">IFERROR(__xludf.DUMMYFUNCTION("""COMPUTED_VALUE"""),1)</f>
        <v>1</v>
      </c>
      <c r="K1360" s="120"/>
      <c r="L1360" s="121"/>
      <c r="M1360" s="120"/>
      <c r="N1360" s="121"/>
      <c r="O1360" s="120"/>
      <c r="P1360" s="122"/>
      <c r="Q1360" s="123"/>
      <c r="R1360" s="123"/>
      <c r="S1360" s="123"/>
      <c r="T1360" s="123"/>
    </row>
    <row r="1361" spans="1:20" ht="13.8">
      <c r="A1361" s="118" t="str">
        <f ca="1">IFERROR(__xludf.DUMMYFUNCTION("""COMPUTED_VALUE"""),"OH")</f>
        <v>OH</v>
      </c>
      <c r="B1361" s="119" t="str">
        <f ca="1">IFERROR(__xludf.DUMMYFUNCTION("""COMPUTED_VALUE"""),"Lourdes Schvind")</f>
        <v>Lourdes Schvind</v>
      </c>
      <c r="C1361" s="118">
        <f ca="1">IFERROR(__xludf.DUMMYFUNCTION("""COMPUTED_VALUE"""),12)</f>
        <v>12</v>
      </c>
      <c r="D1361" s="118" t="str">
        <f ca="1">IFERROR(__xludf.DUMMYFUNCTION("""COMPUTED_VALUE"""),"G")</f>
        <v>G</v>
      </c>
      <c r="E1361" s="118" t="str">
        <f ca="1">IFERROR(__xludf.DUMMYFUNCTION("""COMPUTED_VALUE"""),"J")</f>
        <v>J</v>
      </c>
      <c r="F1361" s="118" t="str">
        <f ca="1">IFERROR(__xludf.DUMMYFUNCTION("""COMPUTED_VALUE"""),"I")</f>
        <v>I</v>
      </c>
      <c r="G1361" s="118">
        <f ca="1">IFERROR(__xludf.DUMMYFUNCTION("""COMPUTED_VALUE"""),8)</f>
        <v>8</v>
      </c>
      <c r="H1361" s="118" t="str">
        <f ca="1">IFERROR(__xludf.DUMMYFUNCTION("""COMPUTED_VALUE"""),"OH")</f>
        <v>OH</v>
      </c>
      <c r="I1361" s="118">
        <f ca="1">IFERROR(__xludf.DUMMYFUNCTION("""COMPUTED_VALUE"""),6)</f>
        <v>6</v>
      </c>
      <c r="J1361" s="118">
        <f ca="1">IFERROR(__xludf.DUMMYFUNCTION("""COMPUTED_VALUE"""),0)</f>
        <v>0</v>
      </c>
      <c r="K1361" s="120"/>
      <c r="L1361" s="121"/>
      <c r="M1361" s="120"/>
      <c r="N1361" s="121"/>
      <c r="O1361" s="120"/>
      <c r="P1361" s="122"/>
      <c r="Q1361" s="123"/>
      <c r="R1361" s="123"/>
      <c r="S1361" s="123"/>
      <c r="T1361" s="123"/>
    </row>
    <row r="1362" spans="1:20" ht="13.8">
      <c r="A1362" s="118" t="str">
        <f ca="1">IFERROR(__xludf.DUMMYFUNCTION("""COMPUTED_VALUE"""),"OH")</f>
        <v>OH</v>
      </c>
      <c r="B1362" s="119" t="str">
        <f ca="1">IFERROR(__xludf.DUMMYFUNCTION("""COMPUTED_VALUE"""),"Maddy Orluk")</f>
        <v>Maddy Orluk</v>
      </c>
      <c r="C1362" s="118">
        <f ca="1">IFERROR(__xludf.DUMMYFUNCTION("""COMPUTED_VALUE"""),11)</f>
        <v>11</v>
      </c>
      <c r="D1362" s="118" t="str">
        <f ca="1">IFERROR(__xludf.DUMMYFUNCTION("""COMPUTED_VALUE"""),"G")</f>
        <v>G</v>
      </c>
      <c r="E1362" s="118" t="str">
        <f ca="1">IFERROR(__xludf.DUMMYFUNCTION("""COMPUTED_VALUE"""),"J")</f>
        <v>J</v>
      </c>
      <c r="F1362" s="118" t="str">
        <f ca="1">IFERROR(__xludf.DUMMYFUNCTION("""COMPUTED_VALUE"""),"I")</f>
        <v>I</v>
      </c>
      <c r="G1362" s="118">
        <f ca="1">IFERROR(__xludf.DUMMYFUNCTION("""COMPUTED_VALUE"""),8)</f>
        <v>8</v>
      </c>
      <c r="H1362" s="118" t="str">
        <f ca="1">IFERROR(__xludf.DUMMYFUNCTION("""COMPUTED_VALUE"""),"OH")</f>
        <v>OH</v>
      </c>
      <c r="I1362" s="118">
        <f ca="1">IFERROR(__xludf.DUMMYFUNCTION("""COMPUTED_VALUE"""),6)</f>
        <v>6</v>
      </c>
      <c r="J1362" s="118">
        <f ca="1">IFERROR(__xludf.DUMMYFUNCTION("""COMPUTED_VALUE"""),0)</f>
        <v>0</v>
      </c>
      <c r="K1362" s="120"/>
      <c r="L1362" s="121"/>
      <c r="M1362" s="120"/>
      <c r="N1362" s="121"/>
      <c r="O1362" s="120"/>
      <c r="P1362" s="122"/>
      <c r="Q1362" s="123"/>
      <c r="R1362" s="123"/>
      <c r="S1362" s="123"/>
      <c r="T1362" s="123"/>
    </row>
    <row r="1363" spans="1:20" ht="13.8">
      <c r="A1363" s="118" t="str">
        <f ca="1">IFERROR(__xludf.DUMMYFUNCTION("""COMPUTED_VALUE"""),"OH")</f>
        <v>OH</v>
      </c>
      <c r="B1363" s="119" t="str">
        <f ca="1">IFERROR(__xludf.DUMMYFUNCTION("""COMPUTED_VALUE"""),"Sofia Petersen")</f>
        <v>Sofia Petersen</v>
      </c>
      <c r="C1363" s="118">
        <f ca="1">IFERROR(__xludf.DUMMYFUNCTION("""COMPUTED_VALUE"""),12)</f>
        <v>12</v>
      </c>
      <c r="D1363" s="118" t="str">
        <f ca="1">IFERROR(__xludf.DUMMYFUNCTION("""COMPUTED_VALUE"""),"G")</f>
        <v>G</v>
      </c>
      <c r="E1363" s="118" t="str">
        <f ca="1">IFERROR(__xludf.DUMMYFUNCTION("""COMPUTED_VALUE"""),"J")</f>
        <v>J</v>
      </c>
      <c r="F1363" s="118" t="str">
        <f ca="1">IFERROR(__xludf.DUMMYFUNCTION("""COMPUTED_VALUE"""),"I")</f>
        <v>I</v>
      </c>
      <c r="G1363" s="118">
        <f ca="1">IFERROR(__xludf.DUMMYFUNCTION("""COMPUTED_VALUE"""),8)</f>
        <v>8</v>
      </c>
      <c r="H1363" s="118" t="str">
        <f ca="1">IFERROR(__xludf.DUMMYFUNCTION("""COMPUTED_VALUE"""),"OH")</f>
        <v>OH</v>
      </c>
      <c r="I1363" s="118">
        <f ca="1">IFERROR(__xludf.DUMMYFUNCTION("""COMPUTED_VALUE"""),6)</f>
        <v>6</v>
      </c>
      <c r="J1363" s="118">
        <f ca="1">IFERROR(__xludf.DUMMYFUNCTION("""COMPUTED_VALUE"""),4)</f>
        <v>4</v>
      </c>
      <c r="K1363" s="120">
        <f ca="1">IFERROR(__xludf.DUMMYFUNCTION("""COMPUTED_VALUE"""),62)</f>
        <v>62</v>
      </c>
      <c r="L1363" s="121"/>
      <c r="M1363" s="120">
        <f ca="1">IFERROR(__xludf.DUMMYFUNCTION("""COMPUTED_VALUE"""),43.7)</f>
        <v>43.7</v>
      </c>
      <c r="N1363" s="121"/>
      <c r="O1363" s="120">
        <f ca="1">IFERROR(__xludf.DUMMYFUNCTION("""COMPUTED_VALUE"""),57.75)</f>
        <v>57.75</v>
      </c>
      <c r="P1363" s="122"/>
      <c r="Q1363" s="123"/>
      <c r="R1363" s="123"/>
      <c r="S1363" s="123"/>
      <c r="T1363" s="123"/>
    </row>
    <row r="1364" spans="1:20" ht="13.8">
      <c r="A1364" s="118" t="str">
        <f ca="1">IFERROR(__xludf.DUMMYFUNCTION("""COMPUTED_VALUE"""),"OH")</f>
        <v>OH</v>
      </c>
      <c r="B1364" s="119" t="str">
        <f ca="1">IFERROR(__xludf.DUMMYFUNCTION("""COMPUTED_VALUE"""),"Harrison Crosby")</f>
        <v>Harrison Crosby</v>
      </c>
      <c r="C1364" s="118">
        <f ca="1">IFERROR(__xludf.DUMMYFUNCTION("""COMPUTED_VALUE"""),12)</f>
        <v>12</v>
      </c>
      <c r="D1364" s="118" t="str">
        <f ca="1">IFERROR(__xludf.DUMMYFUNCTION("""COMPUTED_VALUE"""),"B")</f>
        <v>B</v>
      </c>
      <c r="E1364" s="118" t="str">
        <f ca="1">IFERROR(__xludf.DUMMYFUNCTION("""COMPUTED_VALUE"""),"J")</f>
        <v>J</v>
      </c>
      <c r="F1364" s="118" t="str">
        <f ca="1">IFERROR(__xludf.DUMMYFUNCTION("""COMPUTED_VALUE"""),"I")</f>
        <v>I</v>
      </c>
      <c r="G1364" s="118">
        <f ca="1">IFERROR(__xludf.DUMMYFUNCTION("""COMPUTED_VALUE"""),8)</f>
        <v>8</v>
      </c>
      <c r="H1364" s="118" t="str">
        <f ca="1">IFERROR(__xludf.DUMMYFUNCTION("""COMPUTED_VALUE"""),"OH")</f>
        <v>OH</v>
      </c>
      <c r="I1364" s="118">
        <f ca="1">IFERROR(__xludf.DUMMYFUNCTION("""COMPUTED_VALUE"""),7)</f>
        <v>7</v>
      </c>
      <c r="J1364" s="118">
        <f ca="1">IFERROR(__xludf.DUMMYFUNCTION("""COMPUTED_VALUE"""),0)</f>
        <v>0</v>
      </c>
      <c r="K1364" s="120"/>
      <c r="L1364" s="121"/>
      <c r="M1364" s="120"/>
      <c r="N1364" s="121"/>
      <c r="O1364" s="120"/>
      <c r="P1364" s="122"/>
      <c r="Q1364" s="123"/>
      <c r="R1364" s="123"/>
      <c r="S1364" s="123"/>
      <c r="T1364" s="123"/>
    </row>
    <row r="1365" spans="1:20" ht="13.8">
      <c r="A1365" s="118" t="str">
        <f ca="1">IFERROR(__xludf.DUMMYFUNCTION("""COMPUTED_VALUE"""),"OH")</f>
        <v>OH</v>
      </c>
      <c r="B1365" s="119" t="str">
        <f ca="1">IFERROR(__xludf.DUMMYFUNCTION("""COMPUTED_VALUE"""),"Jake Spears")</f>
        <v>Jake Spears</v>
      </c>
      <c r="C1365" s="118">
        <f ca="1">IFERROR(__xludf.DUMMYFUNCTION("""COMPUTED_VALUE"""),11)</f>
        <v>11</v>
      </c>
      <c r="D1365" s="118" t="str">
        <f ca="1">IFERROR(__xludf.DUMMYFUNCTION("""COMPUTED_VALUE"""),"B")</f>
        <v>B</v>
      </c>
      <c r="E1365" s="118" t="str">
        <f ca="1">IFERROR(__xludf.DUMMYFUNCTION("""COMPUTED_VALUE"""),"J")</f>
        <v>J</v>
      </c>
      <c r="F1365" s="118" t="str">
        <f ca="1">IFERROR(__xludf.DUMMYFUNCTION("""COMPUTED_VALUE"""),"I")</f>
        <v>I</v>
      </c>
      <c r="G1365" s="118">
        <f ca="1">IFERROR(__xludf.DUMMYFUNCTION("""COMPUTED_VALUE"""),8)</f>
        <v>8</v>
      </c>
      <c r="H1365" s="118" t="str">
        <f ca="1">IFERROR(__xludf.DUMMYFUNCTION("""COMPUTED_VALUE"""),"OH")</f>
        <v>OH</v>
      </c>
      <c r="I1365" s="118">
        <f ca="1">IFERROR(__xludf.DUMMYFUNCTION("""COMPUTED_VALUE"""),7)</f>
        <v>7</v>
      </c>
      <c r="J1365" s="118">
        <f ca="1">IFERROR(__xludf.DUMMYFUNCTION("""COMPUTED_VALUE"""),4)</f>
        <v>4</v>
      </c>
      <c r="K1365" s="120">
        <f ca="1">IFERROR(__xludf.DUMMYFUNCTION("""COMPUTED_VALUE"""),58.9)</f>
        <v>58.9</v>
      </c>
      <c r="L1365" s="121"/>
      <c r="M1365" s="120"/>
      <c r="N1365" s="121"/>
      <c r="O1365" s="120">
        <f ca="1">IFERROR(__xludf.DUMMYFUNCTION("""COMPUTED_VALUE"""),46.3)</f>
        <v>46.3</v>
      </c>
      <c r="P1365" s="122"/>
      <c r="Q1365" s="123"/>
      <c r="R1365" s="123"/>
      <c r="S1365" s="123"/>
      <c r="T1365" s="123"/>
    </row>
    <row r="1366" spans="1:20" ht="13.8">
      <c r="A1366" s="118" t="str">
        <f ca="1">IFERROR(__xludf.DUMMYFUNCTION("""COMPUTED_VALUE"""),"OH")</f>
        <v>OH</v>
      </c>
      <c r="B1366" s="119" t="str">
        <f ca="1">IFERROR(__xludf.DUMMYFUNCTION("""COMPUTED_VALUE"""),"Lucas Lynn")</f>
        <v>Lucas Lynn</v>
      </c>
      <c r="C1366" s="118">
        <f ca="1">IFERROR(__xludf.DUMMYFUNCTION("""COMPUTED_VALUE"""),11)</f>
        <v>11</v>
      </c>
      <c r="D1366" s="118" t="str">
        <f ca="1">IFERROR(__xludf.DUMMYFUNCTION("""COMPUTED_VALUE"""),"B")</f>
        <v>B</v>
      </c>
      <c r="E1366" s="118" t="str">
        <f ca="1">IFERROR(__xludf.DUMMYFUNCTION("""COMPUTED_VALUE"""),"J")</f>
        <v>J</v>
      </c>
      <c r="F1366" s="118" t="str">
        <f ca="1">IFERROR(__xludf.DUMMYFUNCTION("""COMPUTED_VALUE"""),"I")</f>
        <v>I</v>
      </c>
      <c r="G1366" s="118">
        <f ca="1">IFERROR(__xludf.DUMMYFUNCTION("""COMPUTED_VALUE"""),8)</f>
        <v>8</v>
      </c>
      <c r="H1366" s="118" t="str">
        <f ca="1">IFERROR(__xludf.DUMMYFUNCTION("""COMPUTED_VALUE"""),"OH")</f>
        <v>OH</v>
      </c>
      <c r="I1366" s="118">
        <f ca="1">IFERROR(__xludf.DUMMYFUNCTION("""COMPUTED_VALUE"""),7)</f>
        <v>7</v>
      </c>
      <c r="J1366" s="118">
        <f ca="1">IFERROR(__xludf.DUMMYFUNCTION("""COMPUTED_VALUE"""),0)</f>
        <v>0</v>
      </c>
      <c r="K1366" s="120"/>
      <c r="L1366" s="121"/>
      <c r="M1366" s="120"/>
      <c r="N1366" s="121"/>
      <c r="O1366" s="120"/>
      <c r="P1366" s="122"/>
      <c r="Q1366" s="123"/>
      <c r="R1366" s="123"/>
      <c r="S1366" s="123"/>
      <c r="T1366" s="123"/>
    </row>
    <row r="1367" spans="1:20" ht="13.8">
      <c r="A1367" s="118" t="str">
        <f ca="1">IFERROR(__xludf.DUMMYFUNCTION("""COMPUTED_VALUE"""),"OH")</f>
        <v>OH</v>
      </c>
      <c r="B1367" s="119" t="str">
        <f ca="1">IFERROR(__xludf.DUMMYFUNCTION("""COMPUTED_VALUE"""),"Zane Pickenheim")</f>
        <v>Zane Pickenheim</v>
      </c>
      <c r="C1367" s="118">
        <f ca="1">IFERROR(__xludf.DUMMYFUNCTION("""COMPUTED_VALUE"""),12)</f>
        <v>12</v>
      </c>
      <c r="D1367" s="118" t="str">
        <f ca="1">IFERROR(__xludf.DUMMYFUNCTION("""COMPUTED_VALUE"""),"B")</f>
        <v>B</v>
      </c>
      <c r="E1367" s="118" t="str">
        <f ca="1">IFERROR(__xludf.DUMMYFUNCTION("""COMPUTED_VALUE"""),"J")</f>
        <v>J</v>
      </c>
      <c r="F1367" s="118" t="str">
        <f ca="1">IFERROR(__xludf.DUMMYFUNCTION("""COMPUTED_VALUE"""),"I")</f>
        <v>I</v>
      </c>
      <c r="G1367" s="118">
        <f ca="1">IFERROR(__xludf.DUMMYFUNCTION("""COMPUTED_VALUE"""),8)</f>
        <v>8</v>
      </c>
      <c r="H1367" s="118" t="str">
        <f ca="1">IFERROR(__xludf.DUMMYFUNCTION("""COMPUTED_VALUE"""),"OH")</f>
        <v>OH</v>
      </c>
      <c r="I1367" s="118">
        <f ca="1">IFERROR(__xludf.DUMMYFUNCTION("""COMPUTED_VALUE"""),7)</f>
        <v>7</v>
      </c>
      <c r="J1367" s="118">
        <f ca="1">IFERROR(__xludf.DUMMYFUNCTION("""COMPUTED_VALUE"""),0)</f>
        <v>0</v>
      </c>
      <c r="K1367" s="120"/>
      <c r="L1367" s="121"/>
      <c r="M1367" s="120"/>
      <c r="N1367" s="121"/>
      <c r="O1367" s="120"/>
      <c r="P1367" s="122"/>
      <c r="Q1367" s="123"/>
      <c r="R1367" s="123"/>
      <c r="S1367" s="123"/>
      <c r="T1367" s="123"/>
    </row>
    <row r="1368" spans="1:20" ht="13.8">
      <c r="A1368" s="118" t="str">
        <f ca="1">IFERROR(__xludf.DUMMYFUNCTION("""COMPUTED_VALUE"""),"OH")</f>
        <v>OH</v>
      </c>
      <c r="B1368" s="119" t="str">
        <f ca="1">IFERROR(__xludf.DUMMYFUNCTION("""COMPUTED_VALUE"""),"Eima Riekse")</f>
        <v>Eima Riekse</v>
      </c>
      <c r="C1368" s="118">
        <f ca="1">IFERROR(__xludf.DUMMYFUNCTION("""COMPUTED_VALUE"""),13)</f>
        <v>13</v>
      </c>
      <c r="D1368" s="118" t="str">
        <f ca="1">IFERROR(__xludf.DUMMYFUNCTION("""COMPUTED_VALUE"""),"G")</f>
        <v>G</v>
      </c>
      <c r="E1368" s="118" t="str">
        <f ca="1">IFERROR(__xludf.DUMMYFUNCTION("""COMPUTED_VALUE"""),"I")</f>
        <v>I</v>
      </c>
      <c r="F1368" s="118" t="str">
        <f ca="1">IFERROR(__xludf.DUMMYFUNCTION("""COMPUTED_VALUE"""),"S")</f>
        <v>S</v>
      </c>
      <c r="G1368" s="118">
        <f ca="1">IFERROR(__xludf.DUMMYFUNCTION("""COMPUTED_VALUE"""),8)</f>
        <v>8</v>
      </c>
      <c r="H1368" s="118" t="str">
        <f ca="1">IFERROR(__xludf.DUMMYFUNCTION("""COMPUTED_VALUE"""),"OH")</f>
        <v>OH</v>
      </c>
      <c r="I1368" s="118">
        <f ca="1">IFERROR(__xludf.DUMMYFUNCTION("""COMPUTED_VALUE"""),8)</f>
        <v>8</v>
      </c>
      <c r="J1368" s="118">
        <f ca="1">IFERROR(__xludf.DUMMYFUNCTION("""COMPUTED_VALUE"""),3)</f>
        <v>3</v>
      </c>
      <c r="K1368" s="120">
        <f ca="1">IFERROR(__xludf.DUMMYFUNCTION("""COMPUTED_VALUE"""),88.05)</f>
        <v>88.05</v>
      </c>
      <c r="L1368" s="121"/>
      <c r="M1368" s="120">
        <f ca="1">IFERROR(__xludf.DUMMYFUNCTION("""COMPUTED_VALUE"""),71.95)</f>
        <v>71.95</v>
      </c>
      <c r="N1368" s="121"/>
      <c r="O1368" s="120"/>
      <c r="P1368" s="122"/>
      <c r="Q1368" s="123"/>
      <c r="R1368" s="123"/>
      <c r="S1368" s="123"/>
      <c r="T1368" s="123"/>
    </row>
    <row r="1369" spans="1:20" ht="13.8">
      <c r="A1369" s="118" t="str">
        <f ca="1">IFERROR(__xludf.DUMMYFUNCTION("""COMPUTED_VALUE"""),"OH")</f>
        <v>OH</v>
      </c>
      <c r="B1369" s="119" t="str">
        <f ca="1">IFERROR(__xludf.DUMMYFUNCTION("""COMPUTED_VALUE"""),"Elia Mazerolle")</f>
        <v>Elia Mazerolle</v>
      </c>
      <c r="C1369" s="118">
        <f ca="1">IFERROR(__xludf.DUMMYFUNCTION("""COMPUTED_VALUE"""),13)</f>
        <v>13</v>
      </c>
      <c r="D1369" s="118" t="str">
        <f ca="1">IFERROR(__xludf.DUMMYFUNCTION("""COMPUTED_VALUE"""),"G")</f>
        <v>G</v>
      </c>
      <c r="E1369" s="118" t="str">
        <f ca="1">IFERROR(__xludf.DUMMYFUNCTION("""COMPUTED_VALUE"""),"I")</f>
        <v>I</v>
      </c>
      <c r="F1369" s="118" t="str">
        <f ca="1">IFERROR(__xludf.DUMMYFUNCTION("""COMPUTED_VALUE"""),"S")</f>
        <v>S</v>
      </c>
      <c r="G1369" s="118">
        <f ca="1">IFERROR(__xludf.DUMMYFUNCTION("""COMPUTED_VALUE"""),8)</f>
        <v>8</v>
      </c>
      <c r="H1369" s="118" t="str">
        <f ca="1">IFERROR(__xludf.DUMMYFUNCTION("""COMPUTED_VALUE"""),"OH")</f>
        <v>OH</v>
      </c>
      <c r="I1369" s="118">
        <f ca="1">IFERROR(__xludf.DUMMYFUNCTION("""COMPUTED_VALUE"""),8)</f>
        <v>8</v>
      </c>
      <c r="J1369" s="118">
        <f ca="1">IFERROR(__xludf.DUMMYFUNCTION("""COMPUTED_VALUE"""),4)</f>
        <v>4</v>
      </c>
      <c r="K1369" s="120">
        <f ca="1">IFERROR(__xludf.DUMMYFUNCTION("""COMPUTED_VALUE"""),90)</f>
        <v>90</v>
      </c>
      <c r="L1369" s="121"/>
      <c r="M1369" s="120">
        <f ca="1">IFERROR(__xludf.DUMMYFUNCTION("""COMPUTED_VALUE"""),90)</f>
        <v>90</v>
      </c>
      <c r="N1369" s="121"/>
      <c r="O1369" s="120">
        <f ca="1">IFERROR(__xludf.DUMMYFUNCTION("""COMPUTED_VALUE"""),-105.9)</f>
        <v>-105.9</v>
      </c>
      <c r="P1369" s="122"/>
      <c r="Q1369" s="123"/>
      <c r="R1369" s="123"/>
      <c r="S1369" s="123"/>
      <c r="T1369" s="123"/>
    </row>
    <row r="1370" spans="1:20" ht="13.8">
      <c r="A1370" s="118" t="str">
        <f ca="1">IFERROR(__xludf.DUMMYFUNCTION("""COMPUTED_VALUE"""),"OH")</f>
        <v>OH</v>
      </c>
      <c r="B1370" s="119" t="str">
        <f ca="1">IFERROR(__xludf.DUMMYFUNCTION("""COMPUTED_VALUE"""),"Peyton Moro")</f>
        <v>Peyton Moro</v>
      </c>
      <c r="C1370" s="118">
        <f ca="1">IFERROR(__xludf.DUMMYFUNCTION("""COMPUTED_VALUE"""),13)</f>
        <v>13</v>
      </c>
      <c r="D1370" s="118" t="str">
        <f ca="1">IFERROR(__xludf.DUMMYFUNCTION("""COMPUTED_VALUE"""),"G")</f>
        <v>G</v>
      </c>
      <c r="E1370" s="118" t="str">
        <f ca="1">IFERROR(__xludf.DUMMYFUNCTION("""COMPUTED_VALUE"""),"I")</f>
        <v>I</v>
      </c>
      <c r="F1370" s="118" t="str">
        <f ca="1">IFERROR(__xludf.DUMMYFUNCTION("""COMPUTED_VALUE"""),"S")</f>
        <v>S</v>
      </c>
      <c r="G1370" s="118">
        <f ca="1">IFERROR(__xludf.DUMMYFUNCTION("""COMPUTED_VALUE"""),8)</f>
        <v>8</v>
      </c>
      <c r="H1370" s="118" t="str">
        <f ca="1">IFERROR(__xludf.DUMMYFUNCTION("""COMPUTED_VALUE"""),"OH")</f>
        <v>OH</v>
      </c>
      <c r="I1370" s="118">
        <f ca="1">IFERROR(__xludf.DUMMYFUNCTION("""COMPUTED_VALUE"""),8)</f>
        <v>8</v>
      </c>
      <c r="J1370" s="118">
        <f ca="1">IFERROR(__xludf.DUMMYFUNCTION("""COMPUTED_VALUE"""),3)</f>
        <v>3</v>
      </c>
      <c r="K1370" s="120">
        <f ca="1">IFERROR(__xludf.DUMMYFUNCTION("""COMPUTED_VALUE"""),109)</f>
        <v>109</v>
      </c>
      <c r="L1370" s="121"/>
      <c r="M1370" s="120">
        <f ca="1">IFERROR(__xludf.DUMMYFUNCTION("""COMPUTED_VALUE"""),83.05)</f>
        <v>83.05</v>
      </c>
      <c r="N1370" s="121"/>
      <c r="O1370" s="120">
        <f ca="1">IFERROR(__xludf.DUMMYFUNCTION("""COMPUTED_VALUE"""),74.25)</f>
        <v>74.25</v>
      </c>
      <c r="P1370" s="122"/>
      <c r="Q1370" s="123"/>
      <c r="R1370" s="123"/>
      <c r="S1370" s="123"/>
      <c r="T1370" s="123"/>
    </row>
    <row r="1371" spans="1:20" ht="13.8">
      <c r="A1371" s="118" t="str">
        <f ca="1">IFERROR(__xludf.DUMMYFUNCTION("""COMPUTED_VALUE"""),"OH")</f>
        <v>OH</v>
      </c>
      <c r="B1371" s="119" t="str">
        <f ca="1">IFERROR(__xludf.DUMMYFUNCTION("""COMPUTED_VALUE"""),"Ralitsa Kostova")</f>
        <v>Ralitsa Kostova</v>
      </c>
      <c r="C1371" s="118">
        <f ca="1">IFERROR(__xludf.DUMMYFUNCTION("""COMPUTED_VALUE"""),13)</f>
        <v>13</v>
      </c>
      <c r="D1371" s="118" t="str">
        <f ca="1">IFERROR(__xludf.DUMMYFUNCTION("""COMPUTED_VALUE"""),"G")</f>
        <v>G</v>
      </c>
      <c r="E1371" s="118" t="str">
        <f ca="1">IFERROR(__xludf.DUMMYFUNCTION("""COMPUTED_VALUE"""),"I")</f>
        <v>I</v>
      </c>
      <c r="F1371" s="118" t="str">
        <f ca="1">IFERROR(__xludf.DUMMYFUNCTION("""COMPUTED_VALUE"""),"S")</f>
        <v>S</v>
      </c>
      <c r="G1371" s="118">
        <f ca="1">IFERROR(__xludf.DUMMYFUNCTION("""COMPUTED_VALUE"""),8)</f>
        <v>8</v>
      </c>
      <c r="H1371" s="118" t="str">
        <f ca="1">IFERROR(__xludf.DUMMYFUNCTION("""COMPUTED_VALUE"""),"OH")</f>
        <v>OH</v>
      </c>
      <c r="I1371" s="118">
        <f ca="1">IFERROR(__xludf.DUMMYFUNCTION("""COMPUTED_VALUE"""),8)</f>
        <v>8</v>
      </c>
      <c r="J1371" s="118">
        <f ca="1">IFERROR(__xludf.DUMMYFUNCTION("""COMPUTED_VALUE"""),0)</f>
        <v>0</v>
      </c>
      <c r="K1371" s="120"/>
      <c r="L1371" s="121"/>
      <c r="M1371" s="120"/>
      <c r="N1371" s="121"/>
      <c r="O1371" s="120"/>
      <c r="P1371" s="122"/>
      <c r="Q1371" s="123"/>
      <c r="R1371" s="123"/>
      <c r="S1371" s="123"/>
      <c r="T1371" s="123"/>
    </row>
    <row r="1372" spans="1:20" ht="13.8">
      <c r="A1372" s="118" t="str">
        <f ca="1">IFERROR(__xludf.DUMMYFUNCTION("""COMPUTED_VALUE"""),"OH")</f>
        <v>OH</v>
      </c>
      <c r="B1372" s="119" t="str">
        <f ca="1">IFERROR(__xludf.DUMMYFUNCTION("""COMPUTED_VALUE"""),"Rebecca Drobnis")</f>
        <v>Rebecca Drobnis</v>
      </c>
      <c r="C1372" s="118">
        <f ca="1">IFERROR(__xludf.DUMMYFUNCTION("""COMPUTED_VALUE"""),14)</f>
        <v>14</v>
      </c>
      <c r="D1372" s="118" t="str">
        <f ca="1">IFERROR(__xludf.DUMMYFUNCTION("""COMPUTED_VALUE"""),"G")</f>
        <v>G</v>
      </c>
      <c r="E1372" s="118" t="str">
        <f ca="1">IFERROR(__xludf.DUMMYFUNCTION("""COMPUTED_VALUE"""),"I")</f>
        <v>I</v>
      </c>
      <c r="F1372" s="118" t="str">
        <f ca="1">IFERROR(__xludf.DUMMYFUNCTION("""COMPUTED_VALUE"""),"S")</f>
        <v>S</v>
      </c>
      <c r="G1372" s="118">
        <f ca="1">IFERROR(__xludf.DUMMYFUNCTION("""COMPUTED_VALUE"""),8)</f>
        <v>8</v>
      </c>
      <c r="H1372" s="118" t="str">
        <f ca="1">IFERROR(__xludf.DUMMYFUNCTION("""COMPUTED_VALUE"""),"OH")</f>
        <v>OH</v>
      </c>
      <c r="I1372" s="118">
        <f ca="1">IFERROR(__xludf.DUMMYFUNCTION("""COMPUTED_VALUE"""),8)</f>
        <v>8</v>
      </c>
      <c r="J1372" s="118">
        <f ca="1">IFERROR(__xludf.DUMMYFUNCTION("""COMPUTED_VALUE"""),5)</f>
        <v>5</v>
      </c>
      <c r="K1372" s="120">
        <f ca="1">IFERROR(__xludf.DUMMYFUNCTION("""COMPUTED_VALUE"""),113.35)</f>
        <v>113.35</v>
      </c>
      <c r="L1372" s="121"/>
      <c r="M1372" s="120">
        <f ca="1">IFERROR(__xludf.DUMMYFUNCTION("""COMPUTED_VALUE"""),-140.5)</f>
        <v>-140.5</v>
      </c>
      <c r="N1372" s="121"/>
      <c r="O1372" s="120">
        <f ca="1">IFERROR(__xludf.DUMMYFUNCTION("""COMPUTED_VALUE"""),113.35)</f>
        <v>113.35</v>
      </c>
      <c r="P1372" s="122"/>
      <c r="Q1372" s="123"/>
      <c r="R1372" s="123"/>
      <c r="S1372" s="123"/>
      <c r="T1372" s="123"/>
    </row>
    <row r="1373" spans="1:20" ht="13.8">
      <c r="A1373" s="118" t="str">
        <f ca="1">IFERROR(__xludf.DUMMYFUNCTION("""COMPUTED_VALUE"""),"OH")</f>
        <v>OH</v>
      </c>
      <c r="B1373" s="119" t="str">
        <f ca="1">IFERROR(__xludf.DUMMYFUNCTION("""COMPUTED_VALUE"""),"Caleb Urias")</f>
        <v>Caleb Urias</v>
      </c>
      <c r="C1373" s="118">
        <f ca="1">IFERROR(__xludf.DUMMYFUNCTION("""COMPUTED_VALUE"""),14)</f>
        <v>14</v>
      </c>
      <c r="D1373" s="118" t="str">
        <f ca="1">IFERROR(__xludf.DUMMYFUNCTION("""COMPUTED_VALUE"""),"B")</f>
        <v>B</v>
      </c>
      <c r="E1373" s="118" t="str">
        <f ca="1">IFERROR(__xludf.DUMMYFUNCTION("""COMPUTED_VALUE"""),"I")</f>
        <v>I</v>
      </c>
      <c r="F1373" s="118" t="str">
        <f ca="1">IFERROR(__xludf.DUMMYFUNCTION("""COMPUTED_VALUE"""),"S")</f>
        <v>S</v>
      </c>
      <c r="G1373" s="118">
        <f ca="1">IFERROR(__xludf.DUMMYFUNCTION("""COMPUTED_VALUE"""),8)</f>
        <v>8</v>
      </c>
      <c r="H1373" s="118" t="str">
        <f ca="1">IFERROR(__xludf.DUMMYFUNCTION("""COMPUTED_VALUE"""),"OH")</f>
        <v>OH</v>
      </c>
      <c r="I1373" s="118">
        <f ca="1">IFERROR(__xludf.DUMMYFUNCTION("""COMPUTED_VALUE"""),9)</f>
        <v>9</v>
      </c>
      <c r="J1373" s="118">
        <f ca="1">IFERROR(__xludf.DUMMYFUNCTION("""COMPUTED_VALUE"""),0)</f>
        <v>0</v>
      </c>
      <c r="K1373" s="120"/>
      <c r="L1373" s="121"/>
      <c r="M1373" s="120"/>
      <c r="N1373" s="121"/>
      <c r="O1373" s="120"/>
      <c r="P1373" s="122"/>
      <c r="Q1373" s="123"/>
      <c r="R1373" s="123"/>
      <c r="S1373" s="123"/>
      <c r="T1373" s="123"/>
    </row>
    <row r="1374" spans="1:20" ht="13.8">
      <c r="A1374" s="118" t="str">
        <f ca="1">IFERROR(__xludf.DUMMYFUNCTION("""COMPUTED_VALUE"""),"OH")</f>
        <v>OH</v>
      </c>
      <c r="B1374" s="119" t="str">
        <f ca="1">IFERROR(__xludf.DUMMYFUNCTION("""COMPUTED_VALUE"""),"Eli Edwards")</f>
        <v>Eli Edwards</v>
      </c>
      <c r="C1374" s="118">
        <f ca="1">IFERROR(__xludf.DUMMYFUNCTION("""COMPUTED_VALUE"""),13)</f>
        <v>13</v>
      </c>
      <c r="D1374" s="118" t="str">
        <f ca="1">IFERROR(__xludf.DUMMYFUNCTION("""COMPUTED_VALUE"""),"B")</f>
        <v>B</v>
      </c>
      <c r="E1374" s="118" t="str">
        <f ca="1">IFERROR(__xludf.DUMMYFUNCTION("""COMPUTED_VALUE"""),"I")</f>
        <v>I</v>
      </c>
      <c r="F1374" s="118" t="str">
        <f ca="1">IFERROR(__xludf.DUMMYFUNCTION("""COMPUTED_VALUE"""),"S")</f>
        <v>S</v>
      </c>
      <c r="G1374" s="118">
        <f ca="1">IFERROR(__xludf.DUMMYFUNCTION("""COMPUTED_VALUE"""),8)</f>
        <v>8</v>
      </c>
      <c r="H1374" s="118" t="str">
        <f ca="1">IFERROR(__xludf.DUMMYFUNCTION("""COMPUTED_VALUE"""),"OH")</f>
        <v>OH</v>
      </c>
      <c r="I1374" s="118">
        <f ca="1">IFERROR(__xludf.DUMMYFUNCTION("""COMPUTED_VALUE"""),9)</f>
        <v>9</v>
      </c>
      <c r="J1374" s="118">
        <f ca="1">IFERROR(__xludf.DUMMYFUNCTION("""COMPUTED_VALUE"""),4)</f>
        <v>4</v>
      </c>
      <c r="K1374" s="120">
        <f ca="1">IFERROR(__xludf.DUMMYFUNCTION("""COMPUTED_VALUE"""),133.75)</f>
        <v>133.75</v>
      </c>
      <c r="L1374" s="121"/>
      <c r="M1374" s="120">
        <f ca="1">IFERROR(__xludf.DUMMYFUNCTION("""COMPUTED_VALUE"""),122.9)</f>
        <v>122.9</v>
      </c>
      <c r="N1374" s="121"/>
      <c r="O1374" s="120">
        <f ca="1">IFERROR(__xludf.DUMMYFUNCTION("""COMPUTED_VALUE"""),127.7)</f>
        <v>127.7</v>
      </c>
      <c r="P1374" s="122"/>
      <c r="Q1374" s="123"/>
      <c r="R1374" s="123"/>
      <c r="S1374" s="123"/>
      <c r="T1374" s="123"/>
    </row>
    <row r="1375" spans="1:20" ht="13.8">
      <c r="A1375" s="118" t="str">
        <f ca="1">IFERROR(__xludf.DUMMYFUNCTION("""COMPUTED_VALUE"""),"OH")</f>
        <v>OH</v>
      </c>
      <c r="B1375" s="119" t="str">
        <f ca="1">IFERROR(__xludf.DUMMYFUNCTION("""COMPUTED_VALUE"""),"Grant McClure")</f>
        <v>Grant McClure</v>
      </c>
      <c r="C1375" s="118">
        <f ca="1">IFERROR(__xludf.DUMMYFUNCTION("""COMPUTED_VALUE"""),16)</f>
        <v>16</v>
      </c>
      <c r="D1375" s="118" t="str">
        <f ca="1">IFERROR(__xludf.DUMMYFUNCTION("""COMPUTED_VALUE"""),"B")</f>
        <v>B</v>
      </c>
      <c r="E1375" s="118" t="str">
        <f ca="1">IFERROR(__xludf.DUMMYFUNCTION("""COMPUTED_VALUE"""),"S")</f>
        <v>S</v>
      </c>
      <c r="F1375" s="118" t="str">
        <f ca="1">IFERROR(__xludf.DUMMYFUNCTION("""COMPUTED_VALUE"""),"S")</f>
        <v>S</v>
      </c>
      <c r="G1375" s="118">
        <f ca="1">IFERROR(__xludf.DUMMYFUNCTION("""COMPUTED_VALUE"""),8)</f>
        <v>8</v>
      </c>
      <c r="H1375" s="118" t="str">
        <f ca="1">IFERROR(__xludf.DUMMYFUNCTION("""COMPUTED_VALUE"""),"OH")</f>
        <v>OH</v>
      </c>
      <c r="I1375" s="118">
        <f ca="1">IFERROR(__xludf.DUMMYFUNCTION("""COMPUTED_VALUE"""),11)</f>
        <v>11</v>
      </c>
      <c r="J1375" s="118">
        <f ca="1">IFERROR(__xludf.DUMMYFUNCTION("""COMPUTED_VALUE"""),5)</f>
        <v>5</v>
      </c>
      <c r="K1375" s="120">
        <f ca="1">IFERROR(__xludf.DUMMYFUNCTION("""COMPUTED_VALUE"""),159.25)</f>
        <v>159.25</v>
      </c>
      <c r="L1375" s="121"/>
      <c r="M1375" s="120">
        <f ca="1">IFERROR(__xludf.DUMMYFUNCTION("""COMPUTED_VALUE"""),130.2)</f>
        <v>130.19999999999999</v>
      </c>
      <c r="N1375" s="121"/>
      <c r="O1375" s="120">
        <f ca="1">IFERROR(__xludf.DUMMYFUNCTION("""COMPUTED_VALUE"""),144.65)</f>
        <v>144.65</v>
      </c>
      <c r="P1375" s="122"/>
      <c r="Q1375" s="123"/>
      <c r="R1375" s="123"/>
      <c r="S1375" s="123"/>
      <c r="T1375" s="123"/>
    </row>
    <row r="1376" spans="1:20" ht="13.8">
      <c r="A1376" s="118" t="str">
        <f ca="1">IFERROR(__xludf.DUMMYFUNCTION("""COMPUTED_VALUE"""),"OKM")</f>
        <v>OKM</v>
      </c>
      <c r="B1376" s="119" t="str">
        <f ca="1">IFERROR(__xludf.DUMMYFUNCTION("""COMPUTED_VALUE"""),"Ada Goehring")</f>
        <v>Ada Goehring</v>
      </c>
      <c r="C1376" s="118">
        <f ca="1">IFERROR(__xludf.DUMMYFUNCTION("""COMPUTED_VALUE"""),10)</f>
        <v>10</v>
      </c>
      <c r="D1376" s="118" t="str">
        <f ca="1">IFERROR(__xludf.DUMMYFUNCTION("""COMPUTED_VALUE"""),"G")</f>
        <v>G</v>
      </c>
      <c r="E1376" s="118" t="str">
        <f ca="1">IFERROR(__xludf.DUMMYFUNCTION("""COMPUTED_VALUE"""),"F")</f>
        <v>F</v>
      </c>
      <c r="F1376" s="118" t="str">
        <f ca="1">IFERROR(__xludf.DUMMYFUNCTION("""COMPUTED_VALUE"""),"J")</f>
        <v>J</v>
      </c>
      <c r="G1376" s="118">
        <f ca="1">IFERROR(__xludf.DUMMYFUNCTION("""COMPUTED_VALUE"""),1)</f>
        <v>1</v>
      </c>
      <c r="H1376" s="118" t="str">
        <f ca="1">IFERROR(__xludf.DUMMYFUNCTION("""COMPUTED_VALUE"""),"OKM")</f>
        <v>OKM</v>
      </c>
      <c r="I1376" s="118">
        <f ca="1">IFERROR(__xludf.DUMMYFUNCTION("""COMPUTED_VALUE"""),4)</f>
        <v>4</v>
      </c>
      <c r="J1376" s="118">
        <f ca="1">IFERROR(__xludf.DUMMYFUNCTION("""COMPUTED_VALUE"""),3)</f>
        <v>3</v>
      </c>
      <c r="K1376" s="120">
        <f ca="1">IFERROR(__xludf.DUMMYFUNCTION("""COMPUTED_VALUE"""),47.65)</f>
        <v>47.65</v>
      </c>
      <c r="L1376" s="121"/>
      <c r="M1376" s="120"/>
      <c r="N1376" s="121"/>
      <c r="O1376" s="120"/>
      <c r="P1376" s="122"/>
      <c r="Q1376" s="123"/>
      <c r="R1376" s="123"/>
      <c r="S1376" s="123"/>
      <c r="T1376" s="123"/>
    </row>
    <row r="1377" spans="1:20" ht="13.8">
      <c r="A1377" s="118" t="str">
        <f ca="1">IFERROR(__xludf.DUMMYFUNCTION("""COMPUTED_VALUE"""),"OKM")</f>
        <v>OKM</v>
      </c>
      <c r="B1377" s="119" t="str">
        <f ca="1">IFERROR(__xludf.DUMMYFUNCTION("""COMPUTED_VALUE"""),"Alex Shrieves")</f>
        <v>Alex Shrieves</v>
      </c>
      <c r="C1377" s="118">
        <f ca="1">IFERROR(__xludf.DUMMYFUNCTION("""COMPUTED_VALUE"""),9)</f>
        <v>9</v>
      </c>
      <c r="D1377" s="118" t="str">
        <f ca="1">IFERROR(__xludf.DUMMYFUNCTION("""COMPUTED_VALUE"""),"G")</f>
        <v>G</v>
      </c>
      <c r="E1377" s="118" t="str">
        <f ca="1">IFERROR(__xludf.DUMMYFUNCTION("""COMPUTED_VALUE"""),"F")</f>
        <v>F</v>
      </c>
      <c r="F1377" s="118" t="str">
        <f ca="1">IFERROR(__xludf.DUMMYFUNCTION("""COMPUTED_VALUE"""),"J")</f>
        <v>J</v>
      </c>
      <c r="G1377" s="118">
        <f ca="1">IFERROR(__xludf.DUMMYFUNCTION("""COMPUTED_VALUE"""),1)</f>
        <v>1</v>
      </c>
      <c r="H1377" s="118" t="str">
        <f ca="1">IFERROR(__xludf.DUMMYFUNCTION("""COMPUTED_VALUE"""),"OKM")</f>
        <v>OKM</v>
      </c>
      <c r="I1377" s="118">
        <f ca="1">IFERROR(__xludf.DUMMYFUNCTION("""COMPUTED_VALUE"""),4)</f>
        <v>4</v>
      </c>
      <c r="J1377" s="118">
        <f ca="1">IFERROR(__xludf.DUMMYFUNCTION("""COMPUTED_VALUE"""),4)</f>
        <v>4</v>
      </c>
      <c r="K1377" s="120">
        <f ca="1">IFERROR(__xludf.DUMMYFUNCTION("""COMPUTED_VALUE"""),45.65)</f>
        <v>45.65</v>
      </c>
      <c r="L1377" s="121"/>
      <c r="M1377" s="120">
        <f ca="1">IFERROR(__xludf.DUMMYFUNCTION("""COMPUTED_VALUE"""),45.65)</f>
        <v>45.65</v>
      </c>
      <c r="N1377" s="121"/>
      <c r="O1377" s="120">
        <f ca="1">IFERROR(__xludf.DUMMYFUNCTION("""COMPUTED_VALUE"""),38.75)</f>
        <v>38.75</v>
      </c>
      <c r="P1377" s="122"/>
      <c r="Q1377" s="123"/>
      <c r="R1377" s="123"/>
      <c r="S1377" s="123"/>
      <c r="T1377" s="123"/>
    </row>
    <row r="1378" spans="1:20" ht="13.8">
      <c r="A1378" s="118" t="str">
        <f ca="1">IFERROR(__xludf.DUMMYFUNCTION("""COMPUTED_VALUE"""),"OKM")</f>
        <v>OKM</v>
      </c>
      <c r="B1378" s="119" t="str">
        <f ca="1">IFERROR(__xludf.DUMMYFUNCTION("""COMPUTED_VALUE"""),"Anna Shrieves")</f>
        <v>Anna Shrieves</v>
      </c>
      <c r="C1378" s="118">
        <f ca="1">IFERROR(__xludf.DUMMYFUNCTION("""COMPUTED_VALUE"""),7)</f>
        <v>7</v>
      </c>
      <c r="D1378" s="118" t="str">
        <f ca="1">IFERROR(__xludf.DUMMYFUNCTION("""COMPUTED_VALUE"""),"G")</f>
        <v>G</v>
      </c>
      <c r="E1378" s="118" t="str">
        <f ca="1">IFERROR(__xludf.DUMMYFUNCTION("""COMPUTED_VALUE"""),"F")</f>
        <v>F</v>
      </c>
      <c r="F1378" s="118" t="str">
        <f ca="1">IFERROR(__xludf.DUMMYFUNCTION("""COMPUTED_VALUE"""),"J")</f>
        <v>J</v>
      </c>
      <c r="G1378" s="118">
        <f ca="1">IFERROR(__xludf.DUMMYFUNCTION("""COMPUTED_VALUE"""),1)</f>
        <v>1</v>
      </c>
      <c r="H1378" s="118" t="str">
        <f ca="1">IFERROR(__xludf.DUMMYFUNCTION("""COMPUTED_VALUE"""),"OKM")</f>
        <v>OKM</v>
      </c>
      <c r="I1378" s="118">
        <f ca="1">IFERROR(__xludf.DUMMYFUNCTION("""COMPUTED_VALUE"""),4)</f>
        <v>4</v>
      </c>
      <c r="J1378" s="118">
        <f ca="1">IFERROR(__xludf.DUMMYFUNCTION("""COMPUTED_VALUE"""),4)</f>
        <v>4</v>
      </c>
      <c r="K1378" s="120">
        <f ca="1">IFERROR(__xludf.DUMMYFUNCTION("""COMPUTED_VALUE"""),57.7)</f>
        <v>57.7</v>
      </c>
      <c r="L1378" s="121"/>
      <c r="M1378" s="120">
        <f ca="1">IFERROR(__xludf.DUMMYFUNCTION("""COMPUTED_VALUE"""),57.7)</f>
        <v>57.7</v>
      </c>
      <c r="N1378" s="121"/>
      <c r="O1378" s="120"/>
      <c r="P1378" s="122"/>
      <c r="Q1378" s="123"/>
      <c r="R1378" s="123"/>
      <c r="S1378" s="123"/>
      <c r="T1378" s="123"/>
    </row>
    <row r="1379" spans="1:20" ht="13.8">
      <c r="A1379" s="118" t="str">
        <f ca="1">IFERROR(__xludf.DUMMYFUNCTION("""COMPUTED_VALUE"""),"OKM")</f>
        <v>OKM</v>
      </c>
      <c r="B1379" s="119" t="str">
        <f ca="1">IFERROR(__xludf.DUMMYFUNCTION("""COMPUTED_VALUE"""),"Caroline Null")</f>
        <v>Caroline Null</v>
      </c>
      <c r="C1379" s="118">
        <f ca="1">IFERROR(__xludf.DUMMYFUNCTION("""COMPUTED_VALUE"""),4)</f>
        <v>4</v>
      </c>
      <c r="D1379" s="118" t="str">
        <f ca="1">IFERROR(__xludf.DUMMYFUNCTION("""COMPUTED_VALUE"""),"G")</f>
        <v>G</v>
      </c>
      <c r="E1379" s="118" t="str">
        <f ca="1">IFERROR(__xludf.DUMMYFUNCTION("""COMPUTED_VALUE"""),"F")</f>
        <v>F</v>
      </c>
      <c r="F1379" s="118" t="str">
        <f ca="1">IFERROR(__xludf.DUMMYFUNCTION("""COMPUTED_VALUE"""),"J")</f>
        <v>J</v>
      </c>
      <c r="G1379" s="118">
        <f ca="1">IFERROR(__xludf.DUMMYFUNCTION("""COMPUTED_VALUE"""),1)</f>
        <v>1</v>
      </c>
      <c r="H1379" s="118" t="str">
        <f ca="1">IFERROR(__xludf.DUMMYFUNCTION("""COMPUTED_VALUE"""),"OKM")</f>
        <v>OKM</v>
      </c>
      <c r="I1379" s="118">
        <f ca="1">IFERROR(__xludf.DUMMYFUNCTION("""COMPUTED_VALUE"""),4)</f>
        <v>4</v>
      </c>
      <c r="J1379" s="118">
        <f ca="1">IFERROR(__xludf.DUMMYFUNCTION("""COMPUTED_VALUE"""),3)</f>
        <v>3</v>
      </c>
      <c r="K1379" s="120">
        <f ca="1">IFERROR(__xludf.DUMMYFUNCTION("""COMPUTED_VALUE"""),30.2)</f>
        <v>30.2</v>
      </c>
      <c r="L1379" s="121"/>
      <c r="M1379" s="120"/>
      <c r="N1379" s="121"/>
      <c r="O1379" s="120">
        <f ca="1">IFERROR(__xludf.DUMMYFUNCTION("""COMPUTED_VALUE"""),16.75)</f>
        <v>16.75</v>
      </c>
      <c r="P1379" s="122"/>
      <c r="Q1379" s="123"/>
      <c r="R1379" s="123"/>
      <c r="S1379" s="123"/>
      <c r="T1379" s="123"/>
    </row>
    <row r="1380" spans="1:20" ht="13.8">
      <c r="A1380" s="118" t="str">
        <f ca="1">IFERROR(__xludf.DUMMYFUNCTION("""COMPUTED_VALUE"""),"OKM")</f>
        <v>OKM</v>
      </c>
      <c r="B1380" s="119" t="str">
        <f ca="1">IFERROR(__xludf.DUMMYFUNCTION("""COMPUTED_VALUE"""),"Charlotte Case")</f>
        <v>Charlotte Case</v>
      </c>
      <c r="C1380" s="118">
        <f ca="1">IFERROR(__xludf.DUMMYFUNCTION("""COMPUTED_VALUE"""),6)</f>
        <v>6</v>
      </c>
      <c r="D1380" s="118" t="str">
        <f ca="1">IFERROR(__xludf.DUMMYFUNCTION("""COMPUTED_VALUE"""),"G")</f>
        <v>G</v>
      </c>
      <c r="E1380" s="118" t="str">
        <f ca="1">IFERROR(__xludf.DUMMYFUNCTION("""COMPUTED_VALUE"""),"F")</f>
        <v>F</v>
      </c>
      <c r="F1380" s="118" t="str">
        <f ca="1">IFERROR(__xludf.DUMMYFUNCTION("""COMPUTED_VALUE"""),"J")</f>
        <v>J</v>
      </c>
      <c r="G1380" s="118">
        <f ca="1">IFERROR(__xludf.DUMMYFUNCTION("""COMPUTED_VALUE"""),1)</f>
        <v>1</v>
      </c>
      <c r="H1380" s="118" t="str">
        <f ca="1">IFERROR(__xludf.DUMMYFUNCTION("""COMPUTED_VALUE"""),"OKM")</f>
        <v>OKM</v>
      </c>
      <c r="I1380" s="118">
        <f ca="1">IFERROR(__xludf.DUMMYFUNCTION("""COMPUTED_VALUE"""),4)</f>
        <v>4</v>
      </c>
      <c r="J1380" s="118">
        <f ca="1">IFERROR(__xludf.DUMMYFUNCTION("""COMPUTED_VALUE"""),0)</f>
        <v>0</v>
      </c>
      <c r="K1380" s="120"/>
      <c r="L1380" s="121"/>
      <c r="M1380" s="120"/>
      <c r="N1380" s="121"/>
      <c r="O1380" s="120"/>
      <c r="P1380" s="122"/>
      <c r="Q1380" s="123"/>
      <c r="R1380" s="123"/>
      <c r="S1380" s="123"/>
      <c r="T1380" s="123"/>
    </row>
    <row r="1381" spans="1:20" ht="13.8">
      <c r="A1381" s="118" t="str">
        <f ca="1">IFERROR(__xludf.DUMMYFUNCTION("""COMPUTED_VALUE"""),"OKM")</f>
        <v>OKM</v>
      </c>
      <c r="B1381" s="119" t="str">
        <f ca="1">IFERROR(__xludf.DUMMYFUNCTION("""COMPUTED_VALUE"""),"Elizabeth Abels")</f>
        <v>Elizabeth Abels</v>
      </c>
      <c r="C1381" s="118">
        <f ca="1">IFERROR(__xludf.DUMMYFUNCTION("""COMPUTED_VALUE"""),9)</f>
        <v>9</v>
      </c>
      <c r="D1381" s="118" t="str">
        <f ca="1">IFERROR(__xludf.DUMMYFUNCTION("""COMPUTED_VALUE"""),"G")</f>
        <v>G</v>
      </c>
      <c r="E1381" s="118" t="str">
        <f ca="1">IFERROR(__xludf.DUMMYFUNCTION("""COMPUTED_VALUE"""),"F")</f>
        <v>F</v>
      </c>
      <c r="F1381" s="118" t="str">
        <f ca="1">IFERROR(__xludf.DUMMYFUNCTION("""COMPUTED_VALUE"""),"J")</f>
        <v>J</v>
      </c>
      <c r="G1381" s="118">
        <f ca="1">IFERROR(__xludf.DUMMYFUNCTION("""COMPUTED_VALUE"""),1)</f>
        <v>1</v>
      </c>
      <c r="H1381" s="118" t="str">
        <f ca="1">IFERROR(__xludf.DUMMYFUNCTION("""COMPUTED_VALUE"""),"OKM")</f>
        <v>OKM</v>
      </c>
      <c r="I1381" s="118">
        <f ca="1">IFERROR(__xludf.DUMMYFUNCTION("""COMPUTED_VALUE"""),4)</f>
        <v>4</v>
      </c>
      <c r="J1381" s="118">
        <f ca="1">IFERROR(__xludf.DUMMYFUNCTION("""COMPUTED_VALUE"""),1)</f>
        <v>1</v>
      </c>
      <c r="K1381" s="120">
        <f ca="1">IFERROR(__xludf.DUMMYFUNCTION("""COMPUTED_VALUE"""),40.3)</f>
        <v>40.299999999999997</v>
      </c>
      <c r="L1381" s="121"/>
      <c r="M1381" s="120">
        <f ca="1">IFERROR(__xludf.DUMMYFUNCTION("""COMPUTED_VALUE"""),40.3)</f>
        <v>40.299999999999997</v>
      </c>
      <c r="N1381" s="121"/>
      <c r="O1381" s="120"/>
      <c r="P1381" s="122"/>
      <c r="Q1381" s="123"/>
      <c r="R1381" s="123"/>
      <c r="S1381" s="123"/>
      <c r="T1381" s="123"/>
    </row>
    <row r="1382" spans="1:20" ht="13.8">
      <c r="A1382" s="118" t="str">
        <f ca="1">IFERROR(__xludf.DUMMYFUNCTION("""COMPUTED_VALUE"""),"OKM")</f>
        <v>OKM</v>
      </c>
      <c r="B1382" s="119" t="str">
        <f ca="1">IFERROR(__xludf.DUMMYFUNCTION("""COMPUTED_VALUE"""),"Harper Fried")</f>
        <v>Harper Fried</v>
      </c>
      <c r="C1382" s="118">
        <f ca="1">IFERROR(__xludf.DUMMYFUNCTION("""COMPUTED_VALUE"""),7)</f>
        <v>7</v>
      </c>
      <c r="D1382" s="118" t="str">
        <f ca="1">IFERROR(__xludf.DUMMYFUNCTION("""COMPUTED_VALUE"""),"G")</f>
        <v>G</v>
      </c>
      <c r="E1382" s="118" t="str">
        <f ca="1">IFERROR(__xludf.DUMMYFUNCTION("""COMPUTED_VALUE"""),"F")</f>
        <v>F</v>
      </c>
      <c r="F1382" s="118" t="str">
        <f ca="1">IFERROR(__xludf.DUMMYFUNCTION("""COMPUTED_VALUE"""),"J")</f>
        <v>J</v>
      </c>
      <c r="G1382" s="118">
        <f ca="1">IFERROR(__xludf.DUMMYFUNCTION("""COMPUTED_VALUE"""),1)</f>
        <v>1</v>
      </c>
      <c r="H1382" s="118" t="str">
        <f ca="1">IFERROR(__xludf.DUMMYFUNCTION("""COMPUTED_VALUE"""),"OKM")</f>
        <v>OKM</v>
      </c>
      <c r="I1382" s="118">
        <f ca="1">IFERROR(__xludf.DUMMYFUNCTION("""COMPUTED_VALUE"""),4)</f>
        <v>4</v>
      </c>
      <c r="J1382" s="118">
        <f ca="1">IFERROR(__xludf.DUMMYFUNCTION("""COMPUTED_VALUE"""),1)</f>
        <v>1</v>
      </c>
      <c r="K1382" s="120">
        <f ca="1">IFERROR(__xludf.DUMMYFUNCTION("""COMPUTED_VALUE"""),30.4)</f>
        <v>30.4</v>
      </c>
      <c r="L1382" s="121"/>
      <c r="M1382" s="120">
        <f ca="1">IFERROR(__xludf.DUMMYFUNCTION("""COMPUTED_VALUE"""),30.4)</f>
        <v>30.4</v>
      </c>
      <c r="N1382" s="121"/>
      <c r="O1382" s="120"/>
      <c r="P1382" s="122"/>
      <c r="Q1382" s="123"/>
      <c r="R1382" s="123"/>
      <c r="S1382" s="123"/>
      <c r="T1382" s="123"/>
    </row>
    <row r="1383" spans="1:20" ht="13.8">
      <c r="A1383" s="118" t="str">
        <f ca="1">IFERROR(__xludf.DUMMYFUNCTION("""COMPUTED_VALUE"""),"OKM")</f>
        <v>OKM</v>
      </c>
      <c r="B1383" s="119" t="str">
        <f ca="1">IFERROR(__xludf.DUMMYFUNCTION("""COMPUTED_VALUE"""),"Isla-Kate Reese")</f>
        <v>Isla-Kate Reese</v>
      </c>
      <c r="C1383" s="118">
        <f ca="1">IFERROR(__xludf.DUMMYFUNCTION("""COMPUTED_VALUE"""),9)</f>
        <v>9</v>
      </c>
      <c r="D1383" s="118" t="str">
        <f ca="1">IFERROR(__xludf.DUMMYFUNCTION("""COMPUTED_VALUE"""),"G")</f>
        <v>G</v>
      </c>
      <c r="E1383" s="118" t="str">
        <f ca="1">IFERROR(__xludf.DUMMYFUNCTION("""COMPUTED_VALUE"""),"F")</f>
        <v>F</v>
      </c>
      <c r="F1383" s="118" t="str">
        <f ca="1">IFERROR(__xludf.DUMMYFUNCTION("""COMPUTED_VALUE"""),"J")</f>
        <v>J</v>
      </c>
      <c r="G1383" s="118">
        <f ca="1">IFERROR(__xludf.DUMMYFUNCTION("""COMPUTED_VALUE"""),1)</f>
        <v>1</v>
      </c>
      <c r="H1383" s="118" t="str">
        <f ca="1">IFERROR(__xludf.DUMMYFUNCTION("""COMPUTED_VALUE"""),"OKM")</f>
        <v>OKM</v>
      </c>
      <c r="I1383" s="118">
        <f ca="1">IFERROR(__xludf.DUMMYFUNCTION("""COMPUTED_VALUE"""),4)</f>
        <v>4</v>
      </c>
      <c r="J1383" s="118">
        <f ca="1">IFERROR(__xludf.DUMMYFUNCTION("""COMPUTED_VALUE"""),4)</f>
        <v>4</v>
      </c>
      <c r="K1383" s="120">
        <f ca="1">IFERROR(__xludf.DUMMYFUNCTION("""COMPUTED_VALUE"""),59.45)</f>
        <v>59.45</v>
      </c>
      <c r="L1383" s="121"/>
      <c r="M1383" s="120">
        <f ca="1">IFERROR(__xludf.DUMMYFUNCTION("""COMPUTED_VALUE"""),57.15)</f>
        <v>57.15</v>
      </c>
      <c r="N1383" s="121"/>
      <c r="O1383" s="120">
        <f ca="1">IFERROR(__xludf.DUMMYFUNCTION("""COMPUTED_VALUE"""),58.05)</f>
        <v>58.05</v>
      </c>
      <c r="P1383" s="122"/>
      <c r="Q1383" s="123"/>
      <c r="R1383" s="123"/>
      <c r="S1383" s="123"/>
      <c r="T1383" s="123"/>
    </row>
    <row r="1384" spans="1:20" ht="13.8">
      <c r="A1384" s="118" t="str">
        <f ca="1">IFERROR(__xludf.DUMMYFUNCTION("""COMPUTED_VALUE"""),"OKM")</f>
        <v>OKM</v>
      </c>
      <c r="B1384" s="119" t="str">
        <f ca="1">IFERROR(__xludf.DUMMYFUNCTION("""COMPUTED_VALUE"""),"Johanna Thoms")</f>
        <v>Johanna Thoms</v>
      </c>
      <c r="C1384" s="118">
        <f ca="1">IFERROR(__xludf.DUMMYFUNCTION("""COMPUTED_VALUE"""),10)</f>
        <v>10</v>
      </c>
      <c r="D1384" s="118" t="str">
        <f ca="1">IFERROR(__xludf.DUMMYFUNCTION("""COMPUTED_VALUE"""),"G")</f>
        <v>G</v>
      </c>
      <c r="E1384" s="118" t="str">
        <f ca="1">IFERROR(__xludf.DUMMYFUNCTION("""COMPUTED_VALUE"""),"F")</f>
        <v>F</v>
      </c>
      <c r="F1384" s="118" t="str">
        <f ca="1">IFERROR(__xludf.DUMMYFUNCTION("""COMPUTED_VALUE"""),"J")</f>
        <v>J</v>
      </c>
      <c r="G1384" s="118">
        <f ca="1">IFERROR(__xludf.DUMMYFUNCTION("""COMPUTED_VALUE"""),1)</f>
        <v>1</v>
      </c>
      <c r="H1384" s="118" t="str">
        <f ca="1">IFERROR(__xludf.DUMMYFUNCTION("""COMPUTED_VALUE"""),"OKM")</f>
        <v>OKM</v>
      </c>
      <c r="I1384" s="118">
        <f ca="1">IFERROR(__xludf.DUMMYFUNCTION("""COMPUTED_VALUE"""),4)</f>
        <v>4</v>
      </c>
      <c r="J1384" s="118">
        <f ca="1">IFERROR(__xludf.DUMMYFUNCTION("""COMPUTED_VALUE"""),3)</f>
        <v>3</v>
      </c>
      <c r="K1384" s="120">
        <f ca="1">IFERROR(__xludf.DUMMYFUNCTION("""COMPUTED_VALUE"""),47.25)</f>
        <v>47.25</v>
      </c>
      <c r="L1384" s="121"/>
      <c r="M1384" s="120">
        <f ca="1">IFERROR(__xludf.DUMMYFUNCTION("""COMPUTED_VALUE"""),47.25)</f>
        <v>47.25</v>
      </c>
      <c r="N1384" s="121"/>
      <c r="O1384" s="120">
        <f ca="1">IFERROR(__xludf.DUMMYFUNCTION("""COMPUTED_VALUE"""),40.95)</f>
        <v>40.950000000000003</v>
      </c>
      <c r="P1384" s="122"/>
      <c r="Q1384" s="123"/>
      <c r="R1384" s="123"/>
      <c r="S1384" s="123"/>
      <c r="T1384" s="123"/>
    </row>
    <row r="1385" spans="1:20" ht="13.8">
      <c r="A1385" s="118" t="str">
        <f ca="1">IFERROR(__xludf.DUMMYFUNCTION("""COMPUTED_VALUE"""),"OKM")</f>
        <v>OKM</v>
      </c>
      <c r="B1385" s="119" t="str">
        <f ca="1">IFERROR(__xludf.DUMMYFUNCTION("""COMPUTED_VALUE"""),"Kacey Duke")</f>
        <v>Kacey Duke</v>
      </c>
      <c r="C1385" s="118">
        <f ca="1">IFERROR(__xludf.DUMMYFUNCTION("""COMPUTED_VALUE"""),7)</f>
        <v>7</v>
      </c>
      <c r="D1385" s="118" t="str">
        <f ca="1">IFERROR(__xludf.DUMMYFUNCTION("""COMPUTED_VALUE"""),"G")</f>
        <v>G</v>
      </c>
      <c r="E1385" s="118" t="str">
        <f ca="1">IFERROR(__xludf.DUMMYFUNCTION("""COMPUTED_VALUE"""),"F")</f>
        <v>F</v>
      </c>
      <c r="F1385" s="118" t="str">
        <f ca="1">IFERROR(__xludf.DUMMYFUNCTION("""COMPUTED_VALUE"""),"J")</f>
        <v>J</v>
      </c>
      <c r="G1385" s="118">
        <f ca="1">IFERROR(__xludf.DUMMYFUNCTION("""COMPUTED_VALUE"""),1)</f>
        <v>1</v>
      </c>
      <c r="H1385" s="118" t="str">
        <f ca="1">IFERROR(__xludf.DUMMYFUNCTION("""COMPUTED_VALUE"""),"OKM")</f>
        <v>OKM</v>
      </c>
      <c r="I1385" s="118">
        <f ca="1">IFERROR(__xludf.DUMMYFUNCTION("""COMPUTED_VALUE"""),4)</f>
        <v>4</v>
      </c>
      <c r="J1385" s="118">
        <f ca="1">IFERROR(__xludf.DUMMYFUNCTION("""COMPUTED_VALUE"""),1)</f>
        <v>1</v>
      </c>
      <c r="K1385" s="120"/>
      <c r="L1385" s="121"/>
      <c r="M1385" s="120"/>
      <c r="N1385" s="121"/>
      <c r="O1385" s="120"/>
      <c r="P1385" s="122"/>
      <c r="Q1385" s="123"/>
      <c r="R1385" s="123"/>
      <c r="S1385" s="123"/>
      <c r="T1385" s="123"/>
    </row>
    <row r="1386" spans="1:20" ht="13.8">
      <c r="A1386" s="118" t="str">
        <f ca="1">IFERROR(__xludf.DUMMYFUNCTION("""COMPUTED_VALUE"""),"OKM")</f>
        <v>OKM</v>
      </c>
      <c r="B1386" s="119" t="str">
        <f ca="1">IFERROR(__xludf.DUMMYFUNCTION("""COMPUTED_VALUE"""),"Kiki Smythe")</f>
        <v>Kiki Smythe</v>
      </c>
      <c r="C1386" s="118">
        <f ca="1">IFERROR(__xludf.DUMMYFUNCTION("""COMPUTED_VALUE"""),9)</f>
        <v>9</v>
      </c>
      <c r="D1386" s="118" t="str">
        <f ca="1">IFERROR(__xludf.DUMMYFUNCTION("""COMPUTED_VALUE"""),"G")</f>
        <v>G</v>
      </c>
      <c r="E1386" s="118" t="str">
        <f ca="1">IFERROR(__xludf.DUMMYFUNCTION("""COMPUTED_VALUE"""),"F")</f>
        <v>F</v>
      </c>
      <c r="F1386" s="118" t="str">
        <f ca="1">IFERROR(__xludf.DUMMYFUNCTION("""COMPUTED_VALUE"""),"J")</f>
        <v>J</v>
      </c>
      <c r="G1386" s="118">
        <f ca="1">IFERROR(__xludf.DUMMYFUNCTION("""COMPUTED_VALUE"""),1)</f>
        <v>1</v>
      </c>
      <c r="H1386" s="118" t="str">
        <f ca="1">IFERROR(__xludf.DUMMYFUNCTION("""COMPUTED_VALUE"""),"OKM")</f>
        <v>OKM</v>
      </c>
      <c r="I1386" s="118">
        <f ca="1">IFERROR(__xludf.DUMMYFUNCTION("""COMPUTED_VALUE"""),4)</f>
        <v>4</v>
      </c>
      <c r="J1386" s="118">
        <f ca="1">IFERROR(__xludf.DUMMYFUNCTION("""COMPUTED_VALUE"""),3)</f>
        <v>3</v>
      </c>
      <c r="K1386" s="120">
        <f ca="1">IFERROR(__xludf.DUMMYFUNCTION("""COMPUTED_VALUE"""),59.6)</f>
        <v>59.6</v>
      </c>
      <c r="L1386" s="121"/>
      <c r="M1386" s="120"/>
      <c r="N1386" s="121"/>
      <c r="O1386" s="120">
        <f ca="1">IFERROR(__xludf.DUMMYFUNCTION("""COMPUTED_VALUE"""),51.05)</f>
        <v>51.05</v>
      </c>
      <c r="P1386" s="122"/>
      <c r="Q1386" s="123"/>
      <c r="R1386" s="123"/>
      <c r="S1386" s="123"/>
      <c r="T1386" s="123"/>
    </row>
    <row r="1387" spans="1:20" ht="13.8">
      <c r="A1387" s="118" t="str">
        <f ca="1">IFERROR(__xludf.DUMMYFUNCTION("""COMPUTED_VALUE"""),"OKM")</f>
        <v>OKM</v>
      </c>
      <c r="B1387" s="119" t="str">
        <f ca="1">IFERROR(__xludf.DUMMYFUNCTION("""COMPUTED_VALUE"""),"Magnolia Kojm")</f>
        <v>Magnolia Kojm</v>
      </c>
      <c r="C1387" s="118">
        <f ca="1">IFERROR(__xludf.DUMMYFUNCTION("""COMPUTED_VALUE"""),5)</f>
        <v>5</v>
      </c>
      <c r="D1387" s="118" t="str">
        <f ca="1">IFERROR(__xludf.DUMMYFUNCTION("""COMPUTED_VALUE"""),"G")</f>
        <v>G</v>
      </c>
      <c r="E1387" s="118" t="str">
        <f ca="1">IFERROR(__xludf.DUMMYFUNCTION("""COMPUTED_VALUE"""),"F")</f>
        <v>F</v>
      </c>
      <c r="F1387" s="118" t="str">
        <f ca="1">IFERROR(__xludf.DUMMYFUNCTION("""COMPUTED_VALUE"""),"J")</f>
        <v>J</v>
      </c>
      <c r="G1387" s="118">
        <f ca="1">IFERROR(__xludf.DUMMYFUNCTION("""COMPUTED_VALUE"""),1)</f>
        <v>1</v>
      </c>
      <c r="H1387" s="118" t="str">
        <f ca="1">IFERROR(__xludf.DUMMYFUNCTION("""COMPUTED_VALUE"""),"OKM")</f>
        <v>OKM</v>
      </c>
      <c r="I1387" s="118">
        <f ca="1">IFERROR(__xludf.DUMMYFUNCTION("""COMPUTED_VALUE"""),4)</f>
        <v>4</v>
      </c>
      <c r="J1387" s="118">
        <f ca="1">IFERROR(__xludf.DUMMYFUNCTION("""COMPUTED_VALUE"""),0)</f>
        <v>0</v>
      </c>
      <c r="K1387" s="120"/>
      <c r="L1387" s="121"/>
      <c r="M1387" s="120"/>
      <c r="N1387" s="121"/>
      <c r="O1387" s="120"/>
      <c r="P1387" s="122"/>
      <c r="Q1387" s="123"/>
      <c r="R1387" s="123"/>
      <c r="S1387" s="123"/>
      <c r="T1387" s="123"/>
    </row>
    <row r="1388" spans="1:20" ht="13.8">
      <c r="A1388" s="118" t="str">
        <f ca="1">IFERROR(__xludf.DUMMYFUNCTION("""COMPUTED_VALUE"""),"OKM")</f>
        <v>OKM</v>
      </c>
      <c r="B1388" s="119" t="str">
        <f ca="1">IFERROR(__xludf.DUMMYFUNCTION("""COMPUTED_VALUE"""),"Mallory Brown")</f>
        <v>Mallory Brown</v>
      </c>
      <c r="C1388" s="118">
        <f ca="1">IFERROR(__xludf.DUMMYFUNCTION("""COMPUTED_VALUE"""),10)</f>
        <v>10</v>
      </c>
      <c r="D1388" s="118" t="str">
        <f ca="1">IFERROR(__xludf.DUMMYFUNCTION("""COMPUTED_VALUE"""),"G")</f>
        <v>G</v>
      </c>
      <c r="E1388" s="118" t="str">
        <f ca="1">IFERROR(__xludf.DUMMYFUNCTION("""COMPUTED_VALUE"""),"F")</f>
        <v>F</v>
      </c>
      <c r="F1388" s="118" t="str">
        <f ca="1">IFERROR(__xludf.DUMMYFUNCTION("""COMPUTED_VALUE"""),"J")</f>
        <v>J</v>
      </c>
      <c r="G1388" s="118">
        <f ca="1">IFERROR(__xludf.DUMMYFUNCTION("""COMPUTED_VALUE"""),1)</f>
        <v>1</v>
      </c>
      <c r="H1388" s="118" t="str">
        <f ca="1">IFERROR(__xludf.DUMMYFUNCTION("""COMPUTED_VALUE"""),"OKM")</f>
        <v>OKM</v>
      </c>
      <c r="I1388" s="118">
        <f ca="1">IFERROR(__xludf.DUMMYFUNCTION("""COMPUTED_VALUE"""),4)</f>
        <v>4</v>
      </c>
      <c r="J1388" s="118">
        <f ca="1">IFERROR(__xludf.DUMMYFUNCTION("""COMPUTED_VALUE"""),4)</f>
        <v>4</v>
      </c>
      <c r="K1388" s="120">
        <f ca="1">IFERROR(__xludf.DUMMYFUNCTION("""COMPUTED_VALUE"""),69.2)</f>
        <v>69.2</v>
      </c>
      <c r="L1388" s="121"/>
      <c r="M1388" s="120">
        <f ca="1">IFERROR(__xludf.DUMMYFUNCTION("""COMPUTED_VALUE"""),-92.35)</f>
        <v>-92.35</v>
      </c>
      <c r="N1388" s="121"/>
      <c r="O1388" s="120">
        <f ca="1">IFERROR(__xludf.DUMMYFUNCTION("""COMPUTED_VALUE"""),-98.9)</f>
        <v>-98.9</v>
      </c>
      <c r="P1388" s="122"/>
      <c r="Q1388" s="123"/>
      <c r="R1388" s="123"/>
      <c r="S1388" s="123"/>
      <c r="T1388" s="123"/>
    </row>
    <row r="1389" spans="1:20" ht="13.8">
      <c r="A1389" s="118" t="str">
        <f ca="1">IFERROR(__xludf.DUMMYFUNCTION("""COMPUTED_VALUE"""),"OKM")</f>
        <v>OKM</v>
      </c>
      <c r="B1389" s="119" t="str">
        <f ca="1">IFERROR(__xludf.DUMMYFUNCTION("""COMPUTED_VALUE"""),"Nyah Smith")</f>
        <v>Nyah Smith</v>
      </c>
      <c r="C1389" s="118">
        <f ca="1">IFERROR(__xludf.DUMMYFUNCTION("""COMPUTED_VALUE"""),10)</f>
        <v>10</v>
      </c>
      <c r="D1389" s="118" t="str">
        <f ca="1">IFERROR(__xludf.DUMMYFUNCTION("""COMPUTED_VALUE"""),"G")</f>
        <v>G</v>
      </c>
      <c r="E1389" s="118" t="str">
        <f ca="1">IFERROR(__xludf.DUMMYFUNCTION("""COMPUTED_VALUE"""),"F")</f>
        <v>F</v>
      </c>
      <c r="F1389" s="118" t="str">
        <f ca="1">IFERROR(__xludf.DUMMYFUNCTION("""COMPUTED_VALUE"""),"J")</f>
        <v>J</v>
      </c>
      <c r="G1389" s="118">
        <f ca="1">IFERROR(__xludf.DUMMYFUNCTION("""COMPUTED_VALUE"""),1)</f>
        <v>1</v>
      </c>
      <c r="H1389" s="118" t="str">
        <f ca="1">IFERROR(__xludf.DUMMYFUNCTION("""COMPUTED_VALUE"""),"OKM")</f>
        <v>OKM</v>
      </c>
      <c r="I1389" s="118">
        <f ca="1">IFERROR(__xludf.DUMMYFUNCTION("""COMPUTED_VALUE"""),4)</f>
        <v>4</v>
      </c>
      <c r="J1389" s="118">
        <f ca="1">IFERROR(__xludf.DUMMYFUNCTION("""COMPUTED_VALUE"""),4)</f>
        <v>4</v>
      </c>
      <c r="K1389" s="120">
        <f ca="1">IFERROR(__xludf.DUMMYFUNCTION("""COMPUTED_VALUE"""),52.15)</f>
        <v>52.15</v>
      </c>
      <c r="L1389" s="121"/>
      <c r="M1389" s="120">
        <f ca="1">IFERROR(__xludf.DUMMYFUNCTION("""COMPUTED_VALUE"""),52.15)</f>
        <v>52.15</v>
      </c>
      <c r="N1389" s="121"/>
      <c r="O1389" s="120">
        <f ca="1">IFERROR(__xludf.DUMMYFUNCTION("""COMPUTED_VALUE"""),33.6)</f>
        <v>33.6</v>
      </c>
      <c r="P1389" s="122"/>
      <c r="Q1389" s="123"/>
      <c r="R1389" s="123"/>
      <c r="S1389" s="123"/>
      <c r="T1389" s="123"/>
    </row>
    <row r="1390" spans="1:20" ht="13.8">
      <c r="A1390" s="118" t="str">
        <f ca="1">IFERROR(__xludf.DUMMYFUNCTION("""COMPUTED_VALUE"""),"OKM")</f>
        <v>OKM</v>
      </c>
      <c r="B1390" s="119" t="str">
        <f ca="1">IFERROR(__xludf.DUMMYFUNCTION("""COMPUTED_VALUE"""),"Quinn Thomas")</f>
        <v>Quinn Thomas</v>
      </c>
      <c r="C1390" s="118">
        <f ca="1">IFERROR(__xludf.DUMMYFUNCTION("""COMPUTED_VALUE"""),10)</f>
        <v>10</v>
      </c>
      <c r="D1390" s="118" t="str">
        <f ca="1">IFERROR(__xludf.DUMMYFUNCTION("""COMPUTED_VALUE"""),"G")</f>
        <v>G</v>
      </c>
      <c r="E1390" s="118" t="str">
        <f ca="1">IFERROR(__xludf.DUMMYFUNCTION("""COMPUTED_VALUE"""),"F")</f>
        <v>F</v>
      </c>
      <c r="F1390" s="118" t="str">
        <f ca="1">IFERROR(__xludf.DUMMYFUNCTION("""COMPUTED_VALUE"""),"J")</f>
        <v>J</v>
      </c>
      <c r="G1390" s="118">
        <f ca="1">IFERROR(__xludf.DUMMYFUNCTION("""COMPUTED_VALUE"""),1)</f>
        <v>1</v>
      </c>
      <c r="H1390" s="118" t="str">
        <f ca="1">IFERROR(__xludf.DUMMYFUNCTION("""COMPUTED_VALUE"""),"OKM")</f>
        <v>OKM</v>
      </c>
      <c r="I1390" s="118">
        <f ca="1">IFERROR(__xludf.DUMMYFUNCTION("""COMPUTED_VALUE"""),4)</f>
        <v>4</v>
      </c>
      <c r="J1390" s="118">
        <f ca="1">IFERROR(__xludf.DUMMYFUNCTION("""COMPUTED_VALUE"""),3)</f>
        <v>3</v>
      </c>
      <c r="K1390" s="120">
        <f ca="1">IFERROR(__xludf.DUMMYFUNCTION("""COMPUTED_VALUE"""),54.35)</f>
        <v>54.35</v>
      </c>
      <c r="L1390" s="121"/>
      <c r="M1390" s="120">
        <f ca="1">IFERROR(__xludf.DUMMYFUNCTION("""COMPUTED_VALUE"""),54.35)</f>
        <v>54.35</v>
      </c>
      <c r="N1390" s="121"/>
      <c r="O1390" s="120">
        <f ca="1">IFERROR(__xludf.DUMMYFUNCTION("""COMPUTED_VALUE"""),52.1)</f>
        <v>52.1</v>
      </c>
      <c r="P1390" s="122"/>
      <c r="Q1390" s="123"/>
      <c r="R1390" s="123"/>
      <c r="S1390" s="123"/>
      <c r="T1390" s="123"/>
    </row>
    <row r="1391" spans="1:20" ht="13.8">
      <c r="A1391" s="118" t="str">
        <f ca="1">IFERROR(__xludf.DUMMYFUNCTION("""COMPUTED_VALUE"""),"OKM")</f>
        <v>OKM</v>
      </c>
      <c r="B1391" s="119" t="str">
        <f ca="1">IFERROR(__xludf.DUMMYFUNCTION("""COMPUTED_VALUE"""),"Quinn Warner")</f>
        <v>Quinn Warner</v>
      </c>
      <c r="C1391" s="118">
        <f ca="1">IFERROR(__xludf.DUMMYFUNCTION("""COMPUTED_VALUE"""),8)</f>
        <v>8</v>
      </c>
      <c r="D1391" s="118" t="str">
        <f ca="1">IFERROR(__xludf.DUMMYFUNCTION("""COMPUTED_VALUE"""),"G")</f>
        <v>G</v>
      </c>
      <c r="E1391" s="118" t="str">
        <f ca="1">IFERROR(__xludf.DUMMYFUNCTION("""COMPUTED_VALUE"""),"F")</f>
        <v>F</v>
      </c>
      <c r="F1391" s="118" t="str">
        <f ca="1">IFERROR(__xludf.DUMMYFUNCTION("""COMPUTED_VALUE"""),"J")</f>
        <v>J</v>
      </c>
      <c r="G1391" s="118">
        <f ca="1">IFERROR(__xludf.DUMMYFUNCTION("""COMPUTED_VALUE"""),1)</f>
        <v>1</v>
      </c>
      <c r="H1391" s="118" t="str">
        <f ca="1">IFERROR(__xludf.DUMMYFUNCTION("""COMPUTED_VALUE"""),"OKM")</f>
        <v>OKM</v>
      </c>
      <c r="I1391" s="118">
        <f ca="1">IFERROR(__xludf.DUMMYFUNCTION("""COMPUTED_VALUE"""),4)</f>
        <v>4</v>
      </c>
      <c r="J1391" s="118">
        <f ca="1">IFERROR(__xludf.DUMMYFUNCTION("""COMPUTED_VALUE"""),2)</f>
        <v>2</v>
      </c>
      <c r="K1391" s="120">
        <f ca="1">IFERROR(__xludf.DUMMYFUNCTION("""COMPUTED_VALUE"""),34.1)</f>
        <v>34.1</v>
      </c>
      <c r="L1391" s="121"/>
      <c r="M1391" s="120"/>
      <c r="N1391" s="121"/>
      <c r="O1391" s="120"/>
      <c r="P1391" s="122"/>
      <c r="Q1391" s="123"/>
      <c r="R1391" s="123"/>
      <c r="S1391" s="123"/>
      <c r="T1391" s="123"/>
    </row>
    <row r="1392" spans="1:20" ht="13.8">
      <c r="A1392" s="118" t="str">
        <f ca="1">IFERROR(__xludf.DUMMYFUNCTION("""COMPUTED_VALUE"""),"OKM")</f>
        <v>OKM</v>
      </c>
      <c r="B1392" s="119" t="str">
        <f ca="1">IFERROR(__xludf.DUMMYFUNCTION("""COMPUTED_VALUE"""),"Riley Randall")</f>
        <v>Riley Randall</v>
      </c>
      <c r="C1392" s="118">
        <f ca="1">IFERROR(__xludf.DUMMYFUNCTION("""COMPUTED_VALUE"""),10)</f>
        <v>10</v>
      </c>
      <c r="D1392" s="118" t="str">
        <f ca="1">IFERROR(__xludf.DUMMYFUNCTION("""COMPUTED_VALUE"""),"G")</f>
        <v>G</v>
      </c>
      <c r="E1392" s="118" t="str">
        <f ca="1">IFERROR(__xludf.DUMMYFUNCTION("""COMPUTED_VALUE"""),"F")</f>
        <v>F</v>
      </c>
      <c r="F1392" s="118" t="str">
        <f ca="1">IFERROR(__xludf.DUMMYFUNCTION("""COMPUTED_VALUE"""),"J")</f>
        <v>J</v>
      </c>
      <c r="G1392" s="118">
        <f ca="1">IFERROR(__xludf.DUMMYFUNCTION("""COMPUTED_VALUE"""),1)</f>
        <v>1</v>
      </c>
      <c r="H1392" s="118" t="str">
        <f ca="1">IFERROR(__xludf.DUMMYFUNCTION("""COMPUTED_VALUE"""),"OKM")</f>
        <v>OKM</v>
      </c>
      <c r="I1392" s="118">
        <f ca="1">IFERROR(__xludf.DUMMYFUNCTION("""COMPUTED_VALUE"""),4)</f>
        <v>4</v>
      </c>
      <c r="J1392" s="118">
        <f ca="1">IFERROR(__xludf.DUMMYFUNCTION("""COMPUTED_VALUE"""),1)</f>
        <v>1</v>
      </c>
      <c r="K1392" s="120">
        <f ca="1">IFERROR(__xludf.DUMMYFUNCTION("""COMPUTED_VALUE"""),40.9)</f>
        <v>40.9</v>
      </c>
      <c r="L1392" s="121"/>
      <c r="M1392" s="120"/>
      <c r="N1392" s="121"/>
      <c r="O1392" s="120"/>
      <c r="P1392" s="122"/>
      <c r="Q1392" s="123"/>
      <c r="R1392" s="123"/>
      <c r="S1392" s="123"/>
      <c r="T1392" s="123"/>
    </row>
    <row r="1393" spans="1:20" ht="13.8">
      <c r="A1393" s="118" t="str">
        <f ca="1">IFERROR(__xludf.DUMMYFUNCTION("""COMPUTED_VALUE"""),"OKM")</f>
        <v>OKM</v>
      </c>
      <c r="B1393" s="119" t="str">
        <f ca="1">IFERROR(__xludf.DUMMYFUNCTION("""COMPUTED_VALUE"""),"Sunny Smythe")</f>
        <v>Sunny Smythe</v>
      </c>
      <c r="C1393" s="118">
        <f ca="1">IFERROR(__xludf.DUMMYFUNCTION("""COMPUTED_VALUE"""),7)</f>
        <v>7</v>
      </c>
      <c r="D1393" s="118" t="str">
        <f ca="1">IFERROR(__xludf.DUMMYFUNCTION("""COMPUTED_VALUE"""),"G")</f>
        <v>G</v>
      </c>
      <c r="E1393" s="118" t="str">
        <f ca="1">IFERROR(__xludf.DUMMYFUNCTION("""COMPUTED_VALUE"""),"F")</f>
        <v>F</v>
      </c>
      <c r="F1393" s="118" t="str">
        <f ca="1">IFERROR(__xludf.DUMMYFUNCTION("""COMPUTED_VALUE"""),"J")</f>
        <v>J</v>
      </c>
      <c r="G1393" s="118">
        <f ca="1">IFERROR(__xludf.DUMMYFUNCTION("""COMPUTED_VALUE"""),1)</f>
        <v>1</v>
      </c>
      <c r="H1393" s="118" t="str">
        <f ca="1">IFERROR(__xludf.DUMMYFUNCTION("""COMPUTED_VALUE"""),"OKM")</f>
        <v>OKM</v>
      </c>
      <c r="I1393" s="118">
        <f ca="1">IFERROR(__xludf.DUMMYFUNCTION("""COMPUTED_VALUE"""),4)</f>
        <v>4</v>
      </c>
      <c r="J1393" s="118">
        <f ca="1">IFERROR(__xludf.DUMMYFUNCTION("""COMPUTED_VALUE"""),1)</f>
        <v>1</v>
      </c>
      <c r="K1393" s="120">
        <f ca="1">IFERROR(__xludf.DUMMYFUNCTION("""COMPUTED_VALUE"""),32.45)</f>
        <v>32.450000000000003</v>
      </c>
      <c r="L1393" s="121"/>
      <c r="M1393" s="120"/>
      <c r="N1393" s="121"/>
      <c r="O1393" s="120"/>
      <c r="P1393" s="122"/>
      <c r="Q1393" s="123"/>
      <c r="R1393" s="123"/>
      <c r="S1393" s="123"/>
      <c r="T1393" s="123"/>
    </row>
    <row r="1394" spans="1:20" ht="13.8">
      <c r="A1394" s="118" t="str">
        <f ca="1">IFERROR(__xludf.DUMMYFUNCTION("""COMPUTED_VALUE"""),"OKM")</f>
        <v>OKM</v>
      </c>
      <c r="B1394" s="119" t="str">
        <f ca="1">IFERROR(__xludf.DUMMYFUNCTION("""COMPUTED_VALUE"""),"Andrew Werlinger")</f>
        <v>Andrew Werlinger</v>
      </c>
      <c r="C1394" s="118">
        <f ca="1">IFERROR(__xludf.DUMMYFUNCTION("""COMPUTED_VALUE"""),7)</f>
        <v>7</v>
      </c>
      <c r="D1394" s="118" t="str">
        <f ca="1">IFERROR(__xludf.DUMMYFUNCTION("""COMPUTED_VALUE"""),"B")</f>
        <v>B</v>
      </c>
      <c r="E1394" s="118" t="str">
        <f ca="1">IFERROR(__xludf.DUMMYFUNCTION("""COMPUTED_VALUE"""),"F")</f>
        <v>F</v>
      </c>
      <c r="F1394" s="118" t="str">
        <f ca="1">IFERROR(__xludf.DUMMYFUNCTION("""COMPUTED_VALUE"""),"J")</f>
        <v>J</v>
      </c>
      <c r="G1394" s="118">
        <f ca="1">IFERROR(__xludf.DUMMYFUNCTION("""COMPUTED_VALUE"""),1)</f>
        <v>1</v>
      </c>
      <c r="H1394" s="118" t="str">
        <f ca="1">IFERROR(__xludf.DUMMYFUNCTION("""COMPUTED_VALUE"""),"OKM")</f>
        <v>OKM</v>
      </c>
      <c r="I1394" s="118">
        <f ca="1">IFERROR(__xludf.DUMMYFUNCTION("""COMPUTED_VALUE"""),5)</f>
        <v>5</v>
      </c>
      <c r="J1394" s="118">
        <f ca="1">IFERROR(__xludf.DUMMYFUNCTION("""COMPUTED_VALUE"""),3)</f>
        <v>3</v>
      </c>
      <c r="K1394" s="120">
        <f ca="1">IFERROR(__xludf.DUMMYFUNCTION("""COMPUTED_VALUE"""),33.55)</f>
        <v>33.549999999999997</v>
      </c>
      <c r="L1394" s="121"/>
      <c r="M1394" s="120">
        <f ca="1">IFERROR(__xludf.DUMMYFUNCTION("""COMPUTED_VALUE"""),25.6)</f>
        <v>25.6</v>
      </c>
      <c r="N1394" s="121"/>
      <c r="O1394" s="120"/>
      <c r="P1394" s="122"/>
      <c r="Q1394" s="123"/>
      <c r="R1394" s="123"/>
      <c r="S1394" s="123"/>
      <c r="T1394" s="123"/>
    </row>
    <row r="1395" spans="1:20" ht="13.8">
      <c r="A1395" s="118" t="str">
        <f ca="1">IFERROR(__xludf.DUMMYFUNCTION("""COMPUTED_VALUE"""),"OKM")</f>
        <v>OKM</v>
      </c>
      <c r="B1395" s="119" t="str">
        <f ca="1">IFERROR(__xludf.DUMMYFUNCTION("""COMPUTED_VALUE"""),"Benjamin Werlinger")</f>
        <v>Benjamin Werlinger</v>
      </c>
      <c r="C1395" s="118">
        <f ca="1">IFERROR(__xludf.DUMMYFUNCTION("""COMPUTED_VALUE"""),9)</f>
        <v>9</v>
      </c>
      <c r="D1395" s="118" t="str">
        <f ca="1">IFERROR(__xludf.DUMMYFUNCTION("""COMPUTED_VALUE"""),"B")</f>
        <v>B</v>
      </c>
      <c r="E1395" s="118" t="str">
        <f ca="1">IFERROR(__xludf.DUMMYFUNCTION("""COMPUTED_VALUE"""),"F")</f>
        <v>F</v>
      </c>
      <c r="F1395" s="118" t="str">
        <f ca="1">IFERROR(__xludf.DUMMYFUNCTION("""COMPUTED_VALUE"""),"J")</f>
        <v>J</v>
      </c>
      <c r="G1395" s="118">
        <f ca="1">IFERROR(__xludf.DUMMYFUNCTION("""COMPUTED_VALUE"""),1)</f>
        <v>1</v>
      </c>
      <c r="H1395" s="118" t="str">
        <f ca="1">IFERROR(__xludf.DUMMYFUNCTION("""COMPUTED_VALUE"""),"OKM")</f>
        <v>OKM</v>
      </c>
      <c r="I1395" s="118">
        <f ca="1">IFERROR(__xludf.DUMMYFUNCTION("""COMPUTED_VALUE"""),5)</f>
        <v>5</v>
      </c>
      <c r="J1395" s="118">
        <f ca="1">IFERROR(__xludf.DUMMYFUNCTION("""COMPUTED_VALUE"""),2)</f>
        <v>2</v>
      </c>
      <c r="K1395" s="120">
        <f ca="1">IFERROR(__xludf.DUMMYFUNCTION("""COMPUTED_VALUE"""),35.95)</f>
        <v>35.950000000000003</v>
      </c>
      <c r="L1395" s="121"/>
      <c r="M1395" s="120"/>
      <c r="N1395" s="121"/>
      <c r="O1395" s="120"/>
      <c r="P1395" s="122"/>
      <c r="Q1395" s="123"/>
      <c r="R1395" s="123"/>
      <c r="S1395" s="123"/>
      <c r="T1395" s="123"/>
    </row>
    <row r="1396" spans="1:20" ht="13.8">
      <c r="A1396" s="118" t="str">
        <f ca="1">IFERROR(__xludf.DUMMYFUNCTION("""COMPUTED_VALUE"""),"OKM")</f>
        <v>OKM</v>
      </c>
      <c r="B1396" s="119" t="str">
        <f ca="1">IFERROR(__xludf.DUMMYFUNCTION("""COMPUTED_VALUE"""),"Brian Stegmaier")</f>
        <v>Brian Stegmaier</v>
      </c>
      <c r="C1396" s="118">
        <f ca="1">IFERROR(__xludf.DUMMYFUNCTION("""COMPUTED_VALUE"""),10)</f>
        <v>10</v>
      </c>
      <c r="D1396" s="118" t="str">
        <f ca="1">IFERROR(__xludf.DUMMYFUNCTION("""COMPUTED_VALUE"""),"B")</f>
        <v>B</v>
      </c>
      <c r="E1396" s="118" t="str">
        <f ca="1">IFERROR(__xludf.DUMMYFUNCTION("""COMPUTED_VALUE"""),"F")</f>
        <v>F</v>
      </c>
      <c r="F1396" s="118" t="str">
        <f ca="1">IFERROR(__xludf.DUMMYFUNCTION("""COMPUTED_VALUE"""),"J")</f>
        <v>J</v>
      </c>
      <c r="G1396" s="118">
        <f ca="1">IFERROR(__xludf.DUMMYFUNCTION("""COMPUTED_VALUE"""),1)</f>
        <v>1</v>
      </c>
      <c r="H1396" s="118" t="str">
        <f ca="1">IFERROR(__xludf.DUMMYFUNCTION("""COMPUTED_VALUE"""),"OKM")</f>
        <v>OKM</v>
      </c>
      <c r="I1396" s="118">
        <f ca="1">IFERROR(__xludf.DUMMYFUNCTION("""COMPUTED_VALUE"""),5)</f>
        <v>5</v>
      </c>
      <c r="J1396" s="118">
        <f ca="1">IFERROR(__xludf.DUMMYFUNCTION("""COMPUTED_VALUE"""),5)</f>
        <v>5</v>
      </c>
      <c r="K1396" s="120">
        <f ca="1">IFERROR(__xludf.DUMMYFUNCTION("""COMPUTED_VALUE"""),80.25)</f>
        <v>80.25</v>
      </c>
      <c r="L1396" s="121"/>
      <c r="M1396" s="120">
        <f ca="1">IFERROR(__xludf.DUMMYFUNCTION("""COMPUTED_VALUE"""),72.2)</f>
        <v>72.2</v>
      </c>
      <c r="N1396" s="121"/>
      <c r="O1396" s="120">
        <f ca="1">IFERROR(__xludf.DUMMYFUNCTION("""COMPUTED_VALUE"""),80.25)</f>
        <v>80.25</v>
      </c>
      <c r="P1396" s="122"/>
      <c r="Q1396" s="123"/>
      <c r="R1396" s="123"/>
      <c r="S1396" s="123"/>
      <c r="T1396" s="123"/>
    </row>
    <row r="1397" spans="1:20" ht="13.8">
      <c r="A1397" s="118" t="str">
        <f ca="1">IFERROR(__xludf.DUMMYFUNCTION("""COMPUTED_VALUE"""),"OKM")</f>
        <v>OKM</v>
      </c>
      <c r="B1397" s="119" t="str">
        <f ca="1">IFERROR(__xludf.DUMMYFUNCTION("""COMPUTED_VALUE"""),"David Rhea")</f>
        <v>David Rhea</v>
      </c>
      <c r="C1397" s="118">
        <f ca="1">IFERROR(__xludf.DUMMYFUNCTION("""COMPUTED_VALUE"""),10)</f>
        <v>10</v>
      </c>
      <c r="D1397" s="118" t="str">
        <f ca="1">IFERROR(__xludf.DUMMYFUNCTION("""COMPUTED_VALUE"""),"B")</f>
        <v>B</v>
      </c>
      <c r="E1397" s="118" t="str">
        <f ca="1">IFERROR(__xludf.DUMMYFUNCTION("""COMPUTED_VALUE"""),"F")</f>
        <v>F</v>
      </c>
      <c r="F1397" s="118" t="str">
        <f ca="1">IFERROR(__xludf.DUMMYFUNCTION("""COMPUTED_VALUE"""),"J")</f>
        <v>J</v>
      </c>
      <c r="G1397" s="118">
        <f ca="1">IFERROR(__xludf.DUMMYFUNCTION("""COMPUTED_VALUE"""),1)</f>
        <v>1</v>
      </c>
      <c r="H1397" s="118" t="str">
        <f ca="1">IFERROR(__xludf.DUMMYFUNCTION("""COMPUTED_VALUE"""),"OKM")</f>
        <v>OKM</v>
      </c>
      <c r="I1397" s="118">
        <f ca="1">IFERROR(__xludf.DUMMYFUNCTION("""COMPUTED_VALUE"""),5)</f>
        <v>5</v>
      </c>
      <c r="J1397" s="118">
        <f ca="1">IFERROR(__xludf.DUMMYFUNCTION("""COMPUTED_VALUE"""),5)</f>
        <v>5</v>
      </c>
      <c r="K1397" s="120">
        <f ca="1">IFERROR(__xludf.DUMMYFUNCTION("""COMPUTED_VALUE"""),43.05)</f>
        <v>43.05</v>
      </c>
      <c r="L1397" s="121"/>
      <c r="M1397" s="120">
        <f ca="1">IFERROR(__xludf.DUMMYFUNCTION("""COMPUTED_VALUE"""),36.2)</f>
        <v>36.200000000000003</v>
      </c>
      <c r="N1397" s="121"/>
      <c r="O1397" s="120">
        <f ca="1">IFERROR(__xludf.DUMMYFUNCTION("""COMPUTED_VALUE"""),42.75)</f>
        <v>42.75</v>
      </c>
      <c r="P1397" s="122"/>
      <c r="Q1397" s="123"/>
      <c r="R1397" s="123"/>
      <c r="S1397" s="123"/>
      <c r="T1397" s="123"/>
    </row>
    <row r="1398" spans="1:20" ht="13.8">
      <c r="A1398" s="118" t="str">
        <f ca="1">IFERROR(__xludf.DUMMYFUNCTION("""COMPUTED_VALUE"""),"OKM")</f>
        <v>OKM</v>
      </c>
      <c r="B1398" s="119" t="str">
        <f ca="1">IFERROR(__xludf.DUMMYFUNCTION("""COMPUTED_VALUE"""),"Graham Evans")</f>
        <v>Graham Evans</v>
      </c>
      <c r="C1398" s="118">
        <f ca="1">IFERROR(__xludf.DUMMYFUNCTION("""COMPUTED_VALUE"""),7)</f>
        <v>7</v>
      </c>
      <c r="D1398" s="118" t="str">
        <f ca="1">IFERROR(__xludf.DUMMYFUNCTION("""COMPUTED_VALUE"""),"B")</f>
        <v>B</v>
      </c>
      <c r="E1398" s="118" t="str">
        <f ca="1">IFERROR(__xludf.DUMMYFUNCTION("""COMPUTED_VALUE"""),"F")</f>
        <v>F</v>
      </c>
      <c r="F1398" s="118" t="str">
        <f ca="1">IFERROR(__xludf.DUMMYFUNCTION("""COMPUTED_VALUE"""),"J")</f>
        <v>J</v>
      </c>
      <c r="G1398" s="118">
        <f ca="1">IFERROR(__xludf.DUMMYFUNCTION("""COMPUTED_VALUE"""),1)</f>
        <v>1</v>
      </c>
      <c r="H1398" s="118" t="str">
        <f ca="1">IFERROR(__xludf.DUMMYFUNCTION("""COMPUTED_VALUE"""),"OKM")</f>
        <v>OKM</v>
      </c>
      <c r="I1398" s="118">
        <f ca="1">IFERROR(__xludf.DUMMYFUNCTION("""COMPUTED_VALUE"""),5)</f>
        <v>5</v>
      </c>
      <c r="J1398" s="118">
        <f ca="1">IFERROR(__xludf.DUMMYFUNCTION("""COMPUTED_VALUE"""),4)</f>
        <v>4</v>
      </c>
      <c r="K1398" s="120">
        <f ca="1">IFERROR(__xludf.DUMMYFUNCTION("""COMPUTED_VALUE"""),37.85)</f>
        <v>37.85</v>
      </c>
      <c r="L1398" s="121"/>
      <c r="M1398" s="120">
        <f ca="1">IFERROR(__xludf.DUMMYFUNCTION("""COMPUTED_VALUE"""),34.95)</f>
        <v>34.950000000000003</v>
      </c>
      <c r="N1398" s="121"/>
      <c r="O1398" s="120">
        <f ca="1">IFERROR(__xludf.DUMMYFUNCTION("""COMPUTED_VALUE"""),37.85)</f>
        <v>37.85</v>
      </c>
      <c r="P1398" s="122"/>
      <c r="Q1398" s="123"/>
      <c r="R1398" s="123"/>
      <c r="S1398" s="123"/>
      <c r="T1398" s="123"/>
    </row>
    <row r="1399" spans="1:20" ht="13.8">
      <c r="A1399" s="118" t="str">
        <f ca="1">IFERROR(__xludf.DUMMYFUNCTION("""COMPUTED_VALUE"""),"OKM")</f>
        <v>OKM</v>
      </c>
      <c r="B1399" s="119" t="str">
        <f ca="1">IFERROR(__xludf.DUMMYFUNCTION("""COMPUTED_VALUE"""),"Grayson DeMark")</f>
        <v>Grayson DeMark</v>
      </c>
      <c r="C1399" s="118">
        <f ca="1">IFERROR(__xludf.DUMMYFUNCTION("""COMPUTED_VALUE"""),9)</f>
        <v>9</v>
      </c>
      <c r="D1399" s="118" t="str">
        <f ca="1">IFERROR(__xludf.DUMMYFUNCTION("""COMPUTED_VALUE"""),"B")</f>
        <v>B</v>
      </c>
      <c r="E1399" s="118" t="str">
        <f ca="1">IFERROR(__xludf.DUMMYFUNCTION("""COMPUTED_VALUE"""),"F")</f>
        <v>F</v>
      </c>
      <c r="F1399" s="118" t="str">
        <f ca="1">IFERROR(__xludf.DUMMYFUNCTION("""COMPUTED_VALUE"""),"J")</f>
        <v>J</v>
      </c>
      <c r="G1399" s="118">
        <f ca="1">IFERROR(__xludf.DUMMYFUNCTION("""COMPUTED_VALUE"""),1)</f>
        <v>1</v>
      </c>
      <c r="H1399" s="118" t="str">
        <f ca="1">IFERROR(__xludf.DUMMYFUNCTION("""COMPUTED_VALUE"""),"OKM")</f>
        <v>OKM</v>
      </c>
      <c r="I1399" s="118">
        <f ca="1">IFERROR(__xludf.DUMMYFUNCTION("""COMPUTED_VALUE"""),5)</f>
        <v>5</v>
      </c>
      <c r="J1399" s="118">
        <f ca="1">IFERROR(__xludf.DUMMYFUNCTION("""COMPUTED_VALUE"""),4)</f>
        <v>4</v>
      </c>
      <c r="K1399" s="120">
        <f ca="1">IFERROR(__xludf.DUMMYFUNCTION("""COMPUTED_VALUE"""),50.55)</f>
        <v>50.55</v>
      </c>
      <c r="L1399" s="121"/>
      <c r="M1399" s="120">
        <f ca="1">IFERROR(__xludf.DUMMYFUNCTION("""COMPUTED_VALUE"""),50.55)</f>
        <v>50.55</v>
      </c>
      <c r="N1399" s="121"/>
      <c r="O1399" s="120"/>
      <c r="P1399" s="122"/>
      <c r="Q1399" s="123"/>
      <c r="R1399" s="123"/>
      <c r="S1399" s="123"/>
      <c r="T1399" s="123"/>
    </row>
    <row r="1400" spans="1:20" ht="13.8">
      <c r="A1400" s="118" t="str">
        <f ca="1">IFERROR(__xludf.DUMMYFUNCTION("""COMPUTED_VALUE"""),"OKM")</f>
        <v>OKM</v>
      </c>
      <c r="B1400" s="119" t="str">
        <f ca="1">IFERROR(__xludf.DUMMYFUNCTION("""COMPUTED_VALUE"""),"Jake Conques")</f>
        <v>Jake Conques</v>
      </c>
      <c r="C1400" s="118">
        <f ca="1">IFERROR(__xludf.DUMMYFUNCTION("""COMPUTED_VALUE"""),10)</f>
        <v>10</v>
      </c>
      <c r="D1400" s="118" t="str">
        <f ca="1">IFERROR(__xludf.DUMMYFUNCTION("""COMPUTED_VALUE"""),"B")</f>
        <v>B</v>
      </c>
      <c r="E1400" s="118" t="str">
        <f ca="1">IFERROR(__xludf.DUMMYFUNCTION("""COMPUTED_VALUE"""),"F")</f>
        <v>F</v>
      </c>
      <c r="F1400" s="118" t="str">
        <f ca="1">IFERROR(__xludf.DUMMYFUNCTION("""COMPUTED_VALUE"""),"J")</f>
        <v>J</v>
      </c>
      <c r="G1400" s="118">
        <f ca="1">IFERROR(__xludf.DUMMYFUNCTION("""COMPUTED_VALUE"""),1)</f>
        <v>1</v>
      </c>
      <c r="H1400" s="118" t="str">
        <f ca="1">IFERROR(__xludf.DUMMYFUNCTION("""COMPUTED_VALUE"""),"OKM")</f>
        <v>OKM</v>
      </c>
      <c r="I1400" s="118">
        <f ca="1">IFERROR(__xludf.DUMMYFUNCTION("""COMPUTED_VALUE"""),5)</f>
        <v>5</v>
      </c>
      <c r="J1400" s="118">
        <f ca="1">IFERROR(__xludf.DUMMYFUNCTION("""COMPUTED_VALUE"""),4)</f>
        <v>4</v>
      </c>
      <c r="K1400" s="120">
        <f ca="1">IFERROR(__xludf.DUMMYFUNCTION("""COMPUTED_VALUE"""),69)</f>
        <v>69</v>
      </c>
      <c r="L1400" s="121"/>
      <c r="M1400" s="120">
        <f ca="1">IFERROR(__xludf.DUMMYFUNCTION("""COMPUTED_VALUE"""),-79.65)</f>
        <v>-79.650000000000006</v>
      </c>
      <c r="N1400" s="121"/>
      <c r="O1400" s="120">
        <f ca="1">IFERROR(__xludf.DUMMYFUNCTION("""COMPUTED_VALUE"""),-68.8)</f>
        <v>-68.8</v>
      </c>
      <c r="P1400" s="122"/>
      <c r="Q1400" s="123"/>
      <c r="R1400" s="123"/>
      <c r="S1400" s="123"/>
      <c r="T1400" s="123"/>
    </row>
    <row r="1401" spans="1:20" ht="13.8">
      <c r="A1401" s="118" t="str">
        <f ca="1">IFERROR(__xludf.DUMMYFUNCTION("""COMPUTED_VALUE"""),"OKM")</f>
        <v>OKM</v>
      </c>
      <c r="B1401" s="119" t="str">
        <f ca="1">IFERROR(__xludf.DUMMYFUNCTION("""COMPUTED_VALUE"""),"Michael Warner")</f>
        <v>Michael Warner</v>
      </c>
      <c r="C1401" s="118">
        <f ca="1">IFERROR(__xludf.DUMMYFUNCTION("""COMPUTED_VALUE"""),10)</f>
        <v>10</v>
      </c>
      <c r="D1401" s="118" t="str">
        <f ca="1">IFERROR(__xludf.DUMMYFUNCTION("""COMPUTED_VALUE"""),"B")</f>
        <v>B</v>
      </c>
      <c r="E1401" s="118" t="str">
        <f ca="1">IFERROR(__xludf.DUMMYFUNCTION("""COMPUTED_VALUE"""),"F")</f>
        <v>F</v>
      </c>
      <c r="F1401" s="118" t="str">
        <f ca="1">IFERROR(__xludf.DUMMYFUNCTION("""COMPUTED_VALUE"""),"J")</f>
        <v>J</v>
      </c>
      <c r="G1401" s="118">
        <f ca="1">IFERROR(__xludf.DUMMYFUNCTION("""COMPUTED_VALUE"""),1)</f>
        <v>1</v>
      </c>
      <c r="H1401" s="118" t="str">
        <f ca="1">IFERROR(__xludf.DUMMYFUNCTION("""COMPUTED_VALUE"""),"OKM")</f>
        <v>OKM</v>
      </c>
      <c r="I1401" s="118">
        <f ca="1">IFERROR(__xludf.DUMMYFUNCTION("""COMPUTED_VALUE"""),5)</f>
        <v>5</v>
      </c>
      <c r="J1401" s="118">
        <f ca="1">IFERROR(__xludf.DUMMYFUNCTION("""COMPUTED_VALUE"""),5)</f>
        <v>5</v>
      </c>
      <c r="K1401" s="120">
        <f ca="1">IFERROR(__xludf.DUMMYFUNCTION("""COMPUTED_VALUE"""),46.3)</f>
        <v>46.3</v>
      </c>
      <c r="L1401" s="121"/>
      <c r="M1401" s="120">
        <f ca="1">IFERROR(__xludf.DUMMYFUNCTION("""COMPUTED_VALUE"""),23.65)</f>
        <v>23.65</v>
      </c>
      <c r="N1401" s="121"/>
      <c r="O1401" s="120">
        <f ca="1">IFERROR(__xludf.DUMMYFUNCTION("""COMPUTED_VALUE"""),25.05)</f>
        <v>25.05</v>
      </c>
      <c r="P1401" s="122"/>
      <c r="Q1401" s="123"/>
      <c r="R1401" s="123"/>
      <c r="S1401" s="123"/>
      <c r="T1401" s="123"/>
    </row>
    <row r="1402" spans="1:20" ht="13.8">
      <c r="A1402" s="118" t="str">
        <f ca="1">IFERROR(__xludf.DUMMYFUNCTION("""COMPUTED_VALUE"""),"OKM")</f>
        <v>OKM</v>
      </c>
      <c r="B1402" s="119" t="str">
        <f ca="1">IFERROR(__xludf.DUMMYFUNCTION("""COMPUTED_VALUE"""),"Reese Duke")</f>
        <v>Reese Duke</v>
      </c>
      <c r="C1402" s="118">
        <f ca="1">IFERROR(__xludf.DUMMYFUNCTION("""COMPUTED_VALUE"""),9)</f>
        <v>9</v>
      </c>
      <c r="D1402" s="118" t="str">
        <f ca="1">IFERROR(__xludf.DUMMYFUNCTION("""COMPUTED_VALUE"""),"B")</f>
        <v>B</v>
      </c>
      <c r="E1402" s="118" t="str">
        <f ca="1">IFERROR(__xludf.DUMMYFUNCTION("""COMPUTED_VALUE"""),"F")</f>
        <v>F</v>
      </c>
      <c r="F1402" s="118" t="str">
        <f ca="1">IFERROR(__xludf.DUMMYFUNCTION("""COMPUTED_VALUE"""),"J")</f>
        <v>J</v>
      </c>
      <c r="G1402" s="118">
        <f ca="1">IFERROR(__xludf.DUMMYFUNCTION("""COMPUTED_VALUE"""),1)</f>
        <v>1</v>
      </c>
      <c r="H1402" s="118" t="str">
        <f ca="1">IFERROR(__xludf.DUMMYFUNCTION("""COMPUTED_VALUE"""),"OKM")</f>
        <v>OKM</v>
      </c>
      <c r="I1402" s="118">
        <f ca="1">IFERROR(__xludf.DUMMYFUNCTION("""COMPUTED_VALUE"""),5)</f>
        <v>5</v>
      </c>
      <c r="J1402" s="118">
        <f ca="1">IFERROR(__xludf.DUMMYFUNCTION("""COMPUTED_VALUE"""),2)</f>
        <v>2</v>
      </c>
      <c r="K1402" s="120">
        <f ca="1">IFERROR(__xludf.DUMMYFUNCTION("""COMPUTED_VALUE"""),28)</f>
        <v>28</v>
      </c>
      <c r="L1402" s="121"/>
      <c r="M1402" s="120"/>
      <c r="N1402" s="121"/>
      <c r="O1402" s="120">
        <f ca="1">IFERROR(__xludf.DUMMYFUNCTION("""COMPUTED_VALUE"""),28)</f>
        <v>28</v>
      </c>
      <c r="P1402" s="122"/>
      <c r="Q1402" s="123"/>
      <c r="R1402" s="123"/>
      <c r="S1402" s="123"/>
      <c r="T1402" s="123"/>
    </row>
    <row r="1403" spans="1:20" ht="13.8">
      <c r="A1403" s="118" t="str">
        <f ca="1">IFERROR(__xludf.DUMMYFUNCTION("""COMPUTED_VALUE"""),"OKM")</f>
        <v>OKM</v>
      </c>
      <c r="B1403" s="119" t="str">
        <f ca="1">IFERROR(__xludf.DUMMYFUNCTION("""COMPUTED_VALUE"""),"Alexandra Bagully")</f>
        <v>Alexandra Bagully</v>
      </c>
      <c r="C1403" s="118">
        <f ca="1">IFERROR(__xludf.DUMMYFUNCTION("""COMPUTED_VALUE"""),12)</f>
        <v>12</v>
      </c>
      <c r="D1403" s="118" t="str">
        <f ca="1">IFERROR(__xludf.DUMMYFUNCTION("""COMPUTED_VALUE"""),"G")</f>
        <v>G</v>
      </c>
      <c r="E1403" s="118" t="str">
        <f ca="1">IFERROR(__xludf.DUMMYFUNCTION("""COMPUTED_VALUE"""),"J")</f>
        <v>J</v>
      </c>
      <c r="F1403" s="118" t="str">
        <f ca="1">IFERROR(__xludf.DUMMYFUNCTION("""COMPUTED_VALUE"""),"I")</f>
        <v>I</v>
      </c>
      <c r="G1403" s="118">
        <f ca="1">IFERROR(__xludf.DUMMYFUNCTION("""COMPUTED_VALUE"""),1)</f>
        <v>1</v>
      </c>
      <c r="H1403" s="118" t="str">
        <f ca="1">IFERROR(__xludf.DUMMYFUNCTION("""COMPUTED_VALUE"""),"OKM")</f>
        <v>OKM</v>
      </c>
      <c r="I1403" s="118">
        <f ca="1">IFERROR(__xludf.DUMMYFUNCTION("""COMPUTED_VALUE"""),6)</f>
        <v>6</v>
      </c>
      <c r="J1403" s="118">
        <f ca="1">IFERROR(__xludf.DUMMYFUNCTION("""COMPUTED_VALUE"""),4)</f>
        <v>4</v>
      </c>
      <c r="K1403" s="120">
        <f ca="1">IFERROR(__xludf.DUMMYFUNCTION("""COMPUTED_VALUE"""),85.6)</f>
        <v>85.6</v>
      </c>
      <c r="L1403" s="121"/>
      <c r="M1403" s="120">
        <f ca="1">IFERROR(__xludf.DUMMYFUNCTION("""COMPUTED_VALUE"""),60.1)</f>
        <v>60.1</v>
      </c>
      <c r="N1403" s="121"/>
      <c r="O1403" s="120">
        <f ca="1">IFERROR(__xludf.DUMMYFUNCTION("""COMPUTED_VALUE"""),75.05)</f>
        <v>75.05</v>
      </c>
      <c r="P1403" s="122"/>
      <c r="Q1403" s="123"/>
      <c r="R1403" s="123"/>
      <c r="S1403" s="123"/>
      <c r="T1403" s="123"/>
    </row>
    <row r="1404" spans="1:20" ht="13.8">
      <c r="A1404" s="118" t="str">
        <f ca="1">IFERROR(__xludf.DUMMYFUNCTION("""COMPUTED_VALUE"""),"OKM")</f>
        <v>OKM</v>
      </c>
      <c r="B1404" s="119" t="str">
        <f ca="1">IFERROR(__xludf.DUMMYFUNCTION("""COMPUTED_VALUE"""),"Cailee Kaiser")</f>
        <v>Cailee Kaiser</v>
      </c>
      <c r="C1404" s="118">
        <f ca="1">IFERROR(__xludf.DUMMYFUNCTION("""COMPUTED_VALUE"""),11)</f>
        <v>11</v>
      </c>
      <c r="D1404" s="118" t="str">
        <f ca="1">IFERROR(__xludf.DUMMYFUNCTION("""COMPUTED_VALUE"""),"G")</f>
        <v>G</v>
      </c>
      <c r="E1404" s="118" t="str">
        <f ca="1">IFERROR(__xludf.DUMMYFUNCTION("""COMPUTED_VALUE"""),"J")</f>
        <v>J</v>
      </c>
      <c r="F1404" s="118" t="str">
        <f ca="1">IFERROR(__xludf.DUMMYFUNCTION("""COMPUTED_VALUE"""),"I")</f>
        <v>I</v>
      </c>
      <c r="G1404" s="118">
        <f ca="1">IFERROR(__xludf.DUMMYFUNCTION("""COMPUTED_VALUE"""),1)</f>
        <v>1</v>
      </c>
      <c r="H1404" s="118" t="str">
        <f ca="1">IFERROR(__xludf.DUMMYFUNCTION("""COMPUTED_VALUE"""),"OKM")</f>
        <v>OKM</v>
      </c>
      <c r="I1404" s="118">
        <f ca="1">IFERROR(__xludf.DUMMYFUNCTION("""COMPUTED_VALUE"""),6)</f>
        <v>6</v>
      </c>
      <c r="J1404" s="118">
        <f ca="1">IFERROR(__xludf.DUMMYFUNCTION("""COMPUTED_VALUE"""),5)</f>
        <v>5</v>
      </c>
      <c r="K1404" s="120">
        <f ca="1">IFERROR(__xludf.DUMMYFUNCTION("""COMPUTED_VALUE"""),70.95)</f>
        <v>70.95</v>
      </c>
      <c r="L1404" s="121"/>
      <c r="M1404" s="120">
        <f ca="1">IFERROR(__xludf.DUMMYFUNCTION("""COMPUTED_VALUE"""),57.8)</f>
        <v>57.8</v>
      </c>
      <c r="N1404" s="121"/>
      <c r="O1404" s="120">
        <f ca="1">IFERROR(__xludf.DUMMYFUNCTION("""COMPUTED_VALUE"""),55.3)</f>
        <v>55.3</v>
      </c>
      <c r="P1404" s="122"/>
      <c r="Q1404" s="123"/>
      <c r="R1404" s="123"/>
      <c r="S1404" s="123"/>
      <c r="T1404" s="123"/>
    </row>
    <row r="1405" spans="1:20" ht="13.8">
      <c r="A1405" s="118" t="str">
        <f ca="1">IFERROR(__xludf.DUMMYFUNCTION("""COMPUTED_VALUE"""),"OKM")</f>
        <v>OKM</v>
      </c>
      <c r="B1405" s="119" t="str">
        <f ca="1">IFERROR(__xludf.DUMMYFUNCTION("""COMPUTED_VALUE"""),"Esther Nobles")</f>
        <v>Esther Nobles</v>
      </c>
      <c r="C1405" s="118">
        <f ca="1">IFERROR(__xludf.DUMMYFUNCTION("""COMPUTED_VALUE"""),11)</f>
        <v>11</v>
      </c>
      <c r="D1405" s="118" t="str">
        <f ca="1">IFERROR(__xludf.DUMMYFUNCTION("""COMPUTED_VALUE"""),"G")</f>
        <v>G</v>
      </c>
      <c r="E1405" s="118" t="str">
        <f ca="1">IFERROR(__xludf.DUMMYFUNCTION("""COMPUTED_VALUE"""),"J")</f>
        <v>J</v>
      </c>
      <c r="F1405" s="118" t="str">
        <f ca="1">IFERROR(__xludf.DUMMYFUNCTION("""COMPUTED_VALUE"""),"I")</f>
        <v>I</v>
      </c>
      <c r="G1405" s="118">
        <f ca="1">IFERROR(__xludf.DUMMYFUNCTION("""COMPUTED_VALUE"""),1)</f>
        <v>1</v>
      </c>
      <c r="H1405" s="118" t="str">
        <f ca="1">IFERROR(__xludf.DUMMYFUNCTION("""COMPUTED_VALUE"""),"OKM")</f>
        <v>OKM</v>
      </c>
      <c r="I1405" s="118">
        <f ca="1">IFERROR(__xludf.DUMMYFUNCTION("""COMPUTED_VALUE"""),6)</f>
        <v>6</v>
      </c>
      <c r="J1405" s="118">
        <f ca="1">IFERROR(__xludf.DUMMYFUNCTION("""COMPUTED_VALUE"""),2)</f>
        <v>2</v>
      </c>
      <c r="K1405" s="120">
        <f ca="1">IFERROR(__xludf.DUMMYFUNCTION("""COMPUTED_VALUE"""),66.95)</f>
        <v>66.95</v>
      </c>
      <c r="L1405" s="121"/>
      <c r="M1405" s="120"/>
      <c r="N1405" s="121"/>
      <c r="O1405" s="120"/>
      <c r="P1405" s="122"/>
      <c r="Q1405" s="123"/>
      <c r="R1405" s="123"/>
      <c r="S1405" s="123"/>
      <c r="T1405" s="123"/>
    </row>
    <row r="1406" spans="1:20" ht="13.8">
      <c r="A1406" s="118" t="str">
        <f ca="1">IFERROR(__xludf.DUMMYFUNCTION("""COMPUTED_VALUE"""),"OKM")</f>
        <v>OKM</v>
      </c>
      <c r="B1406" s="119" t="str">
        <f ca="1">IFERROR(__xludf.DUMMYFUNCTION("""COMPUTED_VALUE"""),"Paige Randall")</f>
        <v>Paige Randall</v>
      </c>
      <c r="C1406" s="118">
        <f ca="1">IFERROR(__xludf.DUMMYFUNCTION("""COMPUTED_VALUE"""),12)</f>
        <v>12</v>
      </c>
      <c r="D1406" s="118" t="str">
        <f ca="1">IFERROR(__xludf.DUMMYFUNCTION("""COMPUTED_VALUE"""),"G")</f>
        <v>G</v>
      </c>
      <c r="E1406" s="118" t="str">
        <f ca="1">IFERROR(__xludf.DUMMYFUNCTION("""COMPUTED_VALUE"""),"J")</f>
        <v>J</v>
      </c>
      <c r="F1406" s="118" t="str">
        <f ca="1">IFERROR(__xludf.DUMMYFUNCTION("""COMPUTED_VALUE"""),"I")</f>
        <v>I</v>
      </c>
      <c r="G1406" s="118">
        <f ca="1">IFERROR(__xludf.DUMMYFUNCTION("""COMPUTED_VALUE"""),1)</f>
        <v>1</v>
      </c>
      <c r="H1406" s="118" t="str">
        <f ca="1">IFERROR(__xludf.DUMMYFUNCTION("""COMPUTED_VALUE"""),"OKM")</f>
        <v>OKM</v>
      </c>
      <c r="I1406" s="118">
        <f ca="1">IFERROR(__xludf.DUMMYFUNCTION("""COMPUTED_VALUE"""),6)</f>
        <v>6</v>
      </c>
      <c r="J1406" s="118">
        <f ca="1">IFERROR(__xludf.DUMMYFUNCTION("""COMPUTED_VALUE"""),3)</f>
        <v>3</v>
      </c>
      <c r="K1406" s="120">
        <f ca="1">IFERROR(__xludf.DUMMYFUNCTION("""COMPUTED_VALUE"""),78.7)</f>
        <v>78.7</v>
      </c>
      <c r="L1406" s="121"/>
      <c r="M1406" s="120">
        <f ca="1">IFERROR(__xludf.DUMMYFUNCTION("""COMPUTED_VALUE"""),75.25)</f>
        <v>75.25</v>
      </c>
      <c r="N1406" s="121"/>
      <c r="O1406" s="120"/>
      <c r="P1406" s="122"/>
      <c r="Q1406" s="123"/>
      <c r="R1406" s="123"/>
      <c r="S1406" s="123"/>
      <c r="T1406" s="123"/>
    </row>
    <row r="1407" spans="1:20" ht="13.8">
      <c r="A1407" s="118" t="str">
        <f ca="1">IFERROR(__xludf.DUMMYFUNCTION("""COMPUTED_VALUE"""),"OKM")</f>
        <v>OKM</v>
      </c>
      <c r="B1407" s="119" t="str">
        <f ca="1">IFERROR(__xludf.DUMMYFUNCTION("""COMPUTED_VALUE"""),"Taylor Kluger")</f>
        <v>Taylor Kluger</v>
      </c>
      <c r="C1407" s="118">
        <f ca="1">IFERROR(__xludf.DUMMYFUNCTION("""COMPUTED_VALUE"""),11)</f>
        <v>11</v>
      </c>
      <c r="D1407" s="118" t="str">
        <f ca="1">IFERROR(__xludf.DUMMYFUNCTION("""COMPUTED_VALUE"""),"G")</f>
        <v>G</v>
      </c>
      <c r="E1407" s="118" t="str">
        <f ca="1">IFERROR(__xludf.DUMMYFUNCTION("""COMPUTED_VALUE"""),"J")</f>
        <v>J</v>
      </c>
      <c r="F1407" s="118" t="str">
        <f ca="1">IFERROR(__xludf.DUMMYFUNCTION("""COMPUTED_VALUE"""),"I")</f>
        <v>I</v>
      </c>
      <c r="G1407" s="118">
        <f ca="1">IFERROR(__xludf.DUMMYFUNCTION("""COMPUTED_VALUE"""),1)</f>
        <v>1</v>
      </c>
      <c r="H1407" s="118" t="str">
        <f ca="1">IFERROR(__xludf.DUMMYFUNCTION("""COMPUTED_VALUE"""),"OKM")</f>
        <v>OKM</v>
      </c>
      <c r="I1407" s="118">
        <f ca="1">IFERROR(__xludf.DUMMYFUNCTION("""COMPUTED_VALUE"""),6)</f>
        <v>6</v>
      </c>
      <c r="J1407" s="118">
        <f ca="1">IFERROR(__xludf.DUMMYFUNCTION("""COMPUTED_VALUE"""),3)</f>
        <v>3</v>
      </c>
      <c r="K1407" s="120">
        <f ca="1">IFERROR(__xludf.DUMMYFUNCTION("""COMPUTED_VALUE"""),70.55)</f>
        <v>70.55</v>
      </c>
      <c r="L1407" s="121"/>
      <c r="M1407" s="120"/>
      <c r="N1407" s="121"/>
      <c r="O1407" s="120"/>
      <c r="P1407" s="122"/>
      <c r="Q1407" s="123"/>
      <c r="R1407" s="123"/>
      <c r="S1407" s="123"/>
      <c r="T1407" s="123"/>
    </row>
    <row r="1408" spans="1:20" ht="13.8">
      <c r="A1408" s="118" t="str">
        <f ca="1">IFERROR(__xludf.DUMMYFUNCTION("""COMPUTED_VALUE"""),"OKM")</f>
        <v>OKM</v>
      </c>
      <c r="B1408" s="119" t="str">
        <f ca="1">IFERROR(__xludf.DUMMYFUNCTION("""COMPUTED_VALUE"""),"Jackson Warner")</f>
        <v>Jackson Warner</v>
      </c>
      <c r="C1408" s="118">
        <f ca="1">IFERROR(__xludf.DUMMYFUNCTION("""COMPUTED_VALUE"""),12)</f>
        <v>12</v>
      </c>
      <c r="D1408" s="118" t="str">
        <f ca="1">IFERROR(__xludf.DUMMYFUNCTION("""COMPUTED_VALUE"""),"B")</f>
        <v>B</v>
      </c>
      <c r="E1408" s="118" t="str">
        <f ca="1">IFERROR(__xludf.DUMMYFUNCTION("""COMPUTED_VALUE"""),"J")</f>
        <v>J</v>
      </c>
      <c r="F1408" s="118" t="str">
        <f ca="1">IFERROR(__xludf.DUMMYFUNCTION("""COMPUTED_VALUE"""),"I")</f>
        <v>I</v>
      </c>
      <c r="G1408" s="118">
        <f ca="1">IFERROR(__xludf.DUMMYFUNCTION("""COMPUTED_VALUE"""),1)</f>
        <v>1</v>
      </c>
      <c r="H1408" s="118" t="str">
        <f ca="1">IFERROR(__xludf.DUMMYFUNCTION("""COMPUTED_VALUE"""),"OKM")</f>
        <v>OKM</v>
      </c>
      <c r="I1408" s="118">
        <f ca="1">IFERROR(__xludf.DUMMYFUNCTION("""COMPUTED_VALUE"""),7)</f>
        <v>7</v>
      </c>
      <c r="J1408" s="118">
        <f ca="1">IFERROR(__xludf.DUMMYFUNCTION("""COMPUTED_VALUE"""),1)</f>
        <v>1</v>
      </c>
      <c r="K1408" s="120">
        <f ca="1">IFERROR(__xludf.DUMMYFUNCTION("""COMPUTED_VALUE"""),34.95)</f>
        <v>34.950000000000003</v>
      </c>
      <c r="L1408" s="121"/>
      <c r="M1408" s="120"/>
      <c r="N1408" s="121"/>
      <c r="O1408" s="120">
        <f ca="1">IFERROR(__xludf.DUMMYFUNCTION("""COMPUTED_VALUE"""),34.95)</f>
        <v>34.950000000000003</v>
      </c>
      <c r="P1408" s="122"/>
      <c r="Q1408" s="123"/>
      <c r="R1408" s="123"/>
      <c r="S1408" s="123"/>
      <c r="T1408" s="123"/>
    </row>
    <row r="1409" spans="1:20" ht="13.8">
      <c r="A1409" s="118" t="str">
        <f ca="1">IFERROR(__xludf.DUMMYFUNCTION("""COMPUTED_VALUE"""),"OKM")</f>
        <v>OKM</v>
      </c>
      <c r="B1409" s="119" t="str">
        <f ca="1">IFERROR(__xludf.DUMMYFUNCTION("""COMPUTED_VALUE"""),"Matthew Hughes")</f>
        <v>Matthew Hughes</v>
      </c>
      <c r="C1409" s="118">
        <f ca="1">IFERROR(__xludf.DUMMYFUNCTION("""COMPUTED_VALUE"""),12)</f>
        <v>12</v>
      </c>
      <c r="D1409" s="118" t="str">
        <f ca="1">IFERROR(__xludf.DUMMYFUNCTION("""COMPUTED_VALUE"""),"B")</f>
        <v>B</v>
      </c>
      <c r="E1409" s="118" t="str">
        <f ca="1">IFERROR(__xludf.DUMMYFUNCTION("""COMPUTED_VALUE"""),"J")</f>
        <v>J</v>
      </c>
      <c r="F1409" s="118" t="str">
        <f ca="1">IFERROR(__xludf.DUMMYFUNCTION("""COMPUTED_VALUE"""),"I")</f>
        <v>I</v>
      </c>
      <c r="G1409" s="118">
        <f ca="1">IFERROR(__xludf.DUMMYFUNCTION("""COMPUTED_VALUE"""),1)</f>
        <v>1</v>
      </c>
      <c r="H1409" s="118" t="str">
        <f ca="1">IFERROR(__xludf.DUMMYFUNCTION("""COMPUTED_VALUE"""),"OKM")</f>
        <v>OKM</v>
      </c>
      <c r="I1409" s="118">
        <f ca="1">IFERROR(__xludf.DUMMYFUNCTION("""COMPUTED_VALUE"""),7)</f>
        <v>7</v>
      </c>
      <c r="J1409" s="118">
        <f ca="1">IFERROR(__xludf.DUMMYFUNCTION("""COMPUTED_VALUE"""),4)</f>
        <v>4</v>
      </c>
      <c r="K1409" s="120">
        <f ca="1">IFERROR(__xludf.DUMMYFUNCTION("""COMPUTED_VALUE"""),76.2)</f>
        <v>76.2</v>
      </c>
      <c r="L1409" s="121"/>
      <c r="M1409" s="120"/>
      <c r="N1409" s="121"/>
      <c r="O1409" s="120">
        <f ca="1">IFERROR(__xludf.DUMMYFUNCTION("""COMPUTED_VALUE"""),65.1)</f>
        <v>65.099999999999994</v>
      </c>
      <c r="P1409" s="122"/>
      <c r="Q1409" s="123"/>
      <c r="R1409" s="123"/>
      <c r="S1409" s="123"/>
      <c r="T1409" s="123"/>
    </row>
    <row r="1410" spans="1:20" ht="13.8">
      <c r="A1410" s="118" t="str">
        <f ca="1">IFERROR(__xludf.DUMMYFUNCTION("""COMPUTED_VALUE"""),"OKM")</f>
        <v>OKM</v>
      </c>
      <c r="B1410" s="119" t="str">
        <f ca="1">IFERROR(__xludf.DUMMYFUNCTION("""COMPUTED_VALUE"""),"Owen Reese")</f>
        <v>Owen Reese</v>
      </c>
      <c r="C1410" s="118">
        <f ca="1">IFERROR(__xludf.DUMMYFUNCTION("""COMPUTED_VALUE"""),11)</f>
        <v>11</v>
      </c>
      <c r="D1410" s="118" t="str">
        <f ca="1">IFERROR(__xludf.DUMMYFUNCTION("""COMPUTED_VALUE"""),"B")</f>
        <v>B</v>
      </c>
      <c r="E1410" s="118" t="str">
        <f ca="1">IFERROR(__xludf.DUMMYFUNCTION("""COMPUTED_VALUE"""),"J")</f>
        <v>J</v>
      </c>
      <c r="F1410" s="118" t="str">
        <f ca="1">IFERROR(__xludf.DUMMYFUNCTION("""COMPUTED_VALUE"""),"I")</f>
        <v>I</v>
      </c>
      <c r="G1410" s="118">
        <f ca="1">IFERROR(__xludf.DUMMYFUNCTION("""COMPUTED_VALUE"""),1)</f>
        <v>1</v>
      </c>
      <c r="H1410" s="118" t="str">
        <f ca="1">IFERROR(__xludf.DUMMYFUNCTION("""COMPUTED_VALUE"""),"OKM")</f>
        <v>OKM</v>
      </c>
      <c r="I1410" s="118">
        <f ca="1">IFERROR(__xludf.DUMMYFUNCTION("""COMPUTED_VALUE"""),7)</f>
        <v>7</v>
      </c>
      <c r="J1410" s="118">
        <f ca="1">IFERROR(__xludf.DUMMYFUNCTION("""COMPUTED_VALUE"""),2)</f>
        <v>2</v>
      </c>
      <c r="K1410" s="120">
        <f ca="1">IFERROR(__xludf.DUMMYFUNCTION("""COMPUTED_VALUE"""),53.3)</f>
        <v>53.3</v>
      </c>
      <c r="L1410" s="121"/>
      <c r="M1410" s="120"/>
      <c r="N1410" s="121"/>
      <c r="O1410" s="120"/>
      <c r="P1410" s="122"/>
      <c r="Q1410" s="123"/>
      <c r="R1410" s="123"/>
      <c r="S1410" s="123"/>
      <c r="T1410" s="123"/>
    </row>
    <row r="1411" spans="1:20" ht="13.8">
      <c r="A1411" s="118" t="str">
        <f ca="1">IFERROR(__xludf.DUMMYFUNCTION("""COMPUTED_VALUE"""),"OKM")</f>
        <v>OKM</v>
      </c>
      <c r="B1411" s="119" t="str">
        <f ca="1">IFERROR(__xludf.DUMMYFUNCTION("""COMPUTED_VALUE"""),"Reed Conques")</f>
        <v>Reed Conques</v>
      </c>
      <c r="C1411" s="118">
        <f ca="1">IFERROR(__xludf.DUMMYFUNCTION("""COMPUTED_VALUE"""),12)</f>
        <v>12</v>
      </c>
      <c r="D1411" s="118" t="str">
        <f ca="1">IFERROR(__xludf.DUMMYFUNCTION("""COMPUTED_VALUE"""),"B")</f>
        <v>B</v>
      </c>
      <c r="E1411" s="118" t="str">
        <f ca="1">IFERROR(__xludf.DUMMYFUNCTION("""COMPUTED_VALUE"""),"J")</f>
        <v>J</v>
      </c>
      <c r="F1411" s="118" t="str">
        <f ca="1">IFERROR(__xludf.DUMMYFUNCTION("""COMPUTED_VALUE"""),"I")</f>
        <v>I</v>
      </c>
      <c r="G1411" s="118">
        <f ca="1">IFERROR(__xludf.DUMMYFUNCTION("""COMPUTED_VALUE"""),1)</f>
        <v>1</v>
      </c>
      <c r="H1411" s="118" t="str">
        <f ca="1">IFERROR(__xludf.DUMMYFUNCTION("""COMPUTED_VALUE"""),"OKM")</f>
        <v>OKM</v>
      </c>
      <c r="I1411" s="118">
        <f ca="1">IFERROR(__xludf.DUMMYFUNCTION("""COMPUTED_VALUE"""),7)</f>
        <v>7</v>
      </c>
      <c r="J1411" s="118">
        <f ca="1">IFERROR(__xludf.DUMMYFUNCTION("""COMPUTED_VALUE"""),4)</f>
        <v>4</v>
      </c>
      <c r="K1411" s="120">
        <f ca="1">IFERROR(__xludf.DUMMYFUNCTION("""COMPUTED_VALUE"""),65.45)</f>
        <v>65.45</v>
      </c>
      <c r="L1411" s="121"/>
      <c r="M1411" s="120">
        <f ca="1">IFERROR(__xludf.DUMMYFUNCTION("""COMPUTED_VALUE"""),63.65)</f>
        <v>63.65</v>
      </c>
      <c r="N1411" s="121"/>
      <c r="O1411" s="120">
        <f ca="1">IFERROR(__xludf.DUMMYFUNCTION("""COMPUTED_VALUE"""),-87.2)</f>
        <v>-87.2</v>
      </c>
      <c r="P1411" s="122"/>
      <c r="Q1411" s="123"/>
      <c r="R1411" s="123"/>
      <c r="S1411" s="123"/>
      <c r="T1411" s="123"/>
    </row>
    <row r="1412" spans="1:20" ht="13.8">
      <c r="A1412" s="118" t="str">
        <f ca="1">IFERROR(__xludf.DUMMYFUNCTION("""COMPUTED_VALUE"""),"OKM")</f>
        <v>OKM</v>
      </c>
      <c r="B1412" s="119" t="str">
        <f ca="1">IFERROR(__xludf.DUMMYFUNCTION("""COMPUTED_VALUE"""),"Treyton Green")</f>
        <v>Treyton Green</v>
      </c>
      <c r="C1412" s="118">
        <f ca="1">IFERROR(__xludf.DUMMYFUNCTION("""COMPUTED_VALUE"""),12)</f>
        <v>12</v>
      </c>
      <c r="D1412" s="118" t="str">
        <f ca="1">IFERROR(__xludf.DUMMYFUNCTION("""COMPUTED_VALUE"""),"B")</f>
        <v>B</v>
      </c>
      <c r="E1412" s="118" t="str">
        <f ca="1">IFERROR(__xludf.DUMMYFUNCTION("""COMPUTED_VALUE"""),"J")</f>
        <v>J</v>
      </c>
      <c r="F1412" s="118" t="str">
        <f ca="1">IFERROR(__xludf.DUMMYFUNCTION("""COMPUTED_VALUE"""),"I")</f>
        <v>I</v>
      </c>
      <c r="G1412" s="118">
        <f ca="1">IFERROR(__xludf.DUMMYFUNCTION("""COMPUTED_VALUE"""),1)</f>
        <v>1</v>
      </c>
      <c r="H1412" s="118" t="str">
        <f ca="1">IFERROR(__xludf.DUMMYFUNCTION("""COMPUTED_VALUE"""),"OKM")</f>
        <v>OKM</v>
      </c>
      <c r="I1412" s="118">
        <f ca="1">IFERROR(__xludf.DUMMYFUNCTION("""COMPUTED_VALUE"""),7)</f>
        <v>7</v>
      </c>
      <c r="J1412" s="118">
        <f ca="1">IFERROR(__xludf.DUMMYFUNCTION("""COMPUTED_VALUE"""),5)</f>
        <v>5</v>
      </c>
      <c r="K1412" s="120">
        <f ca="1">IFERROR(__xludf.DUMMYFUNCTION("""COMPUTED_VALUE"""),75.6)</f>
        <v>75.599999999999994</v>
      </c>
      <c r="L1412" s="121"/>
      <c r="M1412" s="120">
        <f ca="1">IFERROR(__xludf.DUMMYFUNCTION("""COMPUTED_VALUE"""),-86.7)</f>
        <v>-86.7</v>
      </c>
      <c r="N1412" s="121"/>
      <c r="O1412" s="120">
        <f ca="1">IFERROR(__xludf.DUMMYFUNCTION("""COMPUTED_VALUE"""),73.95)</f>
        <v>73.95</v>
      </c>
      <c r="P1412" s="122"/>
      <c r="Q1412" s="123"/>
      <c r="R1412" s="123"/>
      <c r="S1412" s="123"/>
      <c r="T1412" s="123"/>
    </row>
    <row r="1413" spans="1:20" ht="13.8">
      <c r="A1413" s="118" t="str">
        <f ca="1">IFERROR(__xludf.DUMMYFUNCTION("""COMPUTED_VALUE"""),"OKM")</f>
        <v>OKM</v>
      </c>
      <c r="B1413" s="119" t="str">
        <f ca="1">IFERROR(__xludf.DUMMYFUNCTION("""COMPUTED_VALUE"""),"Anya Osterhout")</f>
        <v>Anya Osterhout</v>
      </c>
      <c r="C1413" s="118">
        <f ca="1">IFERROR(__xludf.DUMMYFUNCTION("""COMPUTED_VALUE"""),13)</f>
        <v>13</v>
      </c>
      <c r="D1413" s="118" t="str">
        <f ca="1">IFERROR(__xludf.DUMMYFUNCTION("""COMPUTED_VALUE"""),"G")</f>
        <v>G</v>
      </c>
      <c r="E1413" s="118" t="str">
        <f ca="1">IFERROR(__xludf.DUMMYFUNCTION("""COMPUTED_VALUE"""),"I")</f>
        <v>I</v>
      </c>
      <c r="F1413" s="118" t="str">
        <f ca="1">IFERROR(__xludf.DUMMYFUNCTION("""COMPUTED_VALUE"""),"S")</f>
        <v>S</v>
      </c>
      <c r="G1413" s="118">
        <f ca="1">IFERROR(__xludf.DUMMYFUNCTION("""COMPUTED_VALUE"""),1)</f>
        <v>1</v>
      </c>
      <c r="H1413" s="118" t="str">
        <f ca="1">IFERROR(__xludf.DUMMYFUNCTION("""COMPUTED_VALUE"""),"OKM")</f>
        <v>OKM</v>
      </c>
      <c r="I1413" s="118">
        <f ca="1">IFERROR(__xludf.DUMMYFUNCTION("""COMPUTED_VALUE"""),8)</f>
        <v>8</v>
      </c>
      <c r="J1413" s="118">
        <f ca="1">IFERROR(__xludf.DUMMYFUNCTION("""COMPUTED_VALUE"""),4)</f>
        <v>4</v>
      </c>
      <c r="K1413" s="120">
        <f ca="1">IFERROR(__xludf.DUMMYFUNCTION("""COMPUTED_VALUE"""),-155.8)</f>
        <v>-155.80000000000001</v>
      </c>
      <c r="L1413" s="121"/>
      <c r="M1413" s="120"/>
      <c r="N1413" s="121"/>
      <c r="O1413" s="120">
        <f ca="1">IFERROR(__xludf.DUMMYFUNCTION("""COMPUTED_VALUE"""),-163.35)</f>
        <v>-163.35</v>
      </c>
      <c r="P1413" s="122"/>
      <c r="Q1413" s="123"/>
      <c r="R1413" s="123"/>
      <c r="S1413" s="123"/>
      <c r="T1413" s="123"/>
    </row>
    <row r="1414" spans="1:20" ht="13.8">
      <c r="A1414" s="118" t="str">
        <f ca="1">IFERROR(__xludf.DUMMYFUNCTION("""COMPUTED_VALUE"""),"OKM")</f>
        <v>OKM</v>
      </c>
      <c r="B1414" s="119" t="str">
        <f ca="1">IFERROR(__xludf.DUMMYFUNCTION("""COMPUTED_VALUE"""),"Caroline Copes")</f>
        <v>Caroline Copes</v>
      </c>
      <c r="C1414" s="118">
        <f ca="1">IFERROR(__xludf.DUMMYFUNCTION("""COMPUTED_VALUE"""),14)</f>
        <v>14</v>
      </c>
      <c r="D1414" s="118" t="str">
        <f ca="1">IFERROR(__xludf.DUMMYFUNCTION("""COMPUTED_VALUE"""),"G")</f>
        <v>G</v>
      </c>
      <c r="E1414" s="118" t="str">
        <f ca="1">IFERROR(__xludf.DUMMYFUNCTION("""COMPUTED_VALUE"""),"I")</f>
        <v>I</v>
      </c>
      <c r="F1414" s="118" t="str">
        <f ca="1">IFERROR(__xludf.DUMMYFUNCTION("""COMPUTED_VALUE"""),"S")</f>
        <v>S</v>
      </c>
      <c r="G1414" s="118">
        <f ca="1">IFERROR(__xludf.DUMMYFUNCTION("""COMPUTED_VALUE"""),1)</f>
        <v>1</v>
      </c>
      <c r="H1414" s="118" t="str">
        <f ca="1">IFERROR(__xludf.DUMMYFUNCTION("""COMPUTED_VALUE"""),"OKM")</f>
        <v>OKM</v>
      </c>
      <c r="I1414" s="118">
        <f ca="1">IFERROR(__xludf.DUMMYFUNCTION("""COMPUTED_VALUE"""),8)</f>
        <v>8</v>
      </c>
      <c r="J1414" s="118">
        <f ca="1">IFERROR(__xludf.DUMMYFUNCTION("""COMPUTED_VALUE"""),5)</f>
        <v>5</v>
      </c>
      <c r="K1414" s="120">
        <f ca="1">IFERROR(__xludf.DUMMYFUNCTION("""COMPUTED_VALUE"""),141.1)</f>
        <v>141.1</v>
      </c>
      <c r="L1414" s="121"/>
      <c r="M1414" s="120">
        <f ca="1">IFERROR(__xludf.DUMMYFUNCTION("""COMPUTED_VALUE"""),127.2)</f>
        <v>127.2</v>
      </c>
      <c r="N1414" s="121"/>
      <c r="O1414" s="120">
        <f ca="1">IFERROR(__xludf.DUMMYFUNCTION("""COMPUTED_VALUE"""),120.25)</f>
        <v>120.25</v>
      </c>
      <c r="P1414" s="122"/>
      <c r="Q1414" s="123"/>
      <c r="R1414" s="123"/>
      <c r="S1414" s="123"/>
      <c r="T1414" s="123"/>
    </row>
    <row r="1415" spans="1:20" ht="13.8">
      <c r="A1415" s="118" t="str">
        <f ca="1">IFERROR(__xludf.DUMMYFUNCTION("""COMPUTED_VALUE"""),"OKM")</f>
        <v>OKM</v>
      </c>
      <c r="B1415" s="119" t="str">
        <f ca="1">IFERROR(__xludf.DUMMYFUNCTION("""COMPUTED_VALUE"""),"Emery Mashuda")</f>
        <v>Emery Mashuda</v>
      </c>
      <c r="C1415" s="118">
        <f ca="1">IFERROR(__xludf.DUMMYFUNCTION("""COMPUTED_VALUE"""),13)</f>
        <v>13</v>
      </c>
      <c r="D1415" s="118" t="str">
        <f ca="1">IFERROR(__xludf.DUMMYFUNCTION("""COMPUTED_VALUE"""),"G")</f>
        <v>G</v>
      </c>
      <c r="E1415" s="118" t="str">
        <f ca="1">IFERROR(__xludf.DUMMYFUNCTION("""COMPUTED_VALUE"""),"I")</f>
        <v>I</v>
      </c>
      <c r="F1415" s="118" t="str">
        <f ca="1">IFERROR(__xludf.DUMMYFUNCTION("""COMPUTED_VALUE"""),"S")</f>
        <v>S</v>
      </c>
      <c r="G1415" s="118">
        <f ca="1">IFERROR(__xludf.DUMMYFUNCTION("""COMPUTED_VALUE"""),1)</f>
        <v>1</v>
      </c>
      <c r="H1415" s="118" t="str">
        <f ca="1">IFERROR(__xludf.DUMMYFUNCTION("""COMPUTED_VALUE"""),"OKM")</f>
        <v>OKM</v>
      </c>
      <c r="I1415" s="118">
        <f ca="1">IFERROR(__xludf.DUMMYFUNCTION("""COMPUTED_VALUE"""),8)</f>
        <v>8</v>
      </c>
      <c r="J1415" s="118">
        <f ca="1">IFERROR(__xludf.DUMMYFUNCTION("""COMPUTED_VALUE"""),0)</f>
        <v>0</v>
      </c>
      <c r="K1415" s="120"/>
      <c r="L1415" s="121"/>
      <c r="M1415" s="120"/>
      <c r="N1415" s="121"/>
      <c r="O1415" s="120"/>
      <c r="P1415" s="122"/>
      <c r="Q1415" s="123"/>
      <c r="R1415" s="123"/>
      <c r="S1415" s="123"/>
      <c r="T1415" s="123"/>
    </row>
    <row r="1416" spans="1:20" ht="13.8">
      <c r="A1416" s="118" t="str">
        <f ca="1">IFERROR(__xludf.DUMMYFUNCTION("""COMPUTED_VALUE"""),"OKM")</f>
        <v>OKM</v>
      </c>
      <c r="B1416" s="119" t="str">
        <f ca="1">IFERROR(__xludf.DUMMYFUNCTION("""COMPUTED_VALUE"""),"Lulu Reese")</f>
        <v>Lulu Reese</v>
      </c>
      <c r="C1416" s="118">
        <f ca="1">IFERROR(__xludf.DUMMYFUNCTION("""COMPUTED_VALUE"""),13)</f>
        <v>13</v>
      </c>
      <c r="D1416" s="118" t="str">
        <f ca="1">IFERROR(__xludf.DUMMYFUNCTION("""COMPUTED_VALUE"""),"G")</f>
        <v>G</v>
      </c>
      <c r="E1416" s="118" t="str">
        <f ca="1">IFERROR(__xludf.DUMMYFUNCTION("""COMPUTED_VALUE"""),"I")</f>
        <v>I</v>
      </c>
      <c r="F1416" s="118" t="str">
        <f ca="1">IFERROR(__xludf.DUMMYFUNCTION("""COMPUTED_VALUE"""),"S")</f>
        <v>S</v>
      </c>
      <c r="G1416" s="118">
        <f ca="1">IFERROR(__xludf.DUMMYFUNCTION("""COMPUTED_VALUE"""),1)</f>
        <v>1</v>
      </c>
      <c r="H1416" s="118" t="str">
        <f ca="1">IFERROR(__xludf.DUMMYFUNCTION("""COMPUTED_VALUE"""),"OKM")</f>
        <v>OKM</v>
      </c>
      <c r="I1416" s="118">
        <f ca="1">IFERROR(__xludf.DUMMYFUNCTION("""COMPUTED_VALUE"""),8)</f>
        <v>8</v>
      </c>
      <c r="J1416" s="118">
        <f ca="1">IFERROR(__xludf.DUMMYFUNCTION("""COMPUTED_VALUE"""),0)</f>
        <v>0</v>
      </c>
      <c r="K1416" s="120"/>
      <c r="L1416" s="121"/>
      <c r="M1416" s="120"/>
      <c r="N1416" s="121"/>
      <c r="O1416" s="120"/>
      <c r="P1416" s="122"/>
      <c r="Q1416" s="123"/>
      <c r="R1416" s="123"/>
      <c r="S1416" s="123"/>
      <c r="T1416" s="123"/>
    </row>
    <row r="1417" spans="1:20" ht="13.8">
      <c r="A1417" s="118" t="str">
        <f ca="1">IFERROR(__xludf.DUMMYFUNCTION("""COMPUTED_VALUE"""),"OKM")</f>
        <v>OKM</v>
      </c>
      <c r="B1417" s="119" t="str">
        <f ca="1">IFERROR(__xludf.DUMMYFUNCTION("""COMPUTED_VALUE"""),"Madelyn Speed")</f>
        <v>Madelyn Speed</v>
      </c>
      <c r="C1417" s="118">
        <f ca="1">IFERROR(__xludf.DUMMYFUNCTION("""COMPUTED_VALUE"""),13)</f>
        <v>13</v>
      </c>
      <c r="D1417" s="118" t="str">
        <f ca="1">IFERROR(__xludf.DUMMYFUNCTION("""COMPUTED_VALUE"""),"G")</f>
        <v>G</v>
      </c>
      <c r="E1417" s="118" t="str">
        <f ca="1">IFERROR(__xludf.DUMMYFUNCTION("""COMPUTED_VALUE"""),"I")</f>
        <v>I</v>
      </c>
      <c r="F1417" s="118" t="str">
        <f ca="1">IFERROR(__xludf.DUMMYFUNCTION("""COMPUTED_VALUE"""),"S")</f>
        <v>S</v>
      </c>
      <c r="G1417" s="118">
        <f ca="1">IFERROR(__xludf.DUMMYFUNCTION("""COMPUTED_VALUE"""),1)</f>
        <v>1</v>
      </c>
      <c r="H1417" s="118" t="str">
        <f ca="1">IFERROR(__xludf.DUMMYFUNCTION("""COMPUTED_VALUE"""),"OKM")</f>
        <v>OKM</v>
      </c>
      <c r="I1417" s="118">
        <f ca="1">IFERROR(__xludf.DUMMYFUNCTION("""COMPUTED_VALUE"""),8)</f>
        <v>8</v>
      </c>
      <c r="J1417" s="118">
        <f ca="1">IFERROR(__xludf.DUMMYFUNCTION("""COMPUTED_VALUE"""),3)</f>
        <v>3</v>
      </c>
      <c r="K1417" s="120">
        <f ca="1">IFERROR(__xludf.DUMMYFUNCTION("""COMPUTED_VALUE"""),110.15)</f>
        <v>110.15</v>
      </c>
      <c r="L1417" s="121"/>
      <c r="M1417" s="120">
        <f ca="1">IFERROR(__xludf.DUMMYFUNCTION("""COMPUTED_VALUE"""),97.25)</f>
        <v>97.25</v>
      </c>
      <c r="N1417" s="121"/>
      <c r="O1417" s="120">
        <f ca="1">IFERROR(__xludf.DUMMYFUNCTION("""COMPUTED_VALUE"""),102.3)</f>
        <v>102.3</v>
      </c>
      <c r="P1417" s="122"/>
      <c r="Q1417" s="123"/>
      <c r="R1417" s="123"/>
      <c r="S1417" s="123"/>
      <c r="T1417" s="123"/>
    </row>
    <row r="1418" spans="1:20" ht="13.8">
      <c r="A1418" s="118" t="str">
        <f ca="1">IFERROR(__xludf.DUMMYFUNCTION("""COMPUTED_VALUE"""),"OKM")</f>
        <v>OKM</v>
      </c>
      <c r="B1418" s="119" t="str">
        <f ca="1">IFERROR(__xludf.DUMMYFUNCTION("""COMPUTED_VALUE"""),"Samantha Kluger")</f>
        <v>Samantha Kluger</v>
      </c>
      <c r="C1418" s="118">
        <f ca="1">IFERROR(__xludf.DUMMYFUNCTION("""COMPUTED_VALUE"""),13)</f>
        <v>13</v>
      </c>
      <c r="D1418" s="118" t="str">
        <f ca="1">IFERROR(__xludf.DUMMYFUNCTION("""COMPUTED_VALUE"""),"G")</f>
        <v>G</v>
      </c>
      <c r="E1418" s="118" t="str">
        <f ca="1">IFERROR(__xludf.DUMMYFUNCTION("""COMPUTED_VALUE"""),"I")</f>
        <v>I</v>
      </c>
      <c r="F1418" s="118" t="str">
        <f ca="1">IFERROR(__xludf.DUMMYFUNCTION("""COMPUTED_VALUE"""),"S")</f>
        <v>S</v>
      </c>
      <c r="G1418" s="118">
        <f ca="1">IFERROR(__xludf.DUMMYFUNCTION("""COMPUTED_VALUE"""),1)</f>
        <v>1</v>
      </c>
      <c r="H1418" s="118" t="str">
        <f ca="1">IFERROR(__xludf.DUMMYFUNCTION("""COMPUTED_VALUE"""),"OKM")</f>
        <v>OKM</v>
      </c>
      <c r="I1418" s="118">
        <f ca="1">IFERROR(__xludf.DUMMYFUNCTION("""COMPUTED_VALUE"""),8)</f>
        <v>8</v>
      </c>
      <c r="J1418" s="118">
        <f ca="1">IFERROR(__xludf.DUMMYFUNCTION("""COMPUTED_VALUE"""),5)</f>
        <v>5</v>
      </c>
      <c r="K1418" s="120">
        <f ca="1">IFERROR(__xludf.DUMMYFUNCTION("""COMPUTED_VALUE"""),124.1)</f>
        <v>124.1</v>
      </c>
      <c r="L1418" s="121"/>
      <c r="M1418" s="120">
        <f ca="1">IFERROR(__xludf.DUMMYFUNCTION("""COMPUTED_VALUE"""),-146.65)</f>
        <v>-146.65</v>
      </c>
      <c r="N1418" s="121"/>
      <c r="O1418" s="120">
        <f ca="1">IFERROR(__xludf.DUMMYFUNCTION("""COMPUTED_VALUE"""),124.1)</f>
        <v>124.1</v>
      </c>
      <c r="P1418" s="122"/>
      <c r="Q1418" s="123"/>
      <c r="R1418" s="123"/>
      <c r="S1418" s="123"/>
      <c r="T1418" s="123"/>
    </row>
    <row r="1419" spans="1:20" ht="13.8">
      <c r="A1419" s="118" t="str">
        <f ca="1">IFERROR(__xludf.DUMMYFUNCTION("""COMPUTED_VALUE"""),"OKM")</f>
        <v>OKM</v>
      </c>
      <c r="B1419" s="119" t="str">
        <f ca="1">IFERROR(__xludf.DUMMYFUNCTION("""COMPUTED_VALUE"""),"Shannon Stegmaier")</f>
        <v>Shannon Stegmaier</v>
      </c>
      <c r="C1419" s="118">
        <f ca="1">IFERROR(__xludf.DUMMYFUNCTION("""COMPUTED_VALUE"""),13)</f>
        <v>13</v>
      </c>
      <c r="D1419" s="118" t="str">
        <f ca="1">IFERROR(__xludf.DUMMYFUNCTION("""COMPUTED_VALUE"""),"G")</f>
        <v>G</v>
      </c>
      <c r="E1419" s="118" t="str">
        <f ca="1">IFERROR(__xludf.DUMMYFUNCTION("""COMPUTED_VALUE"""),"I")</f>
        <v>I</v>
      </c>
      <c r="F1419" s="118" t="str">
        <f ca="1">IFERROR(__xludf.DUMMYFUNCTION("""COMPUTED_VALUE"""),"S")</f>
        <v>S</v>
      </c>
      <c r="G1419" s="118">
        <f ca="1">IFERROR(__xludf.DUMMYFUNCTION("""COMPUTED_VALUE"""),1)</f>
        <v>1</v>
      </c>
      <c r="H1419" s="118" t="str">
        <f ca="1">IFERROR(__xludf.DUMMYFUNCTION("""COMPUTED_VALUE"""),"OKM")</f>
        <v>OKM</v>
      </c>
      <c r="I1419" s="118">
        <f ca="1">IFERROR(__xludf.DUMMYFUNCTION("""COMPUTED_VALUE"""),8)</f>
        <v>8</v>
      </c>
      <c r="J1419" s="118">
        <f ca="1">IFERROR(__xludf.DUMMYFUNCTION("""COMPUTED_VALUE"""),5)</f>
        <v>5</v>
      </c>
      <c r="K1419" s="120">
        <f ca="1">IFERROR(__xludf.DUMMYFUNCTION("""COMPUTED_VALUE"""),122.6)</f>
        <v>122.6</v>
      </c>
      <c r="L1419" s="121"/>
      <c r="M1419" s="120">
        <f ca="1">IFERROR(__xludf.DUMMYFUNCTION("""COMPUTED_VALUE"""),-149.45)</f>
        <v>-149.44999999999999</v>
      </c>
      <c r="N1419" s="121"/>
      <c r="O1419" s="120">
        <f ca="1">IFERROR(__xludf.DUMMYFUNCTION("""COMPUTED_VALUE"""),122.6)</f>
        <v>122.6</v>
      </c>
      <c r="P1419" s="122"/>
      <c r="Q1419" s="123"/>
      <c r="R1419" s="123"/>
      <c r="S1419" s="123"/>
      <c r="T1419" s="123"/>
    </row>
    <row r="1420" spans="1:20" ht="13.8">
      <c r="A1420" s="118" t="str">
        <f ca="1">IFERROR(__xludf.DUMMYFUNCTION("""COMPUTED_VALUE"""),"OKM")</f>
        <v>OKM</v>
      </c>
      <c r="B1420" s="119" t="str">
        <f ca="1">IFERROR(__xludf.DUMMYFUNCTION("""COMPUTED_VALUE"""),"Taryn Kaiser")</f>
        <v>Taryn Kaiser</v>
      </c>
      <c r="C1420" s="118">
        <f ca="1">IFERROR(__xludf.DUMMYFUNCTION("""COMPUTED_VALUE"""),14)</f>
        <v>14</v>
      </c>
      <c r="D1420" s="118" t="str">
        <f ca="1">IFERROR(__xludf.DUMMYFUNCTION("""COMPUTED_VALUE"""),"G")</f>
        <v>G</v>
      </c>
      <c r="E1420" s="118" t="str">
        <f ca="1">IFERROR(__xludf.DUMMYFUNCTION("""COMPUTED_VALUE"""),"I")</f>
        <v>I</v>
      </c>
      <c r="F1420" s="118" t="str">
        <f ca="1">IFERROR(__xludf.DUMMYFUNCTION("""COMPUTED_VALUE"""),"S")</f>
        <v>S</v>
      </c>
      <c r="G1420" s="118">
        <f ca="1">IFERROR(__xludf.DUMMYFUNCTION("""COMPUTED_VALUE"""),1)</f>
        <v>1</v>
      </c>
      <c r="H1420" s="118" t="str">
        <f ca="1">IFERROR(__xludf.DUMMYFUNCTION("""COMPUTED_VALUE"""),"OKM")</f>
        <v>OKM</v>
      </c>
      <c r="I1420" s="118">
        <f ca="1">IFERROR(__xludf.DUMMYFUNCTION("""COMPUTED_VALUE"""),8)</f>
        <v>8</v>
      </c>
      <c r="J1420" s="118">
        <f ca="1">IFERROR(__xludf.DUMMYFUNCTION("""COMPUTED_VALUE"""),5)</f>
        <v>5</v>
      </c>
      <c r="K1420" s="120">
        <f ca="1">IFERROR(__xludf.DUMMYFUNCTION("""COMPUTED_VALUE"""),103.3)</f>
        <v>103.3</v>
      </c>
      <c r="L1420" s="121"/>
      <c r="M1420" s="120">
        <f ca="1">IFERROR(__xludf.DUMMYFUNCTION("""COMPUTED_VALUE"""),103.3)</f>
        <v>103.3</v>
      </c>
      <c r="N1420" s="121"/>
      <c r="O1420" s="120">
        <f ca="1">IFERROR(__xludf.DUMMYFUNCTION("""COMPUTED_VALUE"""),98.25)</f>
        <v>98.25</v>
      </c>
      <c r="P1420" s="122"/>
      <c r="Q1420" s="123"/>
      <c r="R1420" s="123"/>
      <c r="S1420" s="123"/>
      <c r="T1420" s="123"/>
    </row>
    <row r="1421" spans="1:20" ht="13.8">
      <c r="A1421" s="118" t="str">
        <f ca="1">IFERROR(__xludf.DUMMYFUNCTION("""COMPUTED_VALUE"""),"OKM")</f>
        <v>OKM</v>
      </c>
      <c r="B1421" s="119" t="str">
        <f ca="1">IFERROR(__xludf.DUMMYFUNCTION("""COMPUTED_VALUE"""),"Luke Nobles")</f>
        <v>Luke Nobles</v>
      </c>
      <c r="C1421" s="118">
        <f ca="1">IFERROR(__xludf.DUMMYFUNCTION("""COMPUTED_VALUE"""),13)</f>
        <v>13</v>
      </c>
      <c r="D1421" s="118" t="str">
        <f ca="1">IFERROR(__xludf.DUMMYFUNCTION("""COMPUTED_VALUE"""),"B")</f>
        <v>B</v>
      </c>
      <c r="E1421" s="118" t="str">
        <f ca="1">IFERROR(__xludf.DUMMYFUNCTION("""COMPUTED_VALUE"""),"I")</f>
        <v>I</v>
      </c>
      <c r="F1421" s="118" t="str">
        <f ca="1">IFERROR(__xludf.DUMMYFUNCTION("""COMPUTED_VALUE"""),"S")</f>
        <v>S</v>
      </c>
      <c r="G1421" s="118">
        <f ca="1">IFERROR(__xludf.DUMMYFUNCTION("""COMPUTED_VALUE"""),1)</f>
        <v>1</v>
      </c>
      <c r="H1421" s="118" t="str">
        <f ca="1">IFERROR(__xludf.DUMMYFUNCTION("""COMPUTED_VALUE"""),"OKM")</f>
        <v>OKM</v>
      </c>
      <c r="I1421" s="118">
        <f ca="1">IFERROR(__xludf.DUMMYFUNCTION("""COMPUTED_VALUE"""),9)</f>
        <v>9</v>
      </c>
      <c r="J1421" s="118">
        <f ca="1">IFERROR(__xludf.DUMMYFUNCTION("""COMPUTED_VALUE"""),4)</f>
        <v>4</v>
      </c>
      <c r="K1421" s="120">
        <f ca="1">IFERROR(__xludf.DUMMYFUNCTION("""COMPUTED_VALUE"""),73.3)</f>
        <v>73.3</v>
      </c>
      <c r="L1421" s="121"/>
      <c r="M1421" s="120"/>
      <c r="N1421" s="121"/>
      <c r="O1421" s="120">
        <f ca="1">IFERROR(__xludf.DUMMYFUNCTION("""COMPUTED_VALUE"""),71.55)</f>
        <v>71.55</v>
      </c>
      <c r="P1421" s="122"/>
      <c r="Q1421" s="123"/>
      <c r="R1421" s="123"/>
      <c r="S1421" s="123"/>
      <c r="T1421" s="123"/>
    </row>
    <row r="1422" spans="1:20" ht="13.8">
      <c r="A1422" s="118" t="str">
        <f ca="1">IFERROR(__xludf.DUMMYFUNCTION("""COMPUTED_VALUE"""),"OKM")</f>
        <v>OKM</v>
      </c>
      <c r="B1422" s="119" t="str">
        <f ca="1">IFERROR(__xludf.DUMMYFUNCTION("""COMPUTED_VALUE"""),"Rachael Pulice")</f>
        <v>Rachael Pulice</v>
      </c>
      <c r="C1422" s="118">
        <f ca="1">IFERROR(__xludf.DUMMYFUNCTION("""COMPUTED_VALUE"""),16)</f>
        <v>16</v>
      </c>
      <c r="D1422" s="118" t="str">
        <f ca="1">IFERROR(__xludf.DUMMYFUNCTION("""COMPUTED_VALUE"""),"G")</f>
        <v>G</v>
      </c>
      <c r="E1422" s="118" t="str">
        <f ca="1">IFERROR(__xludf.DUMMYFUNCTION("""COMPUTED_VALUE"""),"S")</f>
        <v>S</v>
      </c>
      <c r="F1422" s="118" t="str">
        <f ca="1">IFERROR(__xludf.DUMMYFUNCTION("""COMPUTED_VALUE"""),"S")</f>
        <v>S</v>
      </c>
      <c r="G1422" s="118">
        <f ca="1">IFERROR(__xludf.DUMMYFUNCTION("""COMPUTED_VALUE"""),1)</f>
        <v>1</v>
      </c>
      <c r="H1422" s="118" t="str">
        <f ca="1">IFERROR(__xludf.DUMMYFUNCTION("""COMPUTED_VALUE"""),"OKM")</f>
        <v>OKM</v>
      </c>
      <c r="I1422" s="118">
        <f ca="1">IFERROR(__xludf.DUMMYFUNCTION("""COMPUTED_VALUE"""),10)</f>
        <v>10</v>
      </c>
      <c r="J1422" s="118">
        <f ca="1">IFERROR(__xludf.DUMMYFUNCTION("""COMPUTED_VALUE"""),5)</f>
        <v>5</v>
      </c>
      <c r="K1422" s="120">
        <f ca="1">IFERROR(__xludf.DUMMYFUNCTION("""COMPUTED_VALUE"""),153.65)</f>
        <v>153.65</v>
      </c>
      <c r="L1422" s="121"/>
      <c r="M1422" s="120">
        <f ca="1">IFERROR(__xludf.DUMMYFUNCTION("""COMPUTED_VALUE"""),151.55)</f>
        <v>151.55000000000001</v>
      </c>
      <c r="N1422" s="121"/>
      <c r="O1422" s="120">
        <f ca="1">IFERROR(__xludf.DUMMYFUNCTION("""COMPUTED_VALUE"""),149.85)</f>
        <v>149.85</v>
      </c>
      <c r="P1422" s="122"/>
      <c r="Q1422" s="123"/>
      <c r="R1422" s="123"/>
      <c r="S1422" s="123"/>
      <c r="T1422" s="123"/>
    </row>
    <row r="1423" spans="1:20" ht="13.8">
      <c r="A1423" s="118" t="str">
        <f ca="1">IFERROR(__xludf.DUMMYFUNCTION("""COMPUTED_VALUE"""),"OKM")</f>
        <v>OKM</v>
      </c>
      <c r="B1423" s="119" t="str">
        <f ca="1">IFERROR(__xludf.DUMMYFUNCTION("""COMPUTED_VALUE"""),"Liam Miller")</f>
        <v>Liam Miller</v>
      </c>
      <c r="C1423" s="118">
        <f ca="1">IFERROR(__xludf.DUMMYFUNCTION("""COMPUTED_VALUE"""),18)</f>
        <v>18</v>
      </c>
      <c r="D1423" s="118" t="str">
        <f ca="1">IFERROR(__xludf.DUMMYFUNCTION("""COMPUTED_VALUE"""),"B")</f>
        <v>B</v>
      </c>
      <c r="E1423" s="118" t="str">
        <f ca="1">IFERROR(__xludf.DUMMYFUNCTION("""COMPUTED_VALUE"""),"S")</f>
        <v>S</v>
      </c>
      <c r="F1423" s="118" t="str">
        <f ca="1">IFERROR(__xludf.DUMMYFUNCTION("""COMPUTED_VALUE"""),"S")</f>
        <v>S</v>
      </c>
      <c r="G1423" s="118">
        <f ca="1">IFERROR(__xludf.DUMMYFUNCTION("""COMPUTED_VALUE"""),1)</f>
        <v>1</v>
      </c>
      <c r="H1423" s="118" t="str">
        <f ca="1">IFERROR(__xludf.DUMMYFUNCTION("""COMPUTED_VALUE"""),"OKM")</f>
        <v>OKM</v>
      </c>
      <c r="I1423" s="118">
        <f ca="1">IFERROR(__xludf.DUMMYFUNCTION("""COMPUTED_VALUE"""),11)</f>
        <v>11</v>
      </c>
      <c r="J1423" s="118">
        <f ca="1">IFERROR(__xludf.DUMMYFUNCTION("""COMPUTED_VALUE"""),4)</f>
        <v>4</v>
      </c>
      <c r="K1423" s="120">
        <f ca="1">IFERROR(__xludf.DUMMYFUNCTION("""COMPUTED_VALUE"""),264.55)</f>
        <v>264.55</v>
      </c>
      <c r="L1423" s="121"/>
      <c r="M1423" s="120"/>
      <c r="N1423" s="121"/>
      <c r="O1423" s="120">
        <f ca="1">IFERROR(__xludf.DUMMYFUNCTION("""COMPUTED_VALUE"""),255.8)</f>
        <v>255.8</v>
      </c>
      <c r="P1423" s="122"/>
      <c r="Q1423" s="123"/>
      <c r="R1423" s="123"/>
      <c r="S1423" s="123"/>
      <c r="T1423" s="123"/>
    </row>
    <row r="1424" spans="1:20" ht="13.8">
      <c r="A1424" s="118" t="str">
        <f ca="1">IFERROR(__xludf.DUMMYFUNCTION("""COMPUTED_VALUE"""),"OKM")</f>
        <v>OKM</v>
      </c>
      <c r="B1424" s="119" t="str">
        <f ca="1">IFERROR(__xludf.DUMMYFUNCTION("""COMPUTED_VALUE"""),"Zavier Green")</f>
        <v>Zavier Green</v>
      </c>
      <c r="C1424" s="118">
        <f ca="1">IFERROR(__xludf.DUMMYFUNCTION("""COMPUTED_VALUE"""),17)</f>
        <v>17</v>
      </c>
      <c r="D1424" s="118" t="str">
        <f ca="1">IFERROR(__xludf.DUMMYFUNCTION("""COMPUTED_VALUE"""),"B")</f>
        <v>B</v>
      </c>
      <c r="E1424" s="118" t="str">
        <f ca="1">IFERROR(__xludf.DUMMYFUNCTION("""COMPUTED_VALUE"""),"S")</f>
        <v>S</v>
      </c>
      <c r="F1424" s="118" t="str">
        <f ca="1">IFERROR(__xludf.DUMMYFUNCTION("""COMPUTED_VALUE"""),"S")</f>
        <v>S</v>
      </c>
      <c r="G1424" s="118">
        <f ca="1">IFERROR(__xludf.DUMMYFUNCTION("""COMPUTED_VALUE"""),1)</f>
        <v>1</v>
      </c>
      <c r="H1424" s="118" t="str">
        <f ca="1">IFERROR(__xludf.DUMMYFUNCTION("""COMPUTED_VALUE"""),"OKM")</f>
        <v>OKM</v>
      </c>
      <c r="I1424" s="118">
        <f ca="1">IFERROR(__xludf.DUMMYFUNCTION("""COMPUTED_VALUE"""),11)</f>
        <v>11</v>
      </c>
      <c r="J1424" s="118">
        <f ca="1">IFERROR(__xludf.DUMMYFUNCTION("""COMPUTED_VALUE"""),1)</f>
        <v>1</v>
      </c>
      <c r="K1424" s="120">
        <f ca="1">IFERROR(__xludf.DUMMYFUNCTION("""COMPUTED_VALUE"""),110.85)</f>
        <v>110.85</v>
      </c>
      <c r="L1424" s="121"/>
      <c r="M1424" s="120">
        <f ca="1">IFERROR(__xludf.DUMMYFUNCTION("""COMPUTED_VALUE"""),110.85)</f>
        <v>110.85</v>
      </c>
      <c r="N1424" s="121"/>
      <c r="O1424" s="120"/>
      <c r="P1424" s="122"/>
      <c r="Q1424" s="123"/>
      <c r="R1424" s="123"/>
      <c r="S1424" s="123"/>
      <c r="T1424" s="123"/>
    </row>
    <row r="1425" spans="1:20" ht="13.8">
      <c r="A1425" s="118" t="str">
        <f ca="1">IFERROR(__xludf.DUMMYFUNCTION("""COMPUTED_VALUE"""),"PAR")</f>
        <v>PAR</v>
      </c>
      <c r="B1425" s="119" t="str">
        <f ca="1">IFERROR(__xludf.DUMMYFUNCTION("""COMPUTED_VALUE"""),"Aislyn Burnside")</f>
        <v>Aislyn Burnside</v>
      </c>
      <c r="C1425" s="118">
        <f ca="1">IFERROR(__xludf.DUMMYFUNCTION("""COMPUTED_VALUE"""),9)</f>
        <v>9</v>
      </c>
      <c r="D1425" s="118" t="str">
        <f ca="1">IFERROR(__xludf.DUMMYFUNCTION("""COMPUTED_VALUE"""),"G")</f>
        <v>G</v>
      </c>
      <c r="E1425" s="118" t="str">
        <f ca="1">IFERROR(__xludf.DUMMYFUNCTION("""COMPUTED_VALUE"""),"F")</f>
        <v>F</v>
      </c>
      <c r="F1425" s="118" t="str">
        <f ca="1">IFERROR(__xludf.DUMMYFUNCTION("""COMPUTED_VALUE"""),"J")</f>
        <v>J</v>
      </c>
      <c r="G1425" s="118">
        <f ca="1">IFERROR(__xludf.DUMMYFUNCTION("""COMPUTED_VALUE"""),3)</f>
        <v>3</v>
      </c>
      <c r="H1425" s="118" t="str">
        <f ca="1">IFERROR(__xludf.DUMMYFUNCTION("""COMPUTED_VALUE"""),"PAR")</f>
        <v>PAR</v>
      </c>
      <c r="I1425" s="118">
        <f ca="1">IFERROR(__xludf.DUMMYFUNCTION("""COMPUTED_VALUE"""),4)</f>
        <v>4</v>
      </c>
      <c r="J1425" s="118">
        <f ca="1">IFERROR(__xludf.DUMMYFUNCTION("""COMPUTED_VALUE"""),0)</f>
        <v>0</v>
      </c>
      <c r="K1425" s="120"/>
      <c r="L1425" s="121"/>
      <c r="M1425" s="120"/>
      <c r="N1425" s="121"/>
      <c r="O1425" s="120"/>
      <c r="P1425" s="122"/>
      <c r="Q1425" s="123"/>
      <c r="R1425" s="123"/>
      <c r="S1425" s="123"/>
      <c r="T1425" s="123"/>
    </row>
    <row r="1426" spans="1:20" ht="13.8">
      <c r="A1426" s="118" t="str">
        <f ca="1">IFERROR(__xludf.DUMMYFUNCTION("""COMPUTED_VALUE"""),"PAR")</f>
        <v>PAR</v>
      </c>
      <c r="B1426" s="119" t="str">
        <f ca="1">IFERROR(__xludf.DUMMYFUNCTION("""COMPUTED_VALUE"""),"Ally Argenta")</f>
        <v>Ally Argenta</v>
      </c>
      <c r="C1426" s="118">
        <f ca="1">IFERROR(__xludf.DUMMYFUNCTION("""COMPUTED_VALUE"""),9)</f>
        <v>9</v>
      </c>
      <c r="D1426" s="118" t="str">
        <f ca="1">IFERROR(__xludf.DUMMYFUNCTION("""COMPUTED_VALUE"""),"G")</f>
        <v>G</v>
      </c>
      <c r="E1426" s="118" t="str">
        <f ca="1">IFERROR(__xludf.DUMMYFUNCTION("""COMPUTED_VALUE"""),"F")</f>
        <v>F</v>
      </c>
      <c r="F1426" s="118" t="str">
        <f ca="1">IFERROR(__xludf.DUMMYFUNCTION("""COMPUTED_VALUE"""),"J")</f>
        <v>J</v>
      </c>
      <c r="G1426" s="118">
        <f ca="1">IFERROR(__xludf.DUMMYFUNCTION("""COMPUTED_VALUE"""),3)</f>
        <v>3</v>
      </c>
      <c r="H1426" s="118" t="str">
        <f ca="1">IFERROR(__xludf.DUMMYFUNCTION("""COMPUTED_VALUE"""),"PAR")</f>
        <v>PAR</v>
      </c>
      <c r="I1426" s="118">
        <f ca="1">IFERROR(__xludf.DUMMYFUNCTION("""COMPUTED_VALUE"""),4)</f>
        <v>4</v>
      </c>
      <c r="J1426" s="118">
        <f ca="1">IFERROR(__xludf.DUMMYFUNCTION("""COMPUTED_VALUE"""),4)</f>
        <v>4</v>
      </c>
      <c r="K1426" s="120">
        <f ca="1">IFERROR(__xludf.DUMMYFUNCTION("""COMPUTED_VALUE"""),57.75)</f>
        <v>57.75</v>
      </c>
      <c r="L1426" s="121"/>
      <c r="M1426" s="120"/>
      <c r="N1426" s="121"/>
      <c r="O1426" s="120">
        <f ca="1">IFERROR(__xludf.DUMMYFUNCTION("""COMPUTED_VALUE"""),50.8)</f>
        <v>50.8</v>
      </c>
      <c r="P1426" s="122"/>
      <c r="Q1426" s="123"/>
      <c r="R1426" s="123"/>
      <c r="S1426" s="123"/>
      <c r="T1426" s="123"/>
    </row>
    <row r="1427" spans="1:20" ht="13.8">
      <c r="A1427" s="118" t="str">
        <f ca="1">IFERROR(__xludf.DUMMYFUNCTION("""COMPUTED_VALUE"""),"PAR")</f>
        <v>PAR</v>
      </c>
      <c r="B1427" s="119" t="str">
        <f ca="1">IFERROR(__xludf.DUMMYFUNCTION("""COMPUTED_VALUE"""),"Brielle Burnside")</f>
        <v>Brielle Burnside</v>
      </c>
      <c r="C1427" s="118">
        <f ca="1">IFERROR(__xludf.DUMMYFUNCTION("""COMPUTED_VALUE"""),10)</f>
        <v>10</v>
      </c>
      <c r="D1427" s="118" t="str">
        <f ca="1">IFERROR(__xludf.DUMMYFUNCTION("""COMPUTED_VALUE"""),"G")</f>
        <v>G</v>
      </c>
      <c r="E1427" s="118" t="str">
        <f ca="1">IFERROR(__xludf.DUMMYFUNCTION("""COMPUTED_VALUE"""),"F")</f>
        <v>F</v>
      </c>
      <c r="F1427" s="118" t="str">
        <f ca="1">IFERROR(__xludf.DUMMYFUNCTION("""COMPUTED_VALUE"""),"J")</f>
        <v>J</v>
      </c>
      <c r="G1427" s="118">
        <f ca="1">IFERROR(__xludf.DUMMYFUNCTION("""COMPUTED_VALUE"""),3)</f>
        <v>3</v>
      </c>
      <c r="H1427" s="118" t="str">
        <f ca="1">IFERROR(__xludf.DUMMYFUNCTION("""COMPUTED_VALUE"""),"PAR")</f>
        <v>PAR</v>
      </c>
      <c r="I1427" s="118">
        <f ca="1">IFERROR(__xludf.DUMMYFUNCTION("""COMPUTED_VALUE"""),4)</f>
        <v>4</v>
      </c>
      <c r="J1427" s="118">
        <f ca="1">IFERROR(__xludf.DUMMYFUNCTION("""COMPUTED_VALUE"""),5)</f>
        <v>5</v>
      </c>
      <c r="K1427" s="120">
        <f ca="1">IFERROR(__xludf.DUMMYFUNCTION("""COMPUTED_VALUE"""),68)</f>
        <v>68</v>
      </c>
      <c r="L1427" s="121"/>
      <c r="M1427" s="120">
        <f ca="1">IFERROR(__xludf.DUMMYFUNCTION("""COMPUTED_VALUE"""),68)</f>
        <v>68</v>
      </c>
      <c r="N1427" s="121"/>
      <c r="O1427" s="120">
        <f ca="1">IFERROR(__xludf.DUMMYFUNCTION("""COMPUTED_VALUE"""),63.55)</f>
        <v>63.55</v>
      </c>
      <c r="P1427" s="122"/>
      <c r="Q1427" s="123"/>
      <c r="R1427" s="123"/>
      <c r="S1427" s="123"/>
      <c r="T1427" s="123"/>
    </row>
    <row r="1428" spans="1:20" ht="13.8">
      <c r="A1428" s="118" t="str">
        <f ca="1">IFERROR(__xludf.DUMMYFUNCTION("""COMPUTED_VALUE"""),"PAR")</f>
        <v>PAR</v>
      </c>
      <c r="B1428" s="119" t="str">
        <f ca="1">IFERROR(__xludf.DUMMYFUNCTION("""COMPUTED_VALUE"""),"Eleanor Edwards")</f>
        <v>Eleanor Edwards</v>
      </c>
      <c r="C1428" s="118">
        <f ca="1">IFERROR(__xludf.DUMMYFUNCTION("""COMPUTED_VALUE"""),7)</f>
        <v>7</v>
      </c>
      <c r="D1428" s="118" t="str">
        <f ca="1">IFERROR(__xludf.DUMMYFUNCTION("""COMPUTED_VALUE"""),"G")</f>
        <v>G</v>
      </c>
      <c r="E1428" s="118" t="str">
        <f ca="1">IFERROR(__xludf.DUMMYFUNCTION("""COMPUTED_VALUE"""),"F")</f>
        <v>F</v>
      </c>
      <c r="F1428" s="118" t="str">
        <f ca="1">IFERROR(__xludf.DUMMYFUNCTION("""COMPUTED_VALUE"""),"J")</f>
        <v>J</v>
      </c>
      <c r="G1428" s="118">
        <f ca="1">IFERROR(__xludf.DUMMYFUNCTION("""COMPUTED_VALUE"""),3)</f>
        <v>3</v>
      </c>
      <c r="H1428" s="118" t="str">
        <f ca="1">IFERROR(__xludf.DUMMYFUNCTION("""COMPUTED_VALUE"""),"PAR")</f>
        <v>PAR</v>
      </c>
      <c r="I1428" s="118">
        <f ca="1">IFERROR(__xludf.DUMMYFUNCTION("""COMPUTED_VALUE"""),4)</f>
        <v>4</v>
      </c>
      <c r="J1428" s="118">
        <f ca="1">IFERROR(__xludf.DUMMYFUNCTION("""COMPUTED_VALUE"""),0)</f>
        <v>0</v>
      </c>
      <c r="K1428" s="120"/>
      <c r="L1428" s="121"/>
      <c r="M1428" s="120"/>
      <c r="N1428" s="121"/>
      <c r="O1428" s="120"/>
      <c r="P1428" s="122"/>
      <c r="Q1428" s="123"/>
      <c r="R1428" s="123"/>
      <c r="S1428" s="123"/>
      <c r="T1428" s="123"/>
    </row>
    <row r="1429" spans="1:20" ht="13.8">
      <c r="A1429" s="118" t="str">
        <f ca="1">IFERROR(__xludf.DUMMYFUNCTION("""COMPUTED_VALUE"""),"PAR")</f>
        <v>PAR</v>
      </c>
      <c r="B1429" s="119" t="str">
        <f ca="1">IFERROR(__xludf.DUMMYFUNCTION("""COMPUTED_VALUE"""),"Elena Scott")</f>
        <v>Elena Scott</v>
      </c>
      <c r="C1429" s="118">
        <f ca="1">IFERROR(__xludf.DUMMYFUNCTION("""COMPUTED_VALUE"""),9)</f>
        <v>9</v>
      </c>
      <c r="D1429" s="118" t="str">
        <f ca="1">IFERROR(__xludf.DUMMYFUNCTION("""COMPUTED_VALUE"""),"G")</f>
        <v>G</v>
      </c>
      <c r="E1429" s="118" t="str">
        <f ca="1">IFERROR(__xludf.DUMMYFUNCTION("""COMPUTED_VALUE"""),"F")</f>
        <v>F</v>
      </c>
      <c r="F1429" s="118" t="str">
        <f ca="1">IFERROR(__xludf.DUMMYFUNCTION("""COMPUTED_VALUE"""),"J")</f>
        <v>J</v>
      </c>
      <c r="G1429" s="118">
        <f ca="1">IFERROR(__xludf.DUMMYFUNCTION("""COMPUTED_VALUE"""),3)</f>
        <v>3</v>
      </c>
      <c r="H1429" s="118" t="str">
        <f ca="1">IFERROR(__xludf.DUMMYFUNCTION("""COMPUTED_VALUE"""),"PAR")</f>
        <v>PAR</v>
      </c>
      <c r="I1429" s="118">
        <f ca="1">IFERROR(__xludf.DUMMYFUNCTION("""COMPUTED_VALUE"""),4)</f>
        <v>4</v>
      </c>
      <c r="J1429" s="118">
        <f ca="1">IFERROR(__xludf.DUMMYFUNCTION("""COMPUTED_VALUE"""),5)</f>
        <v>5</v>
      </c>
      <c r="K1429" s="120">
        <f ca="1">IFERROR(__xludf.DUMMYFUNCTION("""COMPUTED_VALUE"""),56.6)</f>
        <v>56.6</v>
      </c>
      <c r="L1429" s="121"/>
      <c r="M1429" s="120">
        <f ca="1">IFERROR(__xludf.DUMMYFUNCTION("""COMPUTED_VALUE"""),44.8)</f>
        <v>44.8</v>
      </c>
      <c r="N1429" s="121"/>
      <c r="O1429" s="120">
        <f ca="1">IFERROR(__xludf.DUMMYFUNCTION("""COMPUTED_VALUE"""),42.5)</f>
        <v>42.5</v>
      </c>
      <c r="P1429" s="122"/>
      <c r="Q1429" s="123"/>
      <c r="R1429" s="123"/>
      <c r="S1429" s="123"/>
      <c r="T1429" s="123"/>
    </row>
    <row r="1430" spans="1:20" ht="13.8">
      <c r="A1430" s="118" t="str">
        <f ca="1">IFERROR(__xludf.DUMMYFUNCTION("""COMPUTED_VALUE"""),"PAR")</f>
        <v>PAR</v>
      </c>
      <c r="B1430" s="119" t="str">
        <f ca="1">IFERROR(__xludf.DUMMYFUNCTION("""COMPUTED_VALUE"""),"Ellie Schwarz")</f>
        <v>Ellie Schwarz</v>
      </c>
      <c r="C1430" s="118">
        <f ca="1">IFERROR(__xludf.DUMMYFUNCTION("""COMPUTED_VALUE"""),8)</f>
        <v>8</v>
      </c>
      <c r="D1430" s="118" t="str">
        <f ca="1">IFERROR(__xludf.DUMMYFUNCTION("""COMPUTED_VALUE"""),"G")</f>
        <v>G</v>
      </c>
      <c r="E1430" s="118" t="str">
        <f ca="1">IFERROR(__xludf.DUMMYFUNCTION("""COMPUTED_VALUE"""),"F")</f>
        <v>F</v>
      </c>
      <c r="F1430" s="118" t="str">
        <f ca="1">IFERROR(__xludf.DUMMYFUNCTION("""COMPUTED_VALUE"""),"J")</f>
        <v>J</v>
      </c>
      <c r="G1430" s="118">
        <f ca="1">IFERROR(__xludf.DUMMYFUNCTION("""COMPUTED_VALUE"""),3)</f>
        <v>3</v>
      </c>
      <c r="H1430" s="118" t="str">
        <f ca="1">IFERROR(__xludf.DUMMYFUNCTION("""COMPUTED_VALUE"""),"PAR")</f>
        <v>PAR</v>
      </c>
      <c r="I1430" s="118">
        <f ca="1">IFERROR(__xludf.DUMMYFUNCTION("""COMPUTED_VALUE"""),4)</f>
        <v>4</v>
      </c>
      <c r="J1430" s="118">
        <f ca="1">IFERROR(__xludf.DUMMYFUNCTION("""COMPUTED_VALUE"""),0)</f>
        <v>0</v>
      </c>
      <c r="K1430" s="120"/>
      <c r="L1430" s="121"/>
      <c r="M1430" s="120"/>
      <c r="N1430" s="121"/>
      <c r="O1430" s="120"/>
      <c r="P1430" s="122"/>
      <c r="Q1430" s="123"/>
      <c r="R1430" s="123"/>
      <c r="S1430" s="123"/>
      <c r="T1430" s="123"/>
    </row>
    <row r="1431" spans="1:20" ht="13.8">
      <c r="A1431" s="118" t="str">
        <f ca="1">IFERROR(__xludf.DUMMYFUNCTION("""COMPUTED_VALUE"""),"PAR")</f>
        <v>PAR</v>
      </c>
      <c r="B1431" s="119" t="str">
        <f ca="1">IFERROR(__xludf.DUMMYFUNCTION("""COMPUTED_VALUE"""),"Frankie Herrick")</f>
        <v>Frankie Herrick</v>
      </c>
      <c r="C1431" s="118">
        <f ca="1">IFERROR(__xludf.DUMMYFUNCTION("""COMPUTED_VALUE"""),9)</f>
        <v>9</v>
      </c>
      <c r="D1431" s="118" t="str">
        <f ca="1">IFERROR(__xludf.DUMMYFUNCTION("""COMPUTED_VALUE"""),"G")</f>
        <v>G</v>
      </c>
      <c r="E1431" s="118" t="str">
        <f ca="1">IFERROR(__xludf.DUMMYFUNCTION("""COMPUTED_VALUE"""),"F")</f>
        <v>F</v>
      </c>
      <c r="F1431" s="118" t="str">
        <f ca="1">IFERROR(__xludf.DUMMYFUNCTION("""COMPUTED_VALUE"""),"J")</f>
        <v>J</v>
      </c>
      <c r="G1431" s="118">
        <f ca="1">IFERROR(__xludf.DUMMYFUNCTION("""COMPUTED_VALUE"""),3)</f>
        <v>3</v>
      </c>
      <c r="H1431" s="118" t="str">
        <f ca="1">IFERROR(__xludf.DUMMYFUNCTION("""COMPUTED_VALUE"""),"PAR")</f>
        <v>PAR</v>
      </c>
      <c r="I1431" s="118">
        <f ca="1">IFERROR(__xludf.DUMMYFUNCTION("""COMPUTED_VALUE"""),4)</f>
        <v>4</v>
      </c>
      <c r="J1431" s="118">
        <f ca="1">IFERROR(__xludf.DUMMYFUNCTION("""COMPUTED_VALUE"""),0)</f>
        <v>0</v>
      </c>
      <c r="K1431" s="120"/>
      <c r="L1431" s="121"/>
      <c r="M1431" s="120"/>
      <c r="N1431" s="121"/>
      <c r="O1431" s="120"/>
      <c r="P1431" s="122"/>
      <c r="Q1431" s="123"/>
      <c r="R1431" s="123"/>
      <c r="S1431" s="123"/>
      <c r="T1431" s="123"/>
    </row>
    <row r="1432" spans="1:20" ht="13.8">
      <c r="A1432" s="118" t="str">
        <f ca="1">IFERROR(__xludf.DUMMYFUNCTION("""COMPUTED_VALUE"""),"PAR")</f>
        <v>PAR</v>
      </c>
      <c r="B1432" s="119" t="str">
        <f ca="1">IFERROR(__xludf.DUMMYFUNCTION("""COMPUTED_VALUE"""),"Gaby Smith")</f>
        <v>Gaby Smith</v>
      </c>
      <c r="C1432" s="118">
        <f ca="1">IFERROR(__xludf.DUMMYFUNCTION("""COMPUTED_VALUE"""),9)</f>
        <v>9</v>
      </c>
      <c r="D1432" s="118" t="str">
        <f ca="1">IFERROR(__xludf.DUMMYFUNCTION("""COMPUTED_VALUE"""),"G")</f>
        <v>G</v>
      </c>
      <c r="E1432" s="118" t="str">
        <f ca="1">IFERROR(__xludf.DUMMYFUNCTION("""COMPUTED_VALUE"""),"F")</f>
        <v>F</v>
      </c>
      <c r="F1432" s="118" t="str">
        <f ca="1">IFERROR(__xludf.DUMMYFUNCTION("""COMPUTED_VALUE"""),"J")</f>
        <v>J</v>
      </c>
      <c r="G1432" s="118">
        <f ca="1">IFERROR(__xludf.DUMMYFUNCTION("""COMPUTED_VALUE"""),3)</f>
        <v>3</v>
      </c>
      <c r="H1432" s="118" t="str">
        <f ca="1">IFERROR(__xludf.DUMMYFUNCTION("""COMPUTED_VALUE"""),"PAR")</f>
        <v>PAR</v>
      </c>
      <c r="I1432" s="118">
        <f ca="1">IFERROR(__xludf.DUMMYFUNCTION("""COMPUTED_VALUE"""),4)</f>
        <v>4</v>
      </c>
      <c r="J1432" s="118">
        <f ca="1">IFERROR(__xludf.DUMMYFUNCTION("""COMPUTED_VALUE"""),4)</f>
        <v>4</v>
      </c>
      <c r="K1432" s="120">
        <f ca="1">IFERROR(__xludf.DUMMYFUNCTION("""COMPUTED_VALUE"""),42.95)</f>
        <v>42.95</v>
      </c>
      <c r="L1432" s="121"/>
      <c r="M1432" s="120"/>
      <c r="N1432" s="121"/>
      <c r="O1432" s="120">
        <f ca="1">IFERROR(__xludf.DUMMYFUNCTION("""COMPUTED_VALUE"""),38.65)</f>
        <v>38.65</v>
      </c>
      <c r="P1432" s="122"/>
      <c r="Q1432" s="123"/>
      <c r="R1432" s="123"/>
      <c r="S1432" s="123"/>
      <c r="T1432" s="123"/>
    </row>
    <row r="1433" spans="1:20" ht="13.8">
      <c r="A1433" s="118" t="str">
        <f ca="1">IFERROR(__xludf.DUMMYFUNCTION("""COMPUTED_VALUE"""),"PAR")</f>
        <v>PAR</v>
      </c>
      <c r="B1433" s="119" t="str">
        <f ca="1">IFERROR(__xludf.DUMMYFUNCTION("""COMPUTED_VALUE"""),"Grace Burnett")</f>
        <v>Grace Burnett</v>
      </c>
      <c r="C1433" s="118">
        <f ca="1">IFERROR(__xludf.DUMMYFUNCTION("""COMPUTED_VALUE"""),9)</f>
        <v>9</v>
      </c>
      <c r="D1433" s="118" t="str">
        <f ca="1">IFERROR(__xludf.DUMMYFUNCTION("""COMPUTED_VALUE"""),"G")</f>
        <v>G</v>
      </c>
      <c r="E1433" s="118" t="str">
        <f ca="1">IFERROR(__xludf.DUMMYFUNCTION("""COMPUTED_VALUE"""),"F")</f>
        <v>F</v>
      </c>
      <c r="F1433" s="118" t="str">
        <f ca="1">IFERROR(__xludf.DUMMYFUNCTION("""COMPUTED_VALUE"""),"J")</f>
        <v>J</v>
      </c>
      <c r="G1433" s="118">
        <f ca="1">IFERROR(__xludf.DUMMYFUNCTION("""COMPUTED_VALUE"""),3)</f>
        <v>3</v>
      </c>
      <c r="H1433" s="118" t="str">
        <f ca="1">IFERROR(__xludf.DUMMYFUNCTION("""COMPUTED_VALUE"""),"PAR")</f>
        <v>PAR</v>
      </c>
      <c r="I1433" s="118">
        <f ca="1">IFERROR(__xludf.DUMMYFUNCTION("""COMPUTED_VALUE"""),4)</f>
        <v>4</v>
      </c>
      <c r="J1433" s="118">
        <f ca="1">IFERROR(__xludf.DUMMYFUNCTION("""COMPUTED_VALUE"""),0)</f>
        <v>0</v>
      </c>
      <c r="K1433" s="120"/>
      <c r="L1433" s="121"/>
      <c r="M1433" s="120"/>
      <c r="N1433" s="121"/>
      <c r="O1433" s="120"/>
      <c r="P1433" s="122"/>
      <c r="Q1433" s="123"/>
      <c r="R1433" s="123"/>
      <c r="S1433" s="123"/>
      <c r="T1433" s="123"/>
    </row>
    <row r="1434" spans="1:20" ht="13.8">
      <c r="A1434" s="118" t="str">
        <f ca="1">IFERROR(__xludf.DUMMYFUNCTION("""COMPUTED_VALUE"""),"PAR")</f>
        <v>PAR</v>
      </c>
      <c r="B1434" s="119" t="str">
        <f ca="1">IFERROR(__xludf.DUMMYFUNCTION("""COMPUTED_VALUE"""),"Hadley Miller")</f>
        <v>Hadley Miller</v>
      </c>
      <c r="C1434" s="118">
        <f ca="1">IFERROR(__xludf.DUMMYFUNCTION("""COMPUTED_VALUE"""),9)</f>
        <v>9</v>
      </c>
      <c r="D1434" s="118" t="str">
        <f ca="1">IFERROR(__xludf.DUMMYFUNCTION("""COMPUTED_VALUE"""),"G")</f>
        <v>G</v>
      </c>
      <c r="E1434" s="118" t="str">
        <f ca="1">IFERROR(__xludf.DUMMYFUNCTION("""COMPUTED_VALUE"""),"F")</f>
        <v>F</v>
      </c>
      <c r="F1434" s="118" t="str">
        <f ca="1">IFERROR(__xludf.DUMMYFUNCTION("""COMPUTED_VALUE"""),"J")</f>
        <v>J</v>
      </c>
      <c r="G1434" s="118">
        <f ca="1">IFERROR(__xludf.DUMMYFUNCTION("""COMPUTED_VALUE"""),3)</f>
        <v>3</v>
      </c>
      <c r="H1434" s="118" t="str">
        <f ca="1">IFERROR(__xludf.DUMMYFUNCTION("""COMPUTED_VALUE"""),"PAR")</f>
        <v>PAR</v>
      </c>
      <c r="I1434" s="118">
        <f ca="1">IFERROR(__xludf.DUMMYFUNCTION("""COMPUTED_VALUE"""),4)</f>
        <v>4</v>
      </c>
      <c r="J1434" s="118">
        <f ca="1">IFERROR(__xludf.DUMMYFUNCTION("""COMPUTED_VALUE"""),5)</f>
        <v>5</v>
      </c>
      <c r="K1434" s="120">
        <f ca="1">IFERROR(__xludf.DUMMYFUNCTION("""COMPUTED_VALUE"""),60.65)</f>
        <v>60.65</v>
      </c>
      <c r="L1434" s="121"/>
      <c r="M1434" s="120">
        <f ca="1">IFERROR(__xludf.DUMMYFUNCTION("""COMPUTED_VALUE"""),54.45)</f>
        <v>54.45</v>
      </c>
      <c r="N1434" s="121"/>
      <c r="O1434" s="120">
        <f ca="1">IFERROR(__xludf.DUMMYFUNCTION("""COMPUTED_VALUE"""),52.95)</f>
        <v>52.95</v>
      </c>
      <c r="P1434" s="122"/>
      <c r="Q1434" s="123"/>
      <c r="R1434" s="123"/>
      <c r="S1434" s="123"/>
      <c r="T1434" s="123"/>
    </row>
    <row r="1435" spans="1:20" ht="13.8">
      <c r="A1435" s="118" t="str">
        <f ca="1">IFERROR(__xludf.DUMMYFUNCTION("""COMPUTED_VALUE"""),"PAR")</f>
        <v>PAR</v>
      </c>
      <c r="B1435" s="119" t="str">
        <f ca="1">IFERROR(__xludf.DUMMYFUNCTION("""COMPUTED_VALUE"""),"Hannah Waters")</f>
        <v>Hannah Waters</v>
      </c>
      <c r="C1435" s="118">
        <f ca="1">IFERROR(__xludf.DUMMYFUNCTION("""COMPUTED_VALUE"""),10)</f>
        <v>10</v>
      </c>
      <c r="D1435" s="118" t="str">
        <f ca="1">IFERROR(__xludf.DUMMYFUNCTION("""COMPUTED_VALUE"""),"G")</f>
        <v>G</v>
      </c>
      <c r="E1435" s="118" t="str">
        <f ca="1">IFERROR(__xludf.DUMMYFUNCTION("""COMPUTED_VALUE"""),"F")</f>
        <v>F</v>
      </c>
      <c r="F1435" s="118" t="str">
        <f ca="1">IFERROR(__xludf.DUMMYFUNCTION("""COMPUTED_VALUE"""),"J")</f>
        <v>J</v>
      </c>
      <c r="G1435" s="118">
        <f ca="1">IFERROR(__xludf.DUMMYFUNCTION("""COMPUTED_VALUE"""),3)</f>
        <v>3</v>
      </c>
      <c r="H1435" s="118" t="str">
        <f ca="1">IFERROR(__xludf.DUMMYFUNCTION("""COMPUTED_VALUE"""),"PAR")</f>
        <v>PAR</v>
      </c>
      <c r="I1435" s="118">
        <f ca="1">IFERROR(__xludf.DUMMYFUNCTION("""COMPUTED_VALUE"""),4)</f>
        <v>4</v>
      </c>
      <c r="J1435" s="118">
        <f ca="1">IFERROR(__xludf.DUMMYFUNCTION("""COMPUTED_VALUE"""),5)</f>
        <v>5</v>
      </c>
      <c r="K1435" s="120">
        <f ca="1">IFERROR(__xludf.DUMMYFUNCTION("""COMPUTED_VALUE"""),66.6)</f>
        <v>66.599999999999994</v>
      </c>
      <c r="L1435" s="121"/>
      <c r="M1435" s="120">
        <f ca="1">IFERROR(__xludf.DUMMYFUNCTION("""COMPUTED_VALUE"""),50.2)</f>
        <v>50.2</v>
      </c>
      <c r="N1435" s="121"/>
      <c r="O1435" s="120">
        <f ca="1">IFERROR(__xludf.DUMMYFUNCTION("""COMPUTED_VALUE"""),58.8)</f>
        <v>58.8</v>
      </c>
      <c r="P1435" s="122"/>
      <c r="Q1435" s="123"/>
      <c r="R1435" s="123"/>
      <c r="S1435" s="123"/>
      <c r="T1435" s="123"/>
    </row>
    <row r="1436" spans="1:20" ht="13.8">
      <c r="A1436" s="118" t="str">
        <f ca="1">IFERROR(__xludf.DUMMYFUNCTION("""COMPUTED_VALUE"""),"PAR")</f>
        <v>PAR</v>
      </c>
      <c r="B1436" s="119" t="str">
        <f ca="1">IFERROR(__xludf.DUMMYFUNCTION("""COMPUTED_VALUE"""),"Josephine Wills")</f>
        <v>Josephine Wills</v>
      </c>
      <c r="C1436" s="118">
        <f ca="1">IFERROR(__xludf.DUMMYFUNCTION("""COMPUTED_VALUE"""),10)</f>
        <v>10</v>
      </c>
      <c r="D1436" s="118" t="str">
        <f ca="1">IFERROR(__xludf.DUMMYFUNCTION("""COMPUTED_VALUE"""),"G")</f>
        <v>G</v>
      </c>
      <c r="E1436" s="118" t="str">
        <f ca="1">IFERROR(__xludf.DUMMYFUNCTION("""COMPUTED_VALUE"""),"F")</f>
        <v>F</v>
      </c>
      <c r="F1436" s="118" t="str">
        <f ca="1">IFERROR(__xludf.DUMMYFUNCTION("""COMPUTED_VALUE"""),"J")</f>
        <v>J</v>
      </c>
      <c r="G1436" s="118">
        <f ca="1">IFERROR(__xludf.DUMMYFUNCTION("""COMPUTED_VALUE"""),3)</f>
        <v>3</v>
      </c>
      <c r="H1436" s="118" t="str">
        <f ca="1">IFERROR(__xludf.DUMMYFUNCTION("""COMPUTED_VALUE"""),"PAR")</f>
        <v>PAR</v>
      </c>
      <c r="I1436" s="118">
        <f ca="1">IFERROR(__xludf.DUMMYFUNCTION("""COMPUTED_VALUE"""),4)</f>
        <v>4</v>
      </c>
      <c r="J1436" s="118">
        <f ca="1">IFERROR(__xludf.DUMMYFUNCTION("""COMPUTED_VALUE"""),4)</f>
        <v>4</v>
      </c>
      <c r="K1436" s="120">
        <f ca="1">IFERROR(__xludf.DUMMYFUNCTION("""COMPUTED_VALUE"""),66.15)</f>
        <v>66.150000000000006</v>
      </c>
      <c r="L1436" s="121"/>
      <c r="M1436" s="120">
        <f ca="1">IFERROR(__xludf.DUMMYFUNCTION("""COMPUTED_VALUE"""),63.4)</f>
        <v>63.4</v>
      </c>
      <c r="N1436" s="121"/>
      <c r="O1436" s="120">
        <f ca="1">IFERROR(__xludf.DUMMYFUNCTION("""COMPUTED_VALUE"""),66.15)</f>
        <v>66.150000000000006</v>
      </c>
      <c r="P1436" s="122"/>
      <c r="Q1436" s="123"/>
      <c r="R1436" s="123"/>
      <c r="S1436" s="123"/>
      <c r="T1436" s="123"/>
    </row>
    <row r="1437" spans="1:20" ht="13.8">
      <c r="A1437" s="118" t="str">
        <f ca="1">IFERROR(__xludf.DUMMYFUNCTION("""COMPUTED_VALUE"""),"PAR")</f>
        <v>PAR</v>
      </c>
      <c r="B1437" s="119" t="str">
        <f ca="1">IFERROR(__xludf.DUMMYFUNCTION("""COMPUTED_VALUE"""),"Kira Harrison")</f>
        <v>Kira Harrison</v>
      </c>
      <c r="C1437" s="118">
        <f ca="1">IFERROR(__xludf.DUMMYFUNCTION("""COMPUTED_VALUE"""),9)</f>
        <v>9</v>
      </c>
      <c r="D1437" s="118" t="str">
        <f ca="1">IFERROR(__xludf.DUMMYFUNCTION("""COMPUTED_VALUE"""),"G")</f>
        <v>G</v>
      </c>
      <c r="E1437" s="118" t="str">
        <f ca="1">IFERROR(__xludf.DUMMYFUNCTION("""COMPUTED_VALUE"""),"F")</f>
        <v>F</v>
      </c>
      <c r="F1437" s="118" t="str">
        <f ca="1">IFERROR(__xludf.DUMMYFUNCTION("""COMPUTED_VALUE"""),"J")</f>
        <v>J</v>
      </c>
      <c r="G1437" s="118">
        <f ca="1">IFERROR(__xludf.DUMMYFUNCTION("""COMPUTED_VALUE"""),3)</f>
        <v>3</v>
      </c>
      <c r="H1437" s="118" t="str">
        <f ca="1">IFERROR(__xludf.DUMMYFUNCTION("""COMPUTED_VALUE"""),"PAR")</f>
        <v>PAR</v>
      </c>
      <c r="I1437" s="118">
        <f ca="1">IFERROR(__xludf.DUMMYFUNCTION("""COMPUTED_VALUE"""),4)</f>
        <v>4</v>
      </c>
      <c r="J1437" s="118">
        <f ca="1">IFERROR(__xludf.DUMMYFUNCTION("""COMPUTED_VALUE"""),0)</f>
        <v>0</v>
      </c>
      <c r="K1437" s="120"/>
      <c r="L1437" s="121"/>
      <c r="M1437" s="120"/>
      <c r="N1437" s="121"/>
      <c r="O1437" s="120"/>
      <c r="P1437" s="122"/>
      <c r="Q1437" s="123"/>
      <c r="R1437" s="123"/>
      <c r="S1437" s="123"/>
      <c r="T1437" s="123"/>
    </row>
    <row r="1438" spans="1:20" ht="13.8">
      <c r="A1438" s="118" t="str">
        <f ca="1">IFERROR(__xludf.DUMMYFUNCTION("""COMPUTED_VALUE"""),"PAR")</f>
        <v>PAR</v>
      </c>
      <c r="B1438" s="119" t="str">
        <f ca="1">IFERROR(__xludf.DUMMYFUNCTION("""COMPUTED_VALUE"""),"Nilah Rotteveel")</f>
        <v>Nilah Rotteveel</v>
      </c>
      <c r="C1438" s="118">
        <f ca="1">IFERROR(__xludf.DUMMYFUNCTION("""COMPUTED_VALUE"""),6)</f>
        <v>6</v>
      </c>
      <c r="D1438" s="118" t="str">
        <f ca="1">IFERROR(__xludf.DUMMYFUNCTION("""COMPUTED_VALUE"""),"G")</f>
        <v>G</v>
      </c>
      <c r="E1438" s="118" t="str">
        <f ca="1">IFERROR(__xludf.DUMMYFUNCTION("""COMPUTED_VALUE"""),"F")</f>
        <v>F</v>
      </c>
      <c r="F1438" s="118" t="str">
        <f ca="1">IFERROR(__xludf.DUMMYFUNCTION("""COMPUTED_VALUE"""),"J")</f>
        <v>J</v>
      </c>
      <c r="G1438" s="118">
        <f ca="1">IFERROR(__xludf.DUMMYFUNCTION("""COMPUTED_VALUE"""),3)</f>
        <v>3</v>
      </c>
      <c r="H1438" s="118" t="str">
        <f ca="1">IFERROR(__xludf.DUMMYFUNCTION("""COMPUTED_VALUE"""),"PAR")</f>
        <v>PAR</v>
      </c>
      <c r="I1438" s="118">
        <f ca="1">IFERROR(__xludf.DUMMYFUNCTION("""COMPUTED_VALUE"""),4)</f>
        <v>4</v>
      </c>
      <c r="J1438" s="118">
        <f ca="1">IFERROR(__xludf.DUMMYFUNCTION("""COMPUTED_VALUE"""),0)</f>
        <v>0</v>
      </c>
      <c r="K1438" s="120"/>
      <c r="L1438" s="121"/>
      <c r="M1438" s="120"/>
      <c r="N1438" s="121"/>
      <c r="O1438" s="120"/>
      <c r="P1438" s="122"/>
      <c r="Q1438" s="123"/>
      <c r="R1438" s="123"/>
      <c r="S1438" s="123"/>
      <c r="T1438" s="123"/>
    </row>
    <row r="1439" spans="1:20" ht="13.8">
      <c r="A1439" s="118" t="str">
        <f ca="1">IFERROR(__xludf.DUMMYFUNCTION("""COMPUTED_VALUE"""),"PAR")</f>
        <v>PAR</v>
      </c>
      <c r="B1439" s="119" t="str">
        <f ca="1">IFERROR(__xludf.DUMMYFUNCTION("""COMPUTED_VALUE"""),"Sofia Stanley")</f>
        <v>Sofia Stanley</v>
      </c>
      <c r="C1439" s="118">
        <f ca="1">IFERROR(__xludf.DUMMYFUNCTION("""COMPUTED_VALUE"""),9)</f>
        <v>9</v>
      </c>
      <c r="D1439" s="118" t="str">
        <f ca="1">IFERROR(__xludf.DUMMYFUNCTION("""COMPUTED_VALUE"""),"G")</f>
        <v>G</v>
      </c>
      <c r="E1439" s="118" t="str">
        <f ca="1">IFERROR(__xludf.DUMMYFUNCTION("""COMPUTED_VALUE"""),"F")</f>
        <v>F</v>
      </c>
      <c r="F1439" s="118" t="str">
        <f ca="1">IFERROR(__xludf.DUMMYFUNCTION("""COMPUTED_VALUE"""),"J")</f>
        <v>J</v>
      </c>
      <c r="G1439" s="118">
        <f ca="1">IFERROR(__xludf.DUMMYFUNCTION("""COMPUTED_VALUE"""),3)</f>
        <v>3</v>
      </c>
      <c r="H1439" s="118" t="str">
        <f ca="1">IFERROR(__xludf.DUMMYFUNCTION("""COMPUTED_VALUE"""),"PAR")</f>
        <v>PAR</v>
      </c>
      <c r="I1439" s="118">
        <f ca="1">IFERROR(__xludf.DUMMYFUNCTION("""COMPUTED_VALUE"""),4)</f>
        <v>4</v>
      </c>
      <c r="J1439" s="118">
        <f ca="1">IFERROR(__xludf.DUMMYFUNCTION("""COMPUTED_VALUE"""),5)</f>
        <v>5</v>
      </c>
      <c r="K1439" s="120">
        <f ca="1">IFERROR(__xludf.DUMMYFUNCTION("""COMPUTED_VALUE"""),53.55)</f>
        <v>53.55</v>
      </c>
      <c r="L1439" s="121"/>
      <c r="M1439" s="120">
        <f ca="1">IFERROR(__xludf.DUMMYFUNCTION("""COMPUTED_VALUE"""),42.55)</f>
        <v>42.55</v>
      </c>
      <c r="N1439" s="121"/>
      <c r="O1439" s="120">
        <f ca="1">IFERROR(__xludf.DUMMYFUNCTION("""COMPUTED_VALUE"""),53.55)</f>
        <v>53.55</v>
      </c>
      <c r="P1439" s="122"/>
      <c r="Q1439" s="123"/>
      <c r="R1439" s="123"/>
      <c r="S1439" s="123"/>
      <c r="T1439" s="123"/>
    </row>
    <row r="1440" spans="1:20" ht="13.8">
      <c r="A1440" s="118" t="str">
        <f ca="1">IFERROR(__xludf.DUMMYFUNCTION("""COMPUTED_VALUE"""),"PAR")</f>
        <v>PAR</v>
      </c>
      <c r="B1440" s="119" t="str">
        <f ca="1">IFERROR(__xludf.DUMMYFUNCTION("""COMPUTED_VALUE"""),"Chase Edwards")</f>
        <v>Chase Edwards</v>
      </c>
      <c r="C1440" s="118">
        <f ca="1">IFERROR(__xludf.DUMMYFUNCTION("""COMPUTED_VALUE"""),9)</f>
        <v>9</v>
      </c>
      <c r="D1440" s="118" t="str">
        <f ca="1">IFERROR(__xludf.DUMMYFUNCTION("""COMPUTED_VALUE"""),"B")</f>
        <v>B</v>
      </c>
      <c r="E1440" s="118" t="str">
        <f ca="1">IFERROR(__xludf.DUMMYFUNCTION("""COMPUTED_VALUE"""),"F")</f>
        <v>F</v>
      </c>
      <c r="F1440" s="118" t="str">
        <f ca="1">IFERROR(__xludf.DUMMYFUNCTION("""COMPUTED_VALUE"""),"J")</f>
        <v>J</v>
      </c>
      <c r="G1440" s="118">
        <f ca="1">IFERROR(__xludf.DUMMYFUNCTION("""COMPUTED_VALUE"""),3)</f>
        <v>3</v>
      </c>
      <c r="H1440" s="118" t="str">
        <f ca="1">IFERROR(__xludf.DUMMYFUNCTION("""COMPUTED_VALUE"""),"PAR")</f>
        <v>PAR</v>
      </c>
      <c r="I1440" s="118">
        <f ca="1">IFERROR(__xludf.DUMMYFUNCTION("""COMPUTED_VALUE"""),5)</f>
        <v>5</v>
      </c>
      <c r="J1440" s="118">
        <f ca="1">IFERROR(__xludf.DUMMYFUNCTION("""COMPUTED_VALUE"""),0)</f>
        <v>0</v>
      </c>
      <c r="K1440" s="120"/>
      <c r="L1440" s="121"/>
      <c r="M1440" s="120"/>
      <c r="N1440" s="121"/>
      <c r="O1440" s="120"/>
      <c r="P1440" s="122"/>
      <c r="Q1440" s="123"/>
      <c r="R1440" s="123"/>
      <c r="S1440" s="123"/>
      <c r="T1440" s="123"/>
    </row>
    <row r="1441" spans="1:20" ht="13.8">
      <c r="A1441" s="118" t="str">
        <f ca="1">IFERROR(__xludf.DUMMYFUNCTION("""COMPUTED_VALUE"""),"PAR")</f>
        <v>PAR</v>
      </c>
      <c r="B1441" s="119" t="str">
        <f ca="1">IFERROR(__xludf.DUMMYFUNCTION("""COMPUTED_VALUE"""),"Finn Klink")</f>
        <v>Finn Klink</v>
      </c>
      <c r="C1441" s="118">
        <f ca="1">IFERROR(__xludf.DUMMYFUNCTION("""COMPUTED_VALUE"""),9)</f>
        <v>9</v>
      </c>
      <c r="D1441" s="118" t="str">
        <f ca="1">IFERROR(__xludf.DUMMYFUNCTION("""COMPUTED_VALUE"""),"B")</f>
        <v>B</v>
      </c>
      <c r="E1441" s="118" t="str">
        <f ca="1">IFERROR(__xludf.DUMMYFUNCTION("""COMPUTED_VALUE"""),"F")</f>
        <v>F</v>
      </c>
      <c r="F1441" s="118" t="str">
        <f ca="1">IFERROR(__xludf.DUMMYFUNCTION("""COMPUTED_VALUE"""),"J")</f>
        <v>J</v>
      </c>
      <c r="G1441" s="118">
        <f ca="1">IFERROR(__xludf.DUMMYFUNCTION("""COMPUTED_VALUE"""),3)</f>
        <v>3</v>
      </c>
      <c r="H1441" s="118" t="str">
        <f ca="1">IFERROR(__xludf.DUMMYFUNCTION("""COMPUTED_VALUE"""),"PAR")</f>
        <v>PAR</v>
      </c>
      <c r="I1441" s="118">
        <f ca="1">IFERROR(__xludf.DUMMYFUNCTION("""COMPUTED_VALUE"""),5)</f>
        <v>5</v>
      </c>
      <c r="J1441" s="118">
        <f ca="1">IFERROR(__xludf.DUMMYFUNCTION("""COMPUTED_VALUE"""),5)</f>
        <v>5</v>
      </c>
      <c r="K1441" s="120">
        <f ca="1">IFERROR(__xludf.DUMMYFUNCTION("""COMPUTED_VALUE"""),41.8)</f>
        <v>41.8</v>
      </c>
      <c r="L1441" s="121"/>
      <c r="M1441" s="120">
        <f ca="1">IFERROR(__xludf.DUMMYFUNCTION("""COMPUTED_VALUE"""),41.4)</f>
        <v>41.4</v>
      </c>
      <c r="N1441" s="121"/>
      <c r="O1441" s="120">
        <f ca="1">IFERROR(__xludf.DUMMYFUNCTION("""COMPUTED_VALUE"""),36.25)</f>
        <v>36.25</v>
      </c>
      <c r="P1441" s="122"/>
      <c r="Q1441" s="123"/>
      <c r="R1441" s="123"/>
      <c r="S1441" s="123"/>
      <c r="T1441" s="123"/>
    </row>
    <row r="1442" spans="1:20" ht="13.8">
      <c r="A1442" s="118" t="str">
        <f ca="1">IFERROR(__xludf.DUMMYFUNCTION("""COMPUTED_VALUE"""),"PAR")</f>
        <v>PAR</v>
      </c>
      <c r="B1442" s="119" t="str">
        <f ca="1">IFERROR(__xludf.DUMMYFUNCTION("""COMPUTED_VALUE"""),"Flynn Miller")</f>
        <v>Flynn Miller</v>
      </c>
      <c r="C1442" s="118">
        <f ca="1">IFERROR(__xludf.DUMMYFUNCTION("""COMPUTED_VALUE"""),10)</f>
        <v>10</v>
      </c>
      <c r="D1442" s="118" t="str">
        <f ca="1">IFERROR(__xludf.DUMMYFUNCTION("""COMPUTED_VALUE"""),"B")</f>
        <v>B</v>
      </c>
      <c r="E1442" s="118" t="str">
        <f ca="1">IFERROR(__xludf.DUMMYFUNCTION("""COMPUTED_VALUE"""),"F")</f>
        <v>F</v>
      </c>
      <c r="F1442" s="118" t="str">
        <f ca="1">IFERROR(__xludf.DUMMYFUNCTION("""COMPUTED_VALUE"""),"J")</f>
        <v>J</v>
      </c>
      <c r="G1442" s="118">
        <f ca="1">IFERROR(__xludf.DUMMYFUNCTION("""COMPUTED_VALUE"""),3)</f>
        <v>3</v>
      </c>
      <c r="H1442" s="118" t="str">
        <f ca="1">IFERROR(__xludf.DUMMYFUNCTION("""COMPUTED_VALUE"""),"PAR")</f>
        <v>PAR</v>
      </c>
      <c r="I1442" s="118">
        <f ca="1">IFERROR(__xludf.DUMMYFUNCTION("""COMPUTED_VALUE"""),5)</f>
        <v>5</v>
      </c>
      <c r="J1442" s="118">
        <f ca="1">IFERROR(__xludf.DUMMYFUNCTION("""COMPUTED_VALUE"""),5)</f>
        <v>5</v>
      </c>
      <c r="K1442" s="120">
        <f ca="1">IFERROR(__xludf.DUMMYFUNCTION("""COMPUTED_VALUE"""),76.05)</f>
        <v>76.05</v>
      </c>
      <c r="L1442" s="121"/>
      <c r="M1442" s="120">
        <f ca="1">IFERROR(__xludf.DUMMYFUNCTION("""COMPUTED_VALUE"""),76.05)</f>
        <v>76.05</v>
      </c>
      <c r="N1442" s="121"/>
      <c r="O1442" s="120">
        <f ca="1">IFERROR(__xludf.DUMMYFUNCTION("""COMPUTED_VALUE"""),75.4)</f>
        <v>75.400000000000006</v>
      </c>
      <c r="P1442" s="122"/>
      <c r="Q1442" s="123"/>
      <c r="R1442" s="123"/>
      <c r="S1442" s="123"/>
      <c r="T1442" s="123"/>
    </row>
    <row r="1443" spans="1:20" ht="13.8">
      <c r="A1443" s="118" t="str">
        <f ca="1">IFERROR(__xludf.DUMMYFUNCTION("""COMPUTED_VALUE"""),"PAR")</f>
        <v>PAR</v>
      </c>
      <c r="B1443" s="119" t="str">
        <f ca="1">IFERROR(__xludf.DUMMYFUNCTION("""COMPUTED_VALUE"""),"Jacob Stanley")</f>
        <v>Jacob Stanley</v>
      </c>
      <c r="C1443" s="118">
        <f ca="1">IFERROR(__xludf.DUMMYFUNCTION("""COMPUTED_VALUE"""),10)</f>
        <v>10</v>
      </c>
      <c r="D1443" s="118" t="str">
        <f ca="1">IFERROR(__xludf.DUMMYFUNCTION("""COMPUTED_VALUE"""),"B")</f>
        <v>B</v>
      </c>
      <c r="E1443" s="118" t="str">
        <f ca="1">IFERROR(__xludf.DUMMYFUNCTION("""COMPUTED_VALUE"""),"F")</f>
        <v>F</v>
      </c>
      <c r="F1443" s="118" t="str">
        <f ca="1">IFERROR(__xludf.DUMMYFUNCTION("""COMPUTED_VALUE"""),"J")</f>
        <v>J</v>
      </c>
      <c r="G1443" s="118">
        <f ca="1">IFERROR(__xludf.DUMMYFUNCTION("""COMPUTED_VALUE"""),3)</f>
        <v>3</v>
      </c>
      <c r="H1443" s="118" t="str">
        <f ca="1">IFERROR(__xludf.DUMMYFUNCTION("""COMPUTED_VALUE"""),"PAR")</f>
        <v>PAR</v>
      </c>
      <c r="I1443" s="118">
        <f ca="1">IFERROR(__xludf.DUMMYFUNCTION("""COMPUTED_VALUE"""),5)</f>
        <v>5</v>
      </c>
      <c r="J1443" s="118">
        <f ca="1">IFERROR(__xludf.DUMMYFUNCTION("""COMPUTED_VALUE"""),5)</f>
        <v>5</v>
      </c>
      <c r="K1443" s="120">
        <f ca="1">IFERROR(__xludf.DUMMYFUNCTION("""COMPUTED_VALUE"""),63.3)</f>
        <v>63.3</v>
      </c>
      <c r="L1443" s="121"/>
      <c r="M1443" s="120">
        <f ca="1">IFERROR(__xludf.DUMMYFUNCTION("""COMPUTED_VALUE"""),63.3)</f>
        <v>63.3</v>
      </c>
      <c r="N1443" s="121"/>
      <c r="O1443" s="120">
        <f ca="1">IFERROR(__xludf.DUMMYFUNCTION("""COMPUTED_VALUE"""),59)</f>
        <v>59</v>
      </c>
      <c r="P1443" s="122"/>
      <c r="Q1443" s="123"/>
      <c r="R1443" s="123"/>
      <c r="S1443" s="123"/>
      <c r="T1443" s="123"/>
    </row>
    <row r="1444" spans="1:20" ht="13.8">
      <c r="A1444" s="118" t="str">
        <f ca="1">IFERROR(__xludf.DUMMYFUNCTION("""COMPUTED_VALUE"""),"PAR")</f>
        <v>PAR</v>
      </c>
      <c r="B1444" s="119" t="str">
        <f ca="1">IFERROR(__xludf.DUMMYFUNCTION("""COMPUTED_VALUE"""),"Jamie Herrick")</f>
        <v>Jamie Herrick</v>
      </c>
      <c r="C1444" s="118">
        <f ca="1">IFERROR(__xludf.DUMMYFUNCTION("""COMPUTED_VALUE"""),7)</f>
        <v>7</v>
      </c>
      <c r="D1444" s="118" t="str">
        <f ca="1">IFERROR(__xludf.DUMMYFUNCTION("""COMPUTED_VALUE"""),"B")</f>
        <v>B</v>
      </c>
      <c r="E1444" s="118" t="str">
        <f ca="1">IFERROR(__xludf.DUMMYFUNCTION("""COMPUTED_VALUE"""),"F")</f>
        <v>F</v>
      </c>
      <c r="F1444" s="118" t="str">
        <f ca="1">IFERROR(__xludf.DUMMYFUNCTION("""COMPUTED_VALUE"""),"J")</f>
        <v>J</v>
      </c>
      <c r="G1444" s="118">
        <f ca="1">IFERROR(__xludf.DUMMYFUNCTION("""COMPUTED_VALUE"""),3)</f>
        <v>3</v>
      </c>
      <c r="H1444" s="118" t="str">
        <f ca="1">IFERROR(__xludf.DUMMYFUNCTION("""COMPUTED_VALUE"""),"PAR")</f>
        <v>PAR</v>
      </c>
      <c r="I1444" s="118">
        <f ca="1">IFERROR(__xludf.DUMMYFUNCTION("""COMPUTED_VALUE"""),5)</f>
        <v>5</v>
      </c>
      <c r="J1444" s="118">
        <f ca="1">IFERROR(__xludf.DUMMYFUNCTION("""COMPUTED_VALUE"""),4)</f>
        <v>4</v>
      </c>
      <c r="K1444" s="120">
        <f ca="1">IFERROR(__xludf.DUMMYFUNCTION("""COMPUTED_VALUE"""),38.95)</f>
        <v>38.950000000000003</v>
      </c>
      <c r="L1444" s="121"/>
      <c r="M1444" s="120"/>
      <c r="N1444" s="121"/>
      <c r="O1444" s="120">
        <f ca="1">IFERROR(__xludf.DUMMYFUNCTION("""COMPUTED_VALUE"""),34.9)</f>
        <v>34.9</v>
      </c>
      <c r="P1444" s="122"/>
      <c r="Q1444" s="123"/>
      <c r="R1444" s="123"/>
      <c r="S1444" s="123"/>
      <c r="T1444" s="123"/>
    </row>
    <row r="1445" spans="1:20" ht="13.8">
      <c r="A1445" s="118" t="str">
        <f ca="1">IFERROR(__xludf.DUMMYFUNCTION("""COMPUTED_VALUE"""),"PAR")</f>
        <v>PAR</v>
      </c>
      <c r="B1445" s="119" t="str">
        <f ca="1">IFERROR(__xludf.DUMMYFUNCTION("""COMPUTED_VALUE"""),"Joseph Anderson")</f>
        <v>Joseph Anderson</v>
      </c>
      <c r="C1445" s="118">
        <f ca="1">IFERROR(__xludf.DUMMYFUNCTION("""COMPUTED_VALUE"""),7)</f>
        <v>7</v>
      </c>
      <c r="D1445" s="118" t="str">
        <f ca="1">IFERROR(__xludf.DUMMYFUNCTION("""COMPUTED_VALUE"""),"B")</f>
        <v>B</v>
      </c>
      <c r="E1445" s="118" t="str">
        <f ca="1">IFERROR(__xludf.DUMMYFUNCTION("""COMPUTED_VALUE"""),"F")</f>
        <v>F</v>
      </c>
      <c r="F1445" s="118" t="str">
        <f ca="1">IFERROR(__xludf.DUMMYFUNCTION("""COMPUTED_VALUE"""),"J")</f>
        <v>J</v>
      </c>
      <c r="G1445" s="118">
        <f ca="1">IFERROR(__xludf.DUMMYFUNCTION("""COMPUTED_VALUE"""),3)</f>
        <v>3</v>
      </c>
      <c r="H1445" s="118" t="str">
        <f ca="1">IFERROR(__xludf.DUMMYFUNCTION("""COMPUTED_VALUE"""),"PAR")</f>
        <v>PAR</v>
      </c>
      <c r="I1445" s="118">
        <f ca="1">IFERROR(__xludf.DUMMYFUNCTION("""COMPUTED_VALUE"""),5)</f>
        <v>5</v>
      </c>
      <c r="J1445" s="118">
        <f ca="1">IFERROR(__xludf.DUMMYFUNCTION("""COMPUTED_VALUE"""),0)</f>
        <v>0</v>
      </c>
      <c r="K1445" s="120"/>
      <c r="L1445" s="121"/>
      <c r="M1445" s="120"/>
      <c r="N1445" s="121"/>
      <c r="O1445" s="120"/>
      <c r="P1445" s="122"/>
      <c r="Q1445" s="123"/>
      <c r="R1445" s="123"/>
      <c r="S1445" s="123"/>
      <c r="T1445" s="123"/>
    </row>
    <row r="1446" spans="1:20" ht="13.8">
      <c r="A1446" s="118" t="str">
        <f ca="1">IFERROR(__xludf.DUMMYFUNCTION("""COMPUTED_VALUE"""),"PAR")</f>
        <v>PAR</v>
      </c>
      <c r="B1446" s="119" t="str">
        <f ca="1">IFERROR(__xludf.DUMMYFUNCTION("""COMPUTED_VALUE"""),"Logan Varner")</f>
        <v>Logan Varner</v>
      </c>
      <c r="C1446" s="118">
        <f ca="1">IFERROR(__xludf.DUMMYFUNCTION("""COMPUTED_VALUE"""),7)</f>
        <v>7</v>
      </c>
      <c r="D1446" s="118" t="str">
        <f ca="1">IFERROR(__xludf.DUMMYFUNCTION("""COMPUTED_VALUE"""),"B")</f>
        <v>B</v>
      </c>
      <c r="E1446" s="118" t="str">
        <f ca="1">IFERROR(__xludf.DUMMYFUNCTION("""COMPUTED_VALUE"""),"F")</f>
        <v>F</v>
      </c>
      <c r="F1446" s="118" t="str">
        <f ca="1">IFERROR(__xludf.DUMMYFUNCTION("""COMPUTED_VALUE"""),"J")</f>
        <v>J</v>
      </c>
      <c r="G1446" s="118">
        <f ca="1">IFERROR(__xludf.DUMMYFUNCTION("""COMPUTED_VALUE"""),3)</f>
        <v>3</v>
      </c>
      <c r="H1446" s="118" t="str">
        <f ca="1">IFERROR(__xludf.DUMMYFUNCTION("""COMPUTED_VALUE"""),"PAR")</f>
        <v>PAR</v>
      </c>
      <c r="I1446" s="118">
        <f ca="1">IFERROR(__xludf.DUMMYFUNCTION("""COMPUTED_VALUE"""),5)</f>
        <v>5</v>
      </c>
      <c r="J1446" s="118">
        <f ca="1">IFERROR(__xludf.DUMMYFUNCTION("""COMPUTED_VALUE"""),0)</f>
        <v>0</v>
      </c>
      <c r="K1446" s="120"/>
      <c r="L1446" s="121"/>
      <c r="M1446" s="120"/>
      <c r="N1446" s="121"/>
      <c r="O1446" s="120"/>
      <c r="P1446" s="122"/>
      <c r="Q1446" s="123"/>
      <c r="R1446" s="123"/>
      <c r="S1446" s="123"/>
      <c r="T1446" s="123"/>
    </row>
    <row r="1447" spans="1:20" ht="13.8">
      <c r="A1447" s="118" t="str">
        <f ca="1">IFERROR(__xludf.DUMMYFUNCTION("""COMPUTED_VALUE"""),"PAR")</f>
        <v>PAR</v>
      </c>
      <c r="B1447" s="119" t="str">
        <f ca="1">IFERROR(__xludf.DUMMYFUNCTION("""COMPUTED_VALUE"""),"Mack Klink")</f>
        <v>Mack Klink</v>
      </c>
      <c r="C1447" s="118">
        <f ca="1">IFERROR(__xludf.DUMMYFUNCTION("""COMPUTED_VALUE"""),9)</f>
        <v>9</v>
      </c>
      <c r="D1447" s="118" t="str">
        <f ca="1">IFERROR(__xludf.DUMMYFUNCTION("""COMPUTED_VALUE"""),"B")</f>
        <v>B</v>
      </c>
      <c r="E1447" s="118" t="str">
        <f ca="1">IFERROR(__xludf.DUMMYFUNCTION("""COMPUTED_VALUE"""),"F")</f>
        <v>F</v>
      </c>
      <c r="F1447" s="118" t="str">
        <f ca="1">IFERROR(__xludf.DUMMYFUNCTION("""COMPUTED_VALUE"""),"J")</f>
        <v>J</v>
      </c>
      <c r="G1447" s="118">
        <f ca="1">IFERROR(__xludf.DUMMYFUNCTION("""COMPUTED_VALUE"""),3)</f>
        <v>3</v>
      </c>
      <c r="H1447" s="118" t="str">
        <f ca="1">IFERROR(__xludf.DUMMYFUNCTION("""COMPUTED_VALUE"""),"PAR")</f>
        <v>PAR</v>
      </c>
      <c r="I1447" s="118">
        <f ca="1">IFERROR(__xludf.DUMMYFUNCTION("""COMPUTED_VALUE"""),5)</f>
        <v>5</v>
      </c>
      <c r="J1447" s="118">
        <f ca="1">IFERROR(__xludf.DUMMYFUNCTION("""COMPUTED_VALUE"""),5)</f>
        <v>5</v>
      </c>
      <c r="K1447" s="120">
        <f ca="1">IFERROR(__xludf.DUMMYFUNCTION("""COMPUTED_VALUE"""),52.85)</f>
        <v>52.85</v>
      </c>
      <c r="L1447" s="121"/>
      <c r="M1447" s="120">
        <f ca="1">IFERROR(__xludf.DUMMYFUNCTION("""COMPUTED_VALUE"""),52.85)</f>
        <v>52.85</v>
      </c>
      <c r="N1447" s="121"/>
      <c r="O1447" s="120">
        <f ca="1">IFERROR(__xludf.DUMMYFUNCTION("""COMPUTED_VALUE"""),47.35)</f>
        <v>47.35</v>
      </c>
      <c r="P1447" s="122"/>
      <c r="Q1447" s="123"/>
      <c r="R1447" s="123"/>
      <c r="S1447" s="123"/>
      <c r="T1447" s="123"/>
    </row>
    <row r="1448" spans="1:20" ht="13.8">
      <c r="A1448" s="118" t="str">
        <f ca="1">IFERROR(__xludf.DUMMYFUNCTION("""COMPUTED_VALUE"""),"PAR")</f>
        <v>PAR</v>
      </c>
      <c r="B1448" s="119" t="str">
        <f ca="1">IFERROR(__xludf.DUMMYFUNCTION("""COMPUTED_VALUE"""),"Michael Demas")</f>
        <v>Michael Demas</v>
      </c>
      <c r="C1448" s="118">
        <f ca="1">IFERROR(__xludf.DUMMYFUNCTION("""COMPUTED_VALUE"""),9)</f>
        <v>9</v>
      </c>
      <c r="D1448" s="118" t="str">
        <f ca="1">IFERROR(__xludf.DUMMYFUNCTION("""COMPUTED_VALUE"""),"B")</f>
        <v>B</v>
      </c>
      <c r="E1448" s="118" t="str">
        <f ca="1">IFERROR(__xludf.DUMMYFUNCTION("""COMPUTED_VALUE"""),"F")</f>
        <v>F</v>
      </c>
      <c r="F1448" s="118" t="str">
        <f ca="1">IFERROR(__xludf.DUMMYFUNCTION("""COMPUTED_VALUE"""),"J")</f>
        <v>J</v>
      </c>
      <c r="G1448" s="118">
        <f ca="1">IFERROR(__xludf.DUMMYFUNCTION("""COMPUTED_VALUE"""),3)</f>
        <v>3</v>
      </c>
      <c r="H1448" s="118" t="str">
        <f ca="1">IFERROR(__xludf.DUMMYFUNCTION("""COMPUTED_VALUE"""),"PAR")</f>
        <v>PAR</v>
      </c>
      <c r="I1448" s="118">
        <f ca="1">IFERROR(__xludf.DUMMYFUNCTION("""COMPUTED_VALUE"""),5)</f>
        <v>5</v>
      </c>
      <c r="J1448" s="118">
        <f ca="1">IFERROR(__xludf.DUMMYFUNCTION("""COMPUTED_VALUE"""),2)</f>
        <v>2</v>
      </c>
      <c r="K1448" s="120">
        <f ca="1">IFERROR(__xludf.DUMMYFUNCTION("""COMPUTED_VALUE"""),40.95)</f>
        <v>40.950000000000003</v>
      </c>
      <c r="L1448" s="121"/>
      <c r="M1448" s="120"/>
      <c r="N1448" s="121"/>
      <c r="O1448" s="120"/>
      <c r="P1448" s="122"/>
      <c r="Q1448" s="123"/>
      <c r="R1448" s="123"/>
      <c r="S1448" s="123"/>
      <c r="T1448" s="123"/>
    </row>
    <row r="1449" spans="1:20" ht="13.8">
      <c r="A1449" s="118" t="str">
        <f ca="1">IFERROR(__xludf.DUMMYFUNCTION("""COMPUTED_VALUE"""),"PAR")</f>
        <v>PAR</v>
      </c>
      <c r="B1449" s="119" t="str">
        <f ca="1">IFERROR(__xludf.DUMMYFUNCTION("""COMPUTED_VALUE"""),"Charlotte Rotteveel")</f>
        <v>Charlotte Rotteveel</v>
      </c>
      <c r="C1449" s="118">
        <f ca="1">IFERROR(__xludf.DUMMYFUNCTION("""COMPUTED_VALUE"""),11)</f>
        <v>11</v>
      </c>
      <c r="D1449" s="118" t="str">
        <f ca="1">IFERROR(__xludf.DUMMYFUNCTION("""COMPUTED_VALUE"""),"G")</f>
        <v>G</v>
      </c>
      <c r="E1449" s="118" t="str">
        <f ca="1">IFERROR(__xludf.DUMMYFUNCTION("""COMPUTED_VALUE"""),"J")</f>
        <v>J</v>
      </c>
      <c r="F1449" s="118" t="str">
        <f ca="1">IFERROR(__xludf.DUMMYFUNCTION("""COMPUTED_VALUE"""),"I")</f>
        <v>I</v>
      </c>
      <c r="G1449" s="118">
        <f ca="1">IFERROR(__xludf.DUMMYFUNCTION("""COMPUTED_VALUE"""),3)</f>
        <v>3</v>
      </c>
      <c r="H1449" s="118" t="str">
        <f ca="1">IFERROR(__xludf.DUMMYFUNCTION("""COMPUTED_VALUE"""),"PAR")</f>
        <v>PAR</v>
      </c>
      <c r="I1449" s="118">
        <f ca="1">IFERROR(__xludf.DUMMYFUNCTION("""COMPUTED_VALUE"""),6)</f>
        <v>6</v>
      </c>
      <c r="J1449" s="118">
        <f ca="1">IFERROR(__xludf.DUMMYFUNCTION("""COMPUTED_VALUE"""),5)</f>
        <v>5</v>
      </c>
      <c r="K1449" s="120">
        <f ca="1">IFERROR(__xludf.DUMMYFUNCTION("""COMPUTED_VALUE"""),118.8)</f>
        <v>118.8</v>
      </c>
      <c r="L1449" s="121"/>
      <c r="M1449" s="120">
        <f ca="1">IFERROR(__xludf.DUMMYFUNCTION("""COMPUTED_VALUE"""),105.85)</f>
        <v>105.85</v>
      </c>
      <c r="N1449" s="121"/>
      <c r="O1449" s="120">
        <f ca="1">IFERROR(__xludf.DUMMYFUNCTION("""COMPUTED_VALUE"""),106.6)</f>
        <v>106.6</v>
      </c>
      <c r="P1449" s="122"/>
      <c r="Q1449" s="123"/>
      <c r="R1449" s="123"/>
      <c r="S1449" s="123"/>
      <c r="T1449" s="123"/>
    </row>
    <row r="1450" spans="1:20" ht="13.8">
      <c r="A1450" s="118" t="str">
        <f ca="1">IFERROR(__xludf.DUMMYFUNCTION("""COMPUTED_VALUE"""),"PAR")</f>
        <v>PAR</v>
      </c>
      <c r="B1450" s="119" t="str">
        <f ca="1">IFERROR(__xludf.DUMMYFUNCTION("""COMPUTED_VALUE"""),"Gabrielle Subasavage")</f>
        <v>Gabrielle Subasavage</v>
      </c>
      <c r="C1450" s="118">
        <f ca="1">IFERROR(__xludf.DUMMYFUNCTION("""COMPUTED_VALUE"""),12)</f>
        <v>12</v>
      </c>
      <c r="D1450" s="118" t="str">
        <f ca="1">IFERROR(__xludf.DUMMYFUNCTION("""COMPUTED_VALUE"""),"G")</f>
        <v>G</v>
      </c>
      <c r="E1450" s="118" t="str">
        <f ca="1">IFERROR(__xludf.DUMMYFUNCTION("""COMPUTED_VALUE"""),"J")</f>
        <v>J</v>
      </c>
      <c r="F1450" s="118" t="str">
        <f ca="1">IFERROR(__xludf.DUMMYFUNCTION("""COMPUTED_VALUE"""),"I")</f>
        <v>I</v>
      </c>
      <c r="G1450" s="118">
        <f ca="1">IFERROR(__xludf.DUMMYFUNCTION("""COMPUTED_VALUE"""),3)</f>
        <v>3</v>
      </c>
      <c r="H1450" s="118" t="str">
        <f ca="1">IFERROR(__xludf.DUMMYFUNCTION("""COMPUTED_VALUE"""),"PAR")</f>
        <v>PAR</v>
      </c>
      <c r="I1450" s="118">
        <f ca="1">IFERROR(__xludf.DUMMYFUNCTION("""COMPUTED_VALUE"""),6)</f>
        <v>6</v>
      </c>
      <c r="J1450" s="118">
        <f ca="1">IFERROR(__xludf.DUMMYFUNCTION("""COMPUTED_VALUE"""),4)</f>
        <v>4</v>
      </c>
      <c r="K1450" s="120">
        <f ca="1">IFERROR(__xludf.DUMMYFUNCTION("""COMPUTED_VALUE"""),81.2)</f>
        <v>81.2</v>
      </c>
      <c r="L1450" s="121"/>
      <c r="M1450" s="120">
        <f ca="1">IFERROR(__xludf.DUMMYFUNCTION("""COMPUTED_VALUE"""),81.2)</f>
        <v>81.2</v>
      </c>
      <c r="N1450" s="121"/>
      <c r="O1450" s="120">
        <f ca="1">IFERROR(__xludf.DUMMYFUNCTION("""COMPUTED_VALUE"""),75.95)</f>
        <v>75.95</v>
      </c>
      <c r="P1450" s="122"/>
      <c r="Q1450" s="123"/>
      <c r="R1450" s="123"/>
      <c r="S1450" s="123"/>
      <c r="T1450" s="123"/>
    </row>
    <row r="1451" spans="1:20" ht="13.8">
      <c r="A1451" s="118" t="str">
        <f ca="1">IFERROR(__xludf.DUMMYFUNCTION("""COMPUTED_VALUE"""),"PAR")</f>
        <v>PAR</v>
      </c>
      <c r="B1451" s="119" t="str">
        <f ca="1">IFERROR(__xludf.DUMMYFUNCTION("""COMPUTED_VALUE"""),"Izzy Demas")</f>
        <v>Izzy Demas</v>
      </c>
      <c r="C1451" s="118">
        <f ca="1">IFERROR(__xludf.DUMMYFUNCTION("""COMPUTED_VALUE"""),12)</f>
        <v>12</v>
      </c>
      <c r="D1451" s="118" t="str">
        <f ca="1">IFERROR(__xludf.DUMMYFUNCTION("""COMPUTED_VALUE"""),"G")</f>
        <v>G</v>
      </c>
      <c r="E1451" s="118" t="str">
        <f ca="1">IFERROR(__xludf.DUMMYFUNCTION("""COMPUTED_VALUE"""),"J")</f>
        <v>J</v>
      </c>
      <c r="F1451" s="118" t="str">
        <f ca="1">IFERROR(__xludf.DUMMYFUNCTION("""COMPUTED_VALUE"""),"I")</f>
        <v>I</v>
      </c>
      <c r="G1451" s="118">
        <f ca="1">IFERROR(__xludf.DUMMYFUNCTION("""COMPUTED_VALUE"""),3)</f>
        <v>3</v>
      </c>
      <c r="H1451" s="118" t="str">
        <f ca="1">IFERROR(__xludf.DUMMYFUNCTION("""COMPUTED_VALUE"""),"PAR")</f>
        <v>PAR</v>
      </c>
      <c r="I1451" s="118">
        <f ca="1">IFERROR(__xludf.DUMMYFUNCTION("""COMPUTED_VALUE"""),6)</f>
        <v>6</v>
      </c>
      <c r="J1451" s="118">
        <f ca="1">IFERROR(__xludf.DUMMYFUNCTION("""COMPUTED_VALUE"""),0)</f>
        <v>0</v>
      </c>
      <c r="K1451" s="120"/>
      <c r="L1451" s="121"/>
      <c r="M1451" s="120"/>
      <c r="N1451" s="121"/>
      <c r="O1451" s="120"/>
      <c r="P1451" s="122"/>
      <c r="Q1451" s="123"/>
      <c r="R1451" s="123"/>
      <c r="S1451" s="123"/>
      <c r="T1451" s="123"/>
    </row>
    <row r="1452" spans="1:20" ht="13.8">
      <c r="A1452" s="118" t="str">
        <f ca="1">IFERROR(__xludf.DUMMYFUNCTION("""COMPUTED_VALUE"""),"PAR")</f>
        <v>PAR</v>
      </c>
      <c r="B1452" s="119" t="str">
        <f ca="1">IFERROR(__xludf.DUMMYFUNCTION("""COMPUTED_VALUE"""),"Marisa Torregroza")</f>
        <v>Marisa Torregroza</v>
      </c>
      <c r="C1452" s="118">
        <f ca="1">IFERROR(__xludf.DUMMYFUNCTION("""COMPUTED_VALUE"""),11)</f>
        <v>11</v>
      </c>
      <c r="D1452" s="118" t="str">
        <f ca="1">IFERROR(__xludf.DUMMYFUNCTION("""COMPUTED_VALUE"""),"G")</f>
        <v>G</v>
      </c>
      <c r="E1452" s="118" t="str">
        <f ca="1">IFERROR(__xludf.DUMMYFUNCTION("""COMPUTED_VALUE"""),"J")</f>
        <v>J</v>
      </c>
      <c r="F1452" s="118" t="str">
        <f ca="1">IFERROR(__xludf.DUMMYFUNCTION("""COMPUTED_VALUE"""),"I")</f>
        <v>I</v>
      </c>
      <c r="G1452" s="118">
        <f ca="1">IFERROR(__xludf.DUMMYFUNCTION("""COMPUTED_VALUE"""),3)</f>
        <v>3</v>
      </c>
      <c r="H1452" s="118" t="str">
        <f ca="1">IFERROR(__xludf.DUMMYFUNCTION("""COMPUTED_VALUE"""),"PAR")</f>
        <v>PAR</v>
      </c>
      <c r="I1452" s="118">
        <f ca="1">IFERROR(__xludf.DUMMYFUNCTION("""COMPUTED_VALUE"""),6)</f>
        <v>6</v>
      </c>
      <c r="J1452" s="118">
        <f ca="1">IFERROR(__xludf.DUMMYFUNCTION("""COMPUTED_VALUE"""),4)</f>
        <v>4</v>
      </c>
      <c r="K1452" s="120">
        <f ca="1">IFERROR(__xludf.DUMMYFUNCTION("""COMPUTED_VALUE"""),68.75)</f>
        <v>68.75</v>
      </c>
      <c r="L1452" s="121"/>
      <c r="M1452" s="120">
        <f ca="1">IFERROR(__xludf.DUMMYFUNCTION("""COMPUTED_VALUE"""),68.75)</f>
        <v>68.75</v>
      </c>
      <c r="N1452" s="121"/>
      <c r="O1452" s="120"/>
      <c r="P1452" s="122"/>
      <c r="Q1452" s="123"/>
      <c r="R1452" s="123"/>
      <c r="S1452" s="123"/>
      <c r="T1452" s="123"/>
    </row>
    <row r="1453" spans="1:20" ht="13.8">
      <c r="A1453" s="118" t="str">
        <f ca="1">IFERROR(__xludf.DUMMYFUNCTION("""COMPUTED_VALUE"""),"PAR")</f>
        <v>PAR</v>
      </c>
      <c r="B1453" s="119" t="str">
        <f ca="1">IFERROR(__xludf.DUMMYFUNCTION("""COMPUTED_VALUE"""),"Tanisa Kanchanawanchai")</f>
        <v>Tanisa Kanchanawanchai</v>
      </c>
      <c r="C1453" s="118">
        <f ca="1">IFERROR(__xludf.DUMMYFUNCTION("""COMPUTED_VALUE"""),12)</f>
        <v>12</v>
      </c>
      <c r="D1453" s="118" t="str">
        <f ca="1">IFERROR(__xludf.DUMMYFUNCTION("""COMPUTED_VALUE"""),"G")</f>
        <v>G</v>
      </c>
      <c r="E1453" s="118" t="str">
        <f ca="1">IFERROR(__xludf.DUMMYFUNCTION("""COMPUTED_VALUE"""),"J")</f>
        <v>J</v>
      </c>
      <c r="F1453" s="118" t="str">
        <f ca="1">IFERROR(__xludf.DUMMYFUNCTION("""COMPUTED_VALUE"""),"I")</f>
        <v>I</v>
      </c>
      <c r="G1453" s="118">
        <f ca="1">IFERROR(__xludf.DUMMYFUNCTION("""COMPUTED_VALUE"""),3)</f>
        <v>3</v>
      </c>
      <c r="H1453" s="118" t="str">
        <f ca="1">IFERROR(__xludf.DUMMYFUNCTION("""COMPUTED_VALUE"""),"PAR")</f>
        <v>PAR</v>
      </c>
      <c r="I1453" s="118">
        <f ca="1">IFERROR(__xludf.DUMMYFUNCTION("""COMPUTED_VALUE"""),6)</f>
        <v>6</v>
      </c>
      <c r="J1453" s="118">
        <f ca="1">IFERROR(__xludf.DUMMYFUNCTION("""COMPUTED_VALUE"""),5)</f>
        <v>5</v>
      </c>
      <c r="K1453" s="120">
        <f ca="1">IFERROR(__xludf.DUMMYFUNCTION("""COMPUTED_VALUE"""),67.4)</f>
        <v>67.400000000000006</v>
      </c>
      <c r="L1453" s="121"/>
      <c r="M1453" s="120">
        <f ca="1">IFERROR(__xludf.DUMMYFUNCTION("""COMPUTED_VALUE"""),59.25)</f>
        <v>59.25</v>
      </c>
      <c r="N1453" s="121"/>
      <c r="O1453" s="120">
        <f ca="1">IFERROR(__xludf.DUMMYFUNCTION("""COMPUTED_VALUE"""),67.4)</f>
        <v>67.400000000000006</v>
      </c>
      <c r="P1453" s="122"/>
      <c r="Q1453" s="123"/>
      <c r="R1453" s="123"/>
      <c r="S1453" s="123"/>
      <c r="T1453" s="123"/>
    </row>
    <row r="1454" spans="1:20" ht="13.8">
      <c r="A1454" s="118" t="str">
        <f ca="1">IFERROR(__xludf.DUMMYFUNCTION("""COMPUTED_VALUE"""),"PAR")</f>
        <v>PAR</v>
      </c>
      <c r="B1454" s="119" t="str">
        <f ca="1">IFERROR(__xludf.DUMMYFUNCTION("""COMPUTED_VALUE"""),"Elliot Brooks")</f>
        <v>Elliot Brooks</v>
      </c>
      <c r="C1454" s="118">
        <f ca="1">IFERROR(__xludf.DUMMYFUNCTION("""COMPUTED_VALUE"""),11)</f>
        <v>11</v>
      </c>
      <c r="D1454" s="118" t="str">
        <f ca="1">IFERROR(__xludf.DUMMYFUNCTION("""COMPUTED_VALUE"""),"B")</f>
        <v>B</v>
      </c>
      <c r="E1454" s="118" t="str">
        <f ca="1">IFERROR(__xludf.DUMMYFUNCTION("""COMPUTED_VALUE"""),"J")</f>
        <v>J</v>
      </c>
      <c r="F1454" s="118" t="str">
        <f ca="1">IFERROR(__xludf.DUMMYFUNCTION("""COMPUTED_VALUE"""),"I")</f>
        <v>I</v>
      </c>
      <c r="G1454" s="118">
        <f ca="1">IFERROR(__xludf.DUMMYFUNCTION("""COMPUTED_VALUE"""),3)</f>
        <v>3</v>
      </c>
      <c r="H1454" s="118" t="str">
        <f ca="1">IFERROR(__xludf.DUMMYFUNCTION("""COMPUTED_VALUE"""),"PAR")</f>
        <v>PAR</v>
      </c>
      <c r="I1454" s="118">
        <f ca="1">IFERROR(__xludf.DUMMYFUNCTION("""COMPUTED_VALUE"""),7)</f>
        <v>7</v>
      </c>
      <c r="J1454" s="118">
        <f ca="1">IFERROR(__xludf.DUMMYFUNCTION("""COMPUTED_VALUE"""),5)</f>
        <v>5</v>
      </c>
      <c r="K1454" s="120">
        <f ca="1">IFERROR(__xludf.DUMMYFUNCTION("""COMPUTED_VALUE"""),82)</f>
        <v>82</v>
      </c>
      <c r="L1454" s="121"/>
      <c r="M1454" s="120">
        <f ca="1">IFERROR(__xludf.DUMMYFUNCTION("""COMPUTED_VALUE"""),69.45)</f>
        <v>69.45</v>
      </c>
      <c r="N1454" s="121"/>
      <c r="O1454" s="120">
        <f ca="1">IFERROR(__xludf.DUMMYFUNCTION("""COMPUTED_VALUE"""),66.95)</f>
        <v>66.95</v>
      </c>
      <c r="P1454" s="122"/>
      <c r="Q1454" s="123"/>
      <c r="R1454" s="123"/>
      <c r="S1454" s="123"/>
      <c r="T1454" s="123"/>
    </row>
    <row r="1455" spans="1:20" ht="13.8">
      <c r="A1455" s="118" t="str">
        <f ca="1">IFERROR(__xludf.DUMMYFUNCTION("""COMPUTED_VALUE"""),"PAR")</f>
        <v>PAR</v>
      </c>
      <c r="B1455" s="119" t="str">
        <f ca="1">IFERROR(__xludf.DUMMYFUNCTION("""COMPUTED_VALUE"""),"Liam Ezekiel")</f>
        <v>Liam Ezekiel</v>
      </c>
      <c r="C1455" s="118">
        <f ca="1">IFERROR(__xludf.DUMMYFUNCTION("""COMPUTED_VALUE"""),12)</f>
        <v>12</v>
      </c>
      <c r="D1455" s="118" t="str">
        <f ca="1">IFERROR(__xludf.DUMMYFUNCTION("""COMPUTED_VALUE"""),"B")</f>
        <v>B</v>
      </c>
      <c r="E1455" s="118" t="str">
        <f ca="1">IFERROR(__xludf.DUMMYFUNCTION("""COMPUTED_VALUE"""),"J")</f>
        <v>J</v>
      </c>
      <c r="F1455" s="118" t="str">
        <f ca="1">IFERROR(__xludf.DUMMYFUNCTION("""COMPUTED_VALUE"""),"I")</f>
        <v>I</v>
      </c>
      <c r="G1455" s="118">
        <f ca="1">IFERROR(__xludf.DUMMYFUNCTION("""COMPUTED_VALUE"""),3)</f>
        <v>3</v>
      </c>
      <c r="H1455" s="118" t="str">
        <f ca="1">IFERROR(__xludf.DUMMYFUNCTION("""COMPUTED_VALUE"""),"PAR")</f>
        <v>PAR</v>
      </c>
      <c r="I1455" s="118">
        <f ca="1">IFERROR(__xludf.DUMMYFUNCTION("""COMPUTED_VALUE"""),7)</f>
        <v>7</v>
      </c>
      <c r="J1455" s="118">
        <f ca="1">IFERROR(__xludf.DUMMYFUNCTION("""COMPUTED_VALUE"""),3)</f>
        <v>3</v>
      </c>
      <c r="K1455" s="120">
        <f ca="1">IFERROR(__xludf.DUMMYFUNCTION("""COMPUTED_VALUE"""),76.35)</f>
        <v>76.349999999999994</v>
      </c>
      <c r="L1455" s="121"/>
      <c r="M1455" s="120"/>
      <c r="N1455" s="121"/>
      <c r="O1455" s="120">
        <f ca="1">IFERROR(__xludf.DUMMYFUNCTION("""COMPUTED_VALUE"""),76.35)</f>
        <v>76.349999999999994</v>
      </c>
      <c r="P1455" s="122"/>
      <c r="Q1455" s="123"/>
      <c r="R1455" s="123"/>
      <c r="S1455" s="123"/>
      <c r="T1455" s="123"/>
    </row>
    <row r="1456" spans="1:20" ht="13.8">
      <c r="A1456" s="118" t="str">
        <f ca="1">IFERROR(__xludf.DUMMYFUNCTION("""COMPUTED_VALUE"""),"PAR")</f>
        <v>PAR</v>
      </c>
      <c r="B1456" s="119" t="str">
        <f ca="1">IFERROR(__xludf.DUMMYFUNCTION("""COMPUTED_VALUE"""),"Liam Tavares")</f>
        <v>Liam Tavares</v>
      </c>
      <c r="C1456" s="118">
        <f ca="1">IFERROR(__xludf.DUMMYFUNCTION("""COMPUTED_VALUE"""),11)</f>
        <v>11</v>
      </c>
      <c r="D1456" s="118" t="str">
        <f ca="1">IFERROR(__xludf.DUMMYFUNCTION("""COMPUTED_VALUE"""),"B")</f>
        <v>B</v>
      </c>
      <c r="E1456" s="118" t="str">
        <f ca="1">IFERROR(__xludf.DUMMYFUNCTION("""COMPUTED_VALUE"""),"J")</f>
        <v>J</v>
      </c>
      <c r="F1456" s="118" t="str">
        <f ca="1">IFERROR(__xludf.DUMMYFUNCTION("""COMPUTED_VALUE"""),"I")</f>
        <v>I</v>
      </c>
      <c r="G1456" s="118">
        <f ca="1">IFERROR(__xludf.DUMMYFUNCTION("""COMPUTED_VALUE"""),3)</f>
        <v>3</v>
      </c>
      <c r="H1456" s="118" t="str">
        <f ca="1">IFERROR(__xludf.DUMMYFUNCTION("""COMPUTED_VALUE"""),"PAR")</f>
        <v>PAR</v>
      </c>
      <c r="I1456" s="118">
        <f ca="1">IFERROR(__xludf.DUMMYFUNCTION("""COMPUTED_VALUE"""),7)</f>
        <v>7</v>
      </c>
      <c r="J1456" s="118">
        <f ca="1">IFERROR(__xludf.DUMMYFUNCTION("""COMPUTED_VALUE"""),2)</f>
        <v>2</v>
      </c>
      <c r="K1456" s="120">
        <f ca="1">IFERROR(__xludf.DUMMYFUNCTION("""COMPUTED_VALUE"""),59.65)</f>
        <v>59.65</v>
      </c>
      <c r="L1456" s="121"/>
      <c r="M1456" s="120"/>
      <c r="N1456" s="121"/>
      <c r="O1456" s="120">
        <f ca="1">IFERROR(__xludf.DUMMYFUNCTION("""COMPUTED_VALUE"""),59.65)</f>
        <v>59.65</v>
      </c>
      <c r="P1456" s="122"/>
      <c r="Q1456" s="123"/>
      <c r="R1456" s="123"/>
      <c r="S1456" s="123"/>
      <c r="T1456" s="123"/>
    </row>
    <row r="1457" spans="1:20" ht="13.8">
      <c r="A1457" s="118" t="str">
        <f ca="1">IFERROR(__xludf.DUMMYFUNCTION("""COMPUTED_VALUE"""),"PAR")</f>
        <v>PAR</v>
      </c>
      <c r="B1457" s="119" t="str">
        <f ca="1">IFERROR(__xludf.DUMMYFUNCTION("""COMPUTED_VALUE"""),"Aubree Burnside")</f>
        <v>Aubree Burnside</v>
      </c>
      <c r="C1457" s="118">
        <f ca="1">IFERROR(__xludf.DUMMYFUNCTION("""COMPUTED_VALUE"""),13)</f>
        <v>13</v>
      </c>
      <c r="D1457" s="118" t="str">
        <f ca="1">IFERROR(__xludf.DUMMYFUNCTION("""COMPUTED_VALUE"""),"G")</f>
        <v>G</v>
      </c>
      <c r="E1457" s="118" t="str">
        <f ca="1">IFERROR(__xludf.DUMMYFUNCTION("""COMPUTED_VALUE"""),"I")</f>
        <v>I</v>
      </c>
      <c r="F1457" s="118" t="str">
        <f ca="1">IFERROR(__xludf.DUMMYFUNCTION("""COMPUTED_VALUE"""),"S")</f>
        <v>S</v>
      </c>
      <c r="G1457" s="118">
        <f ca="1">IFERROR(__xludf.DUMMYFUNCTION("""COMPUTED_VALUE"""),3)</f>
        <v>3</v>
      </c>
      <c r="H1457" s="118" t="str">
        <f ca="1">IFERROR(__xludf.DUMMYFUNCTION("""COMPUTED_VALUE"""),"PAR")</f>
        <v>PAR</v>
      </c>
      <c r="I1457" s="118">
        <f ca="1">IFERROR(__xludf.DUMMYFUNCTION("""COMPUTED_VALUE"""),8)</f>
        <v>8</v>
      </c>
      <c r="J1457" s="118">
        <f ca="1">IFERROR(__xludf.DUMMYFUNCTION("""COMPUTED_VALUE"""),4)</f>
        <v>4</v>
      </c>
      <c r="K1457" s="120">
        <f ca="1">IFERROR(__xludf.DUMMYFUNCTION("""COMPUTED_VALUE"""),128.05)</f>
        <v>128.05000000000001</v>
      </c>
      <c r="L1457" s="121"/>
      <c r="M1457" s="120"/>
      <c r="N1457" s="121"/>
      <c r="O1457" s="120">
        <f ca="1">IFERROR(__xludf.DUMMYFUNCTION("""COMPUTED_VALUE"""),128.05)</f>
        <v>128.05000000000001</v>
      </c>
      <c r="P1457" s="122"/>
      <c r="Q1457" s="123"/>
      <c r="R1457" s="123"/>
      <c r="S1457" s="123"/>
      <c r="T1457" s="123"/>
    </row>
    <row r="1458" spans="1:20" ht="13.8">
      <c r="A1458" s="118" t="str">
        <f ca="1">IFERROR(__xludf.DUMMYFUNCTION("""COMPUTED_VALUE"""),"PAR")</f>
        <v>PAR</v>
      </c>
      <c r="B1458" s="119" t="str">
        <f ca="1">IFERROR(__xludf.DUMMYFUNCTION("""COMPUTED_VALUE"""),"Madyson Chambley")</f>
        <v>Madyson Chambley</v>
      </c>
      <c r="C1458" s="118">
        <f ca="1">IFERROR(__xludf.DUMMYFUNCTION("""COMPUTED_VALUE"""),14)</f>
        <v>14</v>
      </c>
      <c r="D1458" s="118" t="str">
        <f ca="1">IFERROR(__xludf.DUMMYFUNCTION("""COMPUTED_VALUE"""),"G")</f>
        <v>G</v>
      </c>
      <c r="E1458" s="118" t="str">
        <f ca="1">IFERROR(__xludf.DUMMYFUNCTION("""COMPUTED_VALUE"""),"I")</f>
        <v>I</v>
      </c>
      <c r="F1458" s="118" t="str">
        <f ca="1">IFERROR(__xludf.DUMMYFUNCTION("""COMPUTED_VALUE"""),"S")</f>
        <v>S</v>
      </c>
      <c r="G1458" s="118">
        <f ca="1">IFERROR(__xludf.DUMMYFUNCTION("""COMPUTED_VALUE"""),3)</f>
        <v>3</v>
      </c>
      <c r="H1458" s="118" t="str">
        <f ca="1">IFERROR(__xludf.DUMMYFUNCTION("""COMPUTED_VALUE"""),"PAR")</f>
        <v>PAR</v>
      </c>
      <c r="I1458" s="118">
        <f ca="1">IFERROR(__xludf.DUMMYFUNCTION("""COMPUTED_VALUE"""),8)</f>
        <v>8</v>
      </c>
      <c r="J1458" s="118">
        <f ca="1">IFERROR(__xludf.DUMMYFUNCTION("""COMPUTED_VALUE"""),4)</f>
        <v>4</v>
      </c>
      <c r="K1458" s="120">
        <f ca="1">IFERROR(__xludf.DUMMYFUNCTION("""COMPUTED_VALUE"""),109.55)</f>
        <v>109.55</v>
      </c>
      <c r="L1458" s="121"/>
      <c r="M1458" s="120">
        <f ca="1">IFERROR(__xludf.DUMMYFUNCTION("""COMPUTED_VALUE"""),109.55)</f>
        <v>109.55</v>
      </c>
      <c r="N1458" s="121"/>
      <c r="O1458" s="120">
        <f ca="1">IFERROR(__xludf.DUMMYFUNCTION("""COMPUTED_VALUE"""),105.45)</f>
        <v>105.45</v>
      </c>
      <c r="P1458" s="122"/>
      <c r="Q1458" s="123"/>
      <c r="R1458" s="123"/>
      <c r="S1458" s="123"/>
      <c r="T1458" s="123"/>
    </row>
    <row r="1459" spans="1:20" ht="13.8">
      <c r="A1459" s="118" t="str">
        <f ca="1">IFERROR(__xludf.DUMMYFUNCTION("""COMPUTED_VALUE"""),"PAR")</f>
        <v>PAR</v>
      </c>
      <c r="B1459" s="119" t="str">
        <f ca="1">IFERROR(__xludf.DUMMYFUNCTION("""COMPUTED_VALUE"""),"Sabrina Reilly")</f>
        <v>Sabrina Reilly</v>
      </c>
      <c r="C1459" s="118">
        <f ca="1">IFERROR(__xludf.DUMMYFUNCTION("""COMPUTED_VALUE"""),13)</f>
        <v>13</v>
      </c>
      <c r="D1459" s="118" t="str">
        <f ca="1">IFERROR(__xludf.DUMMYFUNCTION("""COMPUTED_VALUE"""),"G")</f>
        <v>G</v>
      </c>
      <c r="E1459" s="118" t="str">
        <f ca="1">IFERROR(__xludf.DUMMYFUNCTION("""COMPUTED_VALUE"""),"I")</f>
        <v>I</v>
      </c>
      <c r="F1459" s="118" t="str">
        <f ca="1">IFERROR(__xludf.DUMMYFUNCTION("""COMPUTED_VALUE"""),"S")</f>
        <v>S</v>
      </c>
      <c r="G1459" s="118">
        <f ca="1">IFERROR(__xludf.DUMMYFUNCTION("""COMPUTED_VALUE"""),3)</f>
        <v>3</v>
      </c>
      <c r="H1459" s="118" t="str">
        <f ca="1">IFERROR(__xludf.DUMMYFUNCTION("""COMPUTED_VALUE"""),"PAR")</f>
        <v>PAR</v>
      </c>
      <c r="I1459" s="118">
        <f ca="1">IFERROR(__xludf.DUMMYFUNCTION("""COMPUTED_VALUE"""),8)</f>
        <v>8</v>
      </c>
      <c r="J1459" s="118">
        <f ca="1">IFERROR(__xludf.DUMMYFUNCTION("""COMPUTED_VALUE"""),0)</f>
        <v>0</v>
      </c>
      <c r="K1459" s="120"/>
      <c r="L1459" s="121"/>
      <c r="M1459" s="120"/>
      <c r="N1459" s="121"/>
      <c r="O1459" s="120"/>
      <c r="P1459" s="122"/>
      <c r="Q1459" s="123"/>
      <c r="R1459" s="123"/>
      <c r="S1459" s="123"/>
      <c r="T1459" s="123"/>
    </row>
    <row r="1460" spans="1:20" ht="13.8">
      <c r="A1460" s="118" t="str">
        <f ca="1">IFERROR(__xludf.DUMMYFUNCTION("""COMPUTED_VALUE"""),"PAR")</f>
        <v>PAR</v>
      </c>
      <c r="B1460" s="119" t="str">
        <f ca="1">IFERROR(__xludf.DUMMYFUNCTION("""COMPUTED_VALUE"""),"Drew Avila")</f>
        <v>Drew Avila</v>
      </c>
      <c r="C1460" s="118">
        <f ca="1">IFERROR(__xludf.DUMMYFUNCTION("""COMPUTED_VALUE"""),13)</f>
        <v>13</v>
      </c>
      <c r="D1460" s="118" t="str">
        <f ca="1">IFERROR(__xludf.DUMMYFUNCTION("""COMPUTED_VALUE"""),"B")</f>
        <v>B</v>
      </c>
      <c r="E1460" s="118" t="str">
        <f ca="1">IFERROR(__xludf.DUMMYFUNCTION("""COMPUTED_VALUE"""),"I")</f>
        <v>I</v>
      </c>
      <c r="F1460" s="118" t="str">
        <f ca="1">IFERROR(__xludf.DUMMYFUNCTION("""COMPUTED_VALUE"""),"S")</f>
        <v>S</v>
      </c>
      <c r="G1460" s="118">
        <f ca="1">IFERROR(__xludf.DUMMYFUNCTION("""COMPUTED_VALUE"""),3)</f>
        <v>3</v>
      </c>
      <c r="H1460" s="118" t="str">
        <f ca="1">IFERROR(__xludf.DUMMYFUNCTION("""COMPUTED_VALUE"""),"PAR")</f>
        <v>PAR</v>
      </c>
      <c r="I1460" s="118">
        <f ca="1">IFERROR(__xludf.DUMMYFUNCTION("""COMPUTED_VALUE"""),9)</f>
        <v>9</v>
      </c>
      <c r="J1460" s="118">
        <f ca="1">IFERROR(__xludf.DUMMYFUNCTION("""COMPUTED_VALUE"""),4)</f>
        <v>4</v>
      </c>
      <c r="K1460" s="120">
        <f ca="1">IFERROR(__xludf.DUMMYFUNCTION("""COMPUTED_VALUE"""),99.35)</f>
        <v>99.35</v>
      </c>
      <c r="L1460" s="121"/>
      <c r="M1460" s="120">
        <f ca="1">IFERROR(__xludf.DUMMYFUNCTION("""COMPUTED_VALUE"""),89.25)</f>
        <v>89.25</v>
      </c>
      <c r="N1460" s="121"/>
      <c r="O1460" s="120"/>
      <c r="P1460" s="122"/>
      <c r="Q1460" s="123"/>
      <c r="R1460" s="123"/>
      <c r="S1460" s="123"/>
      <c r="T1460" s="123"/>
    </row>
    <row r="1461" spans="1:20" ht="13.8">
      <c r="A1461" s="118" t="str">
        <f ca="1">IFERROR(__xludf.DUMMYFUNCTION("""COMPUTED_VALUE"""),"PAR")</f>
        <v>PAR</v>
      </c>
      <c r="B1461" s="119" t="str">
        <f ca="1">IFERROR(__xludf.DUMMYFUNCTION("""COMPUTED_VALUE"""),"Nolan Scott")</f>
        <v>Nolan Scott</v>
      </c>
      <c r="C1461" s="118">
        <f ca="1">IFERROR(__xludf.DUMMYFUNCTION("""COMPUTED_VALUE"""),13)</f>
        <v>13</v>
      </c>
      <c r="D1461" s="118" t="str">
        <f ca="1">IFERROR(__xludf.DUMMYFUNCTION("""COMPUTED_VALUE"""),"B")</f>
        <v>B</v>
      </c>
      <c r="E1461" s="118" t="str">
        <f ca="1">IFERROR(__xludf.DUMMYFUNCTION("""COMPUTED_VALUE"""),"I")</f>
        <v>I</v>
      </c>
      <c r="F1461" s="118" t="str">
        <f ca="1">IFERROR(__xludf.DUMMYFUNCTION("""COMPUTED_VALUE"""),"S")</f>
        <v>S</v>
      </c>
      <c r="G1461" s="118">
        <f ca="1">IFERROR(__xludf.DUMMYFUNCTION("""COMPUTED_VALUE"""),3)</f>
        <v>3</v>
      </c>
      <c r="H1461" s="118" t="str">
        <f ca="1">IFERROR(__xludf.DUMMYFUNCTION("""COMPUTED_VALUE"""),"PAR")</f>
        <v>PAR</v>
      </c>
      <c r="I1461" s="118">
        <f ca="1">IFERROR(__xludf.DUMMYFUNCTION("""COMPUTED_VALUE"""),9)</f>
        <v>9</v>
      </c>
      <c r="J1461" s="118">
        <f ca="1">IFERROR(__xludf.DUMMYFUNCTION("""COMPUTED_VALUE"""),5)</f>
        <v>5</v>
      </c>
      <c r="K1461" s="120">
        <f ca="1">IFERROR(__xludf.DUMMYFUNCTION("""COMPUTED_VALUE"""),145.2)</f>
        <v>145.19999999999999</v>
      </c>
      <c r="L1461" s="121"/>
      <c r="M1461" s="120">
        <f ca="1">IFERROR(__xludf.DUMMYFUNCTION("""COMPUTED_VALUE"""),144.05)</f>
        <v>144.05000000000001</v>
      </c>
      <c r="N1461" s="121"/>
      <c r="O1461" s="120">
        <f ca="1">IFERROR(__xludf.DUMMYFUNCTION("""COMPUTED_VALUE"""),134.85)</f>
        <v>134.85</v>
      </c>
      <c r="P1461" s="122"/>
      <c r="Q1461" s="123"/>
      <c r="R1461" s="123"/>
      <c r="S1461" s="123"/>
      <c r="T1461" s="123"/>
    </row>
    <row r="1462" spans="1:20" ht="13.8">
      <c r="A1462" s="118" t="str">
        <f ca="1">IFERROR(__xludf.DUMMYFUNCTION("""COMPUTED_VALUE"""),"PAR")</f>
        <v>PAR</v>
      </c>
      <c r="B1462" s="119" t="str">
        <f ca="1">IFERROR(__xludf.DUMMYFUNCTION("""COMPUTED_VALUE"""),"Daniel Cate")</f>
        <v>Daniel Cate</v>
      </c>
      <c r="C1462" s="118">
        <f ca="1">IFERROR(__xludf.DUMMYFUNCTION("""COMPUTED_VALUE"""),18)</f>
        <v>18</v>
      </c>
      <c r="D1462" s="118" t="str">
        <f ca="1">IFERROR(__xludf.DUMMYFUNCTION("""COMPUTED_VALUE"""),"B")</f>
        <v>B</v>
      </c>
      <c r="E1462" s="118" t="str">
        <f ca="1">IFERROR(__xludf.DUMMYFUNCTION("""COMPUTED_VALUE"""),"S")</f>
        <v>S</v>
      </c>
      <c r="F1462" s="118" t="str">
        <f ca="1">IFERROR(__xludf.DUMMYFUNCTION("""COMPUTED_VALUE"""),"S")</f>
        <v>S</v>
      </c>
      <c r="G1462" s="118">
        <f ca="1">IFERROR(__xludf.DUMMYFUNCTION("""COMPUTED_VALUE"""),3)</f>
        <v>3</v>
      </c>
      <c r="H1462" s="118" t="str">
        <f ca="1">IFERROR(__xludf.DUMMYFUNCTION("""COMPUTED_VALUE"""),"PAR")</f>
        <v>PAR</v>
      </c>
      <c r="I1462" s="118">
        <f ca="1">IFERROR(__xludf.DUMMYFUNCTION("""COMPUTED_VALUE"""),11)</f>
        <v>11</v>
      </c>
      <c r="J1462" s="118">
        <f ca="1">IFERROR(__xludf.DUMMYFUNCTION("""COMPUTED_VALUE"""),4)</f>
        <v>4</v>
      </c>
      <c r="K1462" s="120">
        <f ca="1">IFERROR(__xludf.DUMMYFUNCTION("""COMPUTED_VALUE"""),169.9)</f>
        <v>169.9</v>
      </c>
      <c r="L1462" s="121"/>
      <c r="M1462" s="120">
        <f ca="1">IFERROR(__xludf.DUMMYFUNCTION("""COMPUTED_VALUE"""),151.1)</f>
        <v>151.1</v>
      </c>
      <c r="N1462" s="121"/>
      <c r="O1462" s="120">
        <f ca="1">IFERROR(__xludf.DUMMYFUNCTION("""COMPUTED_VALUE"""),169.9)</f>
        <v>169.9</v>
      </c>
      <c r="P1462" s="122"/>
      <c r="Q1462" s="123"/>
      <c r="R1462" s="123"/>
      <c r="S1462" s="123"/>
      <c r="T1462" s="123"/>
    </row>
    <row r="1463" spans="1:20" ht="13.8">
      <c r="A1463" s="118" t="str">
        <f ca="1">IFERROR(__xludf.DUMMYFUNCTION("""COMPUTED_VALUE"""),"PAR")</f>
        <v>PAR</v>
      </c>
      <c r="B1463" s="119" t="str">
        <f ca="1">IFERROR(__xludf.DUMMYFUNCTION("""COMPUTED_VALUE"""),"Evan Vink")</f>
        <v>Evan Vink</v>
      </c>
      <c r="C1463" s="118">
        <f ca="1">IFERROR(__xludf.DUMMYFUNCTION("""COMPUTED_VALUE"""),16)</f>
        <v>16</v>
      </c>
      <c r="D1463" s="118" t="str">
        <f ca="1">IFERROR(__xludf.DUMMYFUNCTION("""COMPUTED_VALUE"""),"B")</f>
        <v>B</v>
      </c>
      <c r="E1463" s="118" t="str">
        <f ca="1">IFERROR(__xludf.DUMMYFUNCTION("""COMPUTED_VALUE"""),"S")</f>
        <v>S</v>
      </c>
      <c r="F1463" s="118" t="str">
        <f ca="1">IFERROR(__xludf.DUMMYFUNCTION("""COMPUTED_VALUE"""),"S")</f>
        <v>S</v>
      </c>
      <c r="G1463" s="118">
        <f ca="1">IFERROR(__xludf.DUMMYFUNCTION("""COMPUTED_VALUE"""),3)</f>
        <v>3</v>
      </c>
      <c r="H1463" s="118" t="str">
        <f ca="1">IFERROR(__xludf.DUMMYFUNCTION("""COMPUTED_VALUE"""),"PAR")</f>
        <v>PAR</v>
      </c>
      <c r="I1463" s="118">
        <f ca="1">IFERROR(__xludf.DUMMYFUNCTION("""COMPUTED_VALUE"""),11)</f>
        <v>11</v>
      </c>
      <c r="J1463" s="118">
        <f ca="1">IFERROR(__xludf.DUMMYFUNCTION("""COMPUTED_VALUE"""),5)</f>
        <v>5</v>
      </c>
      <c r="K1463" s="120">
        <f ca="1">IFERROR(__xludf.DUMMYFUNCTION("""COMPUTED_VALUE"""),196.5)</f>
        <v>196.5</v>
      </c>
      <c r="L1463" s="121"/>
      <c r="M1463" s="120">
        <f ca="1">IFERROR(__xludf.DUMMYFUNCTION("""COMPUTED_VALUE"""),181.25)</f>
        <v>181.25</v>
      </c>
      <c r="N1463" s="121"/>
      <c r="O1463" s="120">
        <f ca="1">IFERROR(__xludf.DUMMYFUNCTION("""COMPUTED_VALUE"""),196.5)</f>
        <v>196.5</v>
      </c>
      <c r="P1463" s="122"/>
      <c r="Q1463" s="123"/>
      <c r="R1463" s="123"/>
      <c r="S1463" s="123"/>
      <c r="T1463" s="123"/>
    </row>
    <row r="1464" spans="1:20" ht="13.8">
      <c r="A1464" s="118" t="str">
        <f ca="1">IFERROR(__xludf.DUMMYFUNCTION("""COMPUTED_VALUE"""),"PAR")</f>
        <v>PAR</v>
      </c>
      <c r="B1464" s="119" t="str">
        <f ca="1">IFERROR(__xludf.DUMMYFUNCTION("""COMPUTED_VALUE"""),"Jacob Couchman")</f>
        <v>Jacob Couchman</v>
      </c>
      <c r="C1464" s="118">
        <f ca="1">IFERROR(__xludf.DUMMYFUNCTION("""COMPUTED_VALUE"""),15)</f>
        <v>15</v>
      </c>
      <c r="D1464" s="118" t="str">
        <f ca="1">IFERROR(__xludf.DUMMYFUNCTION("""COMPUTED_VALUE"""),"B")</f>
        <v>B</v>
      </c>
      <c r="E1464" s="118" t="str">
        <f ca="1">IFERROR(__xludf.DUMMYFUNCTION("""COMPUTED_VALUE"""),"S")</f>
        <v>S</v>
      </c>
      <c r="F1464" s="118" t="str">
        <f ca="1">IFERROR(__xludf.DUMMYFUNCTION("""COMPUTED_VALUE"""),"S")</f>
        <v>S</v>
      </c>
      <c r="G1464" s="118">
        <f ca="1">IFERROR(__xludf.DUMMYFUNCTION("""COMPUTED_VALUE"""),3)</f>
        <v>3</v>
      </c>
      <c r="H1464" s="118" t="str">
        <f ca="1">IFERROR(__xludf.DUMMYFUNCTION("""COMPUTED_VALUE"""),"PAR")</f>
        <v>PAR</v>
      </c>
      <c r="I1464" s="118">
        <f ca="1">IFERROR(__xludf.DUMMYFUNCTION("""COMPUTED_VALUE"""),11)</f>
        <v>11</v>
      </c>
      <c r="J1464" s="118">
        <f ca="1">IFERROR(__xludf.DUMMYFUNCTION("""COMPUTED_VALUE"""),5)</f>
        <v>5</v>
      </c>
      <c r="K1464" s="120">
        <f ca="1">IFERROR(__xludf.DUMMYFUNCTION("""COMPUTED_VALUE"""),169.7)</f>
        <v>169.7</v>
      </c>
      <c r="L1464" s="121"/>
      <c r="M1464" s="120">
        <f ca="1">IFERROR(__xludf.DUMMYFUNCTION("""COMPUTED_VALUE"""),169.7)</f>
        <v>169.7</v>
      </c>
      <c r="N1464" s="121"/>
      <c r="O1464" s="120">
        <f ca="1">IFERROR(__xludf.DUMMYFUNCTION("""COMPUTED_VALUE"""),158.9)</f>
        <v>158.9</v>
      </c>
      <c r="P1464" s="122"/>
      <c r="Q1464" s="123"/>
      <c r="R1464" s="123"/>
      <c r="S1464" s="123"/>
      <c r="T1464" s="123"/>
    </row>
    <row r="1465" spans="1:20" ht="13.8">
      <c r="A1465" s="118" t="str">
        <f ca="1">IFERROR(__xludf.DUMMYFUNCTION("""COMPUTED_VALUE"""),"PC")</f>
        <v>PC</v>
      </c>
      <c r="B1465" s="119" t="str">
        <f ca="1">IFERROR(__xludf.DUMMYFUNCTION("""COMPUTED_VALUE"""),"Chloe Kennedy")</f>
        <v>Chloe Kennedy</v>
      </c>
      <c r="C1465" s="118">
        <f ca="1">IFERROR(__xludf.DUMMYFUNCTION("""COMPUTED_VALUE"""),10)</f>
        <v>10</v>
      </c>
      <c r="D1465" s="118" t="str">
        <f ca="1">IFERROR(__xludf.DUMMYFUNCTION("""COMPUTED_VALUE"""),"G")</f>
        <v>G</v>
      </c>
      <c r="E1465" s="118" t="str">
        <f ca="1">IFERROR(__xludf.DUMMYFUNCTION("""COMPUTED_VALUE"""),"F")</f>
        <v>F</v>
      </c>
      <c r="F1465" s="118" t="str">
        <f ca="1">IFERROR(__xludf.DUMMYFUNCTION("""COMPUTED_VALUE"""),"J")</f>
        <v>J</v>
      </c>
      <c r="G1465" s="118">
        <f ca="1">IFERROR(__xludf.DUMMYFUNCTION("""COMPUTED_VALUE"""),8)</f>
        <v>8</v>
      </c>
      <c r="H1465" s="118" t="str">
        <f ca="1">IFERROR(__xludf.DUMMYFUNCTION("""COMPUTED_VALUE"""),"PC")</f>
        <v>PC</v>
      </c>
      <c r="I1465" s="118">
        <f ca="1">IFERROR(__xludf.DUMMYFUNCTION("""COMPUTED_VALUE"""),4)</f>
        <v>4</v>
      </c>
      <c r="J1465" s="118">
        <f ca="1">IFERROR(__xludf.DUMMYFUNCTION("""COMPUTED_VALUE"""),0)</f>
        <v>0</v>
      </c>
      <c r="K1465" s="120"/>
      <c r="L1465" s="121"/>
      <c r="M1465" s="120"/>
      <c r="N1465" s="121"/>
      <c r="O1465" s="120"/>
      <c r="P1465" s="122"/>
      <c r="Q1465" s="123"/>
      <c r="R1465" s="123"/>
      <c r="S1465" s="123"/>
      <c r="T1465" s="123"/>
    </row>
    <row r="1466" spans="1:20" ht="13.8">
      <c r="A1466" s="118" t="str">
        <f ca="1">IFERROR(__xludf.DUMMYFUNCTION("""COMPUTED_VALUE"""),"PC")</f>
        <v>PC</v>
      </c>
      <c r="B1466" s="119" t="str">
        <f ca="1">IFERROR(__xludf.DUMMYFUNCTION("""COMPUTED_VALUE"""),"Daphne Holler")</f>
        <v>Daphne Holler</v>
      </c>
      <c r="C1466" s="118">
        <f ca="1">IFERROR(__xludf.DUMMYFUNCTION("""COMPUTED_VALUE"""),10)</f>
        <v>10</v>
      </c>
      <c r="D1466" s="118" t="str">
        <f ca="1">IFERROR(__xludf.DUMMYFUNCTION("""COMPUTED_VALUE"""),"G")</f>
        <v>G</v>
      </c>
      <c r="E1466" s="118" t="str">
        <f ca="1">IFERROR(__xludf.DUMMYFUNCTION("""COMPUTED_VALUE"""),"F")</f>
        <v>F</v>
      </c>
      <c r="F1466" s="118" t="str">
        <f ca="1">IFERROR(__xludf.DUMMYFUNCTION("""COMPUTED_VALUE"""),"J")</f>
        <v>J</v>
      </c>
      <c r="G1466" s="118">
        <f ca="1">IFERROR(__xludf.DUMMYFUNCTION("""COMPUTED_VALUE"""),8)</f>
        <v>8</v>
      </c>
      <c r="H1466" s="118" t="str">
        <f ca="1">IFERROR(__xludf.DUMMYFUNCTION("""COMPUTED_VALUE"""),"PC")</f>
        <v>PC</v>
      </c>
      <c r="I1466" s="118">
        <f ca="1">IFERROR(__xludf.DUMMYFUNCTION("""COMPUTED_VALUE"""),4)</f>
        <v>4</v>
      </c>
      <c r="J1466" s="118">
        <f ca="1">IFERROR(__xludf.DUMMYFUNCTION("""COMPUTED_VALUE"""),2)</f>
        <v>2</v>
      </c>
      <c r="K1466" s="120">
        <f ca="1">IFERROR(__xludf.DUMMYFUNCTION("""COMPUTED_VALUE"""),59.65)</f>
        <v>59.65</v>
      </c>
      <c r="L1466" s="121"/>
      <c r="M1466" s="120">
        <f ca="1">IFERROR(__xludf.DUMMYFUNCTION("""COMPUTED_VALUE"""),59.65)</f>
        <v>59.65</v>
      </c>
      <c r="N1466" s="121"/>
      <c r="O1466" s="120">
        <f ca="1">IFERROR(__xludf.DUMMYFUNCTION("""COMPUTED_VALUE"""),50.45)</f>
        <v>50.45</v>
      </c>
      <c r="P1466" s="122"/>
      <c r="Q1466" s="123"/>
      <c r="R1466" s="123"/>
      <c r="S1466" s="123"/>
      <c r="T1466" s="123"/>
    </row>
    <row r="1467" spans="1:20" ht="13.8">
      <c r="A1467" s="118" t="str">
        <f ca="1">IFERROR(__xludf.DUMMYFUNCTION("""COMPUTED_VALUE"""),"PC")</f>
        <v>PC</v>
      </c>
      <c r="B1467" s="119" t="str">
        <f ca="1">IFERROR(__xludf.DUMMYFUNCTION("""COMPUTED_VALUE"""),"Erin Edwards")</f>
        <v>Erin Edwards</v>
      </c>
      <c r="C1467" s="118">
        <f ca="1">IFERROR(__xludf.DUMMYFUNCTION("""COMPUTED_VALUE"""),10)</f>
        <v>10</v>
      </c>
      <c r="D1467" s="118" t="str">
        <f ca="1">IFERROR(__xludf.DUMMYFUNCTION("""COMPUTED_VALUE"""),"G")</f>
        <v>G</v>
      </c>
      <c r="E1467" s="118" t="str">
        <f ca="1">IFERROR(__xludf.DUMMYFUNCTION("""COMPUTED_VALUE"""),"F")</f>
        <v>F</v>
      </c>
      <c r="F1467" s="118" t="str">
        <f ca="1">IFERROR(__xludf.DUMMYFUNCTION("""COMPUTED_VALUE"""),"J")</f>
        <v>J</v>
      </c>
      <c r="G1467" s="118">
        <f ca="1">IFERROR(__xludf.DUMMYFUNCTION("""COMPUTED_VALUE"""),8)</f>
        <v>8</v>
      </c>
      <c r="H1467" s="118" t="str">
        <f ca="1">IFERROR(__xludf.DUMMYFUNCTION("""COMPUTED_VALUE"""),"PC")</f>
        <v>PC</v>
      </c>
      <c r="I1467" s="118">
        <f ca="1">IFERROR(__xludf.DUMMYFUNCTION("""COMPUTED_VALUE"""),4)</f>
        <v>4</v>
      </c>
      <c r="J1467" s="118">
        <f ca="1">IFERROR(__xludf.DUMMYFUNCTION("""COMPUTED_VALUE"""),5)</f>
        <v>5</v>
      </c>
      <c r="K1467" s="120">
        <f ca="1">IFERROR(__xludf.DUMMYFUNCTION("""COMPUTED_VALUE"""),70.55)</f>
        <v>70.55</v>
      </c>
      <c r="L1467" s="121"/>
      <c r="M1467" s="120">
        <f ca="1">IFERROR(__xludf.DUMMYFUNCTION("""COMPUTED_VALUE"""),70.55)</f>
        <v>70.55</v>
      </c>
      <c r="N1467" s="121"/>
      <c r="O1467" s="120">
        <f ca="1">IFERROR(__xludf.DUMMYFUNCTION("""COMPUTED_VALUE"""),59.65)</f>
        <v>59.65</v>
      </c>
      <c r="P1467" s="122"/>
      <c r="Q1467" s="123"/>
      <c r="R1467" s="123"/>
      <c r="S1467" s="123"/>
      <c r="T1467" s="123"/>
    </row>
    <row r="1468" spans="1:20" ht="13.8">
      <c r="A1468" s="118" t="str">
        <f ca="1">IFERROR(__xludf.DUMMYFUNCTION("""COMPUTED_VALUE"""),"PC")</f>
        <v>PC</v>
      </c>
      <c r="B1468" s="119" t="str">
        <f ca="1">IFERROR(__xludf.DUMMYFUNCTION("""COMPUTED_VALUE"""),"Liani Kopek")</f>
        <v>Liani Kopek</v>
      </c>
      <c r="C1468" s="118">
        <f ca="1">IFERROR(__xludf.DUMMYFUNCTION("""COMPUTED_VALUE"""),8)</f>
        <v>8</v>
      </c>
      <c r="D1468" s="118" t="str">
        <f ca="1">IFERROR(__xludf.DUMMYFUNCTION("""COMPUTED_VALUE"""),"G")</f>
        <v>G</v>
      </c>
      <c r="E1468" s="118" t="str">
        <f ca="1">IFERROR(__xludf.DUMMYFUNCTION("""COMPUTED_VALUE"""),"F")</f>
        <v>F</v>
      </c>
      <c r="F1468" s="118" t="str">
        <f ca="1">IFERROR(__xludf.DUMMYFUNCTION("""COMPUTED_VALUE"""),"J")</f>
        <v>J</v>
      </c>
      <c r="G1468" s="118">
        <f ca="1">IFERROR(__xludf.DUMMYFUNCTION("""COMPUTED_VALUE"""),8)</f>
        <v>8</v>
      </c>
      <c r="H1468" s="118" t="str">
        <f ca="1">IFERROR(__xludf.DUMMYFUNCTION("""COMPUTED_VALUE"""),"PC")</f>
        <v>PC</v>
      </c>
      <c r="I1468" s="118">
        <f ca="1">IFERROR(__xludf.DUMMYFUNCTION("""COMPUTED_VALUE"""),4)</f>
        <v>4</v>
      </c>
      <c r="J1468" s="118">
        <f ca="1">IFERROR(__xludf.DUMMYFUNCTION("""COMPUTED_VALUE"""),4)</f>
        <v>4</v>
      </c>
      <c r="K1468" s="120">
        <f ca="1">IFERROR(__xludf.DUMMYFUNCTION("""COMPUTED_VALUE"""),56.3)</f>
        <v>56.3</v>
      </c>
      <c r="L1468" s="121"/>
      <c r="M1468" s="120">
        <f ca="1">IFERROR(__xludf.DUMMYFUNCTION("""COMPUTED_VALUE"""),55.5)</f>
        <v>55.5</v>
      </c>
      <c r="N1468" s="121"/>
      <c r="O1468" s="120">
        <f ca="1">IFERROR(__xludf.DUMMYFUNCTION("""COMPUTED_VALUE"""),56.3)</f>
        <v>56.3</v>
      </c>
      <c r="P1468" s="122"/>
      <c r="Q1468" s="123"/>
      <c r="R1468" s="123"/>
      <c r="S1468" s="123"/>
      <c r="T1468" s="123"/>
    </row>
    <row r="1469" spans="1:20" ht="13.8">
      <c r="A1469" s="118" t="str">
        <f ca="1">IFERROR(__xludf.DUMMYFUNCTION("""COMPUTED_VALUE"""),"PC")</f>
        <v>PC</v>
      </c>
      <c r="B1469" s="119" t="str">
        <f ca="1">IFERROR(__xludf.DUMMYFUNCTION("""COMPUTED_VALUE"""),"Nora Kalfus")</f>
        <v>Nora Kalfus</v>
      </c>
      <c r="C1469" s="118">
        <f ca="1">IFERROR(__xludf.DUMMYFUNCTION("""COMPUTED_VALUE"""),7)</f>
        <v>7</v>
      </c>
      <c r="D1469" s="118" t="str">
        <f ca="1">IFERROR(__xludf.DUMMYFUNCTION("""COMPUTED_VALUE"""),"G")</f>
        <v>G</v>
      </c>
      <c r="E1469" s="118" t="str">
        <f ca="1">IFERROR(__xludf.DUMMYFUNCTION("""COMPUTED_VALUE"""),"F")</f>
        <v>F</v>
      </c>
      <c r="F1469" s="118" t="str">
        <f ca="1">IFERROR(__xludf.DUMMYFUNCTION("""COMPUTED_VALUE"""),"J")</f>
        <v>J</v>
      </c>
      <c r="G1469" s="118">
        <f ca="1">IFERROR(__xludf.DUMMYFUNCTION("""COMPUTED_VALUE"""),8)</f>
        <v>8</v>
      </c>
      <c r="H1469" s="118" t="str">
        <f ca="1">IFERROR(__xludf.DUMMYFUNCTION("""COMPUTED_VALUE"""),"PC")</f>
        <v>PC</v>
      </c>
      <c r="I1469" s="118">
        <f ca="1">IFERROR(__xludf.DUMMYFUNCTION("""COMPUTED_VALUE"""),4)</f>
        <v>4</v>
      </c>
      <c r="J1469" s="118">
        <f ca="1">IFERROR(__xludf.DUMMYFUNCTION("""COMPUTED_VALUE"""),2)</f>
        <v>2</v>
      </c>
      <c r="K1469" s="120">
        <f ca="1">IFERROR(__xludf.DUMMYFUNCTION("""COMPUTED_VALUE"""),48)</f>
        <v>48</v>
      </c>
      <c r="L1469" s="121"/>
      <c r="M1469" s="120"/>
      <c r="N1469" s="121"/>
      <c r="O1469" s="120"/>
      <c r="P1469" s="122"/>
      <c r="Q1469" s="123"/>
      <c r="R1469" s="123"/>
      <c r="S1469" s="123"/>
      <c r="T1469" s="123"/>
    </row>
    <row r="1470" spans="1:20" ht="13.8">
      <c r="A1470" s="118" t="str">
        <f ca="1">IFERROR(__xludf.DUMMYFUNCTION("""COMPUTED_VALUE"""),"PC")</f>
        <v>PC</v>
      </c>
      <c r="B1470" s="119" t="str">
        <f ca="1">IFERROR(__xludf.DUMMYFUNCTION("""COMPUTED_VALUE"""),"Pranitha Reddy Vempalli")</f>
        <v>Pranitha Reddy Vempalli</v>
      </c>
      <c r="C1470" s="118">
        <f ca="1">IFERROR(__xludf.DUMMYFUNCTION("""COMPUTED_VALUE"""),6)</f>
        <v>6</v>
      </c>
      <c r="D1470" s="118" t="str">
        <f ca="1">IFERROR(__xludf.DUMMYFUNCTION("""COMPUTED_VALUE"""),"G")</f>
        <v>G</v>
      </c>
      <c r="E1470" s="118" t="str">
        <f ca="1">IFERROR(__xludf.DUMMYFUNCTION("""COMPUTED_VALUE"""),"F")</f>
        <v>F</v>
      </c>
      <c r="F1470" s="118" t="str">
        <f ca="1">IFERROR(__xludf.DUMMYFUNCTION("""COMPUTED_VALUE"""),"J")</f>
        <v>J</v>
      </c>
      <c r="G1470" s="118">
        <f ca="1">IFERROR(__xludf.DUMMYFUNCTION("""COMPUTED_VALUE"""),8)</f>
        <v>8</v>
      </c>
      <c r="H1470" s="118" t="str">
        <f ca="1">IFERROR(__xludf.DUMMYFUNCTION("""COMPUTED_VALUE"""),"PC")</f>
        <v>PC</v>
      </c>
      <c r="I1470" s="118">
        <f ca="1">IFERROR(__xludf.DUMMYFUNCTION("""COMPUTED_VALUE"""),4)</f>
        <v>4</v>
      </c>
      <c r="J1470" s="118">
        <f ca="1">IFERROR(__xludf.DUMMYFUNCTION("""COMPUTED_VALUE"""),2)</f>
        <v>2</v>
      </c>
      <c r="K1470" s="120">
        <f ca="1">IFERROR(__xludf.DUMMYFUNCTION("""COMPUTED_VALUE"""),11)</f>
        <v>11</v>
      </c>
      <c r="L1470" s="121"/>
      <c r="M1470" s="120"/>
      <c r="N1470" s="121"/>
      <c r="O1470" s="120"/>
      <c r="P1470" s="122"/>
      <c r="Q1470" s="123"/>
      <c r="R1470" s="123"/>
      <c r="S1470" s="123"/>
      <c r="T1470" s="123"/>
    </row>
    <row r="1471" spans="1:20" ht="13.8">
      <c r="A1471" s="118" t="str">
        <f ca="1">IFERROR(__xludf.DUMMYFUNCTION("""COMPUTED_VALUE"""),"PC")</f>
        <v>PC</v>
      </c>
      <c r="B1471" s="119" t="str">
        <f ca="1">IFERROR(__xludf.DUMMYFUNCTION("""COMPUTED_VALUE"""),"Ryan Frazitta")</f>
        <v>Ryan Frazitta</v>
      </c>
      <c r="C1471" s="118">
        <f ca="1">IFERROR(__xludf.DUMMYFUNCTION("""COMPUTED_VALUE"""),9)</f>
        <v>9</v>
      </c>
      <c r="D1471" s="118" t="str">
        <f ca="1">IFERROR(__xludf.DUMMYFUNCTION("""COMPUTED_VALUE"""),"G")</f>
        <v>G</v>
      </c>
      <c r="E1471" s="118" t="str">
        <f ca="1">IFERROR(__xludf.DUMMYFUNCTION("""COMPUTED_VALUE"""),"F")</f>
        <v>F</v>
      </c>
      <c r="F1471" s="118" t="str">
        <f ca="1">IFERROR(__xludf.DUMMYFUNCTION("""COMPUTED_VALUE"""),"J")</f>
        <v>J</v>
      </c>
      <c r="G1471" s="118">
        <f ca="1">IFERROR(__xludf.DUMMYFUNCTION("""COMPUTED_VALUE"""),8)</f>
        <v>8</v>
      </c>
      <c r="H1471" s="118" t="str">
        <f ca="1">IFERROR(__xludf.DUMMYFUNCTION("""COMPUTED_VALUE"""),"PC")</f>
        <v>PC</v>
      </c>
      <c r="I1471" s="118">
        <f ca="1">IFERROR(__xludf.DUMMYFUNCTION("""COMPUTED_VALUE"""),4)</f>
        <v>4</v>
      </c>
      <c r="J1471" s="118">
        <f ca="1">IFERROR(__xludf.DUMMYFUNCTION("""COMPUTED_VALUE"""),2)</f>
        <v>2</v>
      </c>
      <c r="K1471" s="120">
        <f ca="1">IFERROR(__xludf.DUMMYFUNCTION("""COMPUTED_VALUE"""),37.1)</f>
        <v>37.1</v>
      </c>
      <c r="L1471" s="121"/>
      <c r="M1471" s="120"/>
      <c r="N1471" s="121"/>
      <c r="O1471" s="120"/>
      <c r="P1471" s="122"/>
      <c r="Q1471" s="123"/>
      <c r="R1471" s="123"/>
      <c r="S1471" s="123"/>
      <c r="T1471" s="123"/>
    </row>
    <row r="1472" spans="1:20" ht="13.8">
      <c r="A1472" s="118" t="str">
        <f ca="1">IFERROR(__xludf.DUMMYFUNCTION("""COMPUTED_VALUE"""),"PC")</f>
        <v>PC</v>
      </c>
      <c r="B1472" s="119" t="str">
        <f ca="1">IFERROR(__xludf.DUMMYFUNCTION("""COMPUTED_VALUE"""),"Sia Ferssizidis")</f>
        <v>Sia Ferssizidis</v>
      </c>
      <c r="C1472" s="118">
        <f ca="1">IFERROR(__xludf.DUMMYFUNCTION("""COMPUTED_VALUE"""),8)</f>
        <v>8</v>
      </c>
      <c r="D1472" s="118" t="str">
        <f ca="1">IFERROR(__xludf.DUMMYFUNCTION("""COMPUTED_VALUE"""),"G")</f>
        <v>G</v>
      </c>
      <c r="E1472" s="118" t="str">
        <f ca="1">IFERROR(__xludf.DUMMYFUNCTION("""COMPUTED_VALUE"""),"F")</f>
        <v>F</v>
      </c>
      <c r="F1472" s="118" t="str">
        <f ca="1">IFERROR(__xludf.DUMMYFUNCTION("""COMPUTED_VALUE"""),"J")</f>
        <v>J</v>
      </c>
      <c r="G1472" s="118">
        <f ca="1">IFERROR(__xludf.DUMMYFUNCTION("""COMPUTED_VALUE"""),8)</f>
        <v>8</v>
      </c>
      <c r="H1472" s="118" t="str">
        <f ca="1">IFERROR(__xludf.DUMMYFUNCTION("""COMPUTED_VALUE"""),"PC")</f>
        <v>PC</v>
      </c>
      <c r="I1472" s="118">
        <f ca="1">IFERROR(__xludf.DUMMYFUNCTION("""COMPUTED_VALUE"""),4)</f>
        <v>4</v>
      </c>
      <c r="J1472" s="118">
        <f ca="1">IFERROR(__xludf.DUMMYFUNCTION("""COMPUTED_VALUE"""),0)</f>
        <v>0</v>
      </c>
      <c r="K1472" s="120"/>
      <c r="L1472" s="121"/>
      <c r="M1472" s="120"/>
      <c r="N1472" s="121"/>
      <c r="O1472" s="120"/>
      <c r="P1472" s="122"/>
      <c r="Q1472" s="123"/>
      <c r="R1472" s="123"/>
      <c r="S1472" s="123"/>
      <c r="T1472" s="123"/>
    </row>
    <row r="1473" spans="1:20" ht="13.8">
      <c r="A1473" s="118" t="str">
        <f ca="1">IFERROR(__xludf.DUMMYFUNCTION("""COMPUTED_VALUE"""),"PC")</f>
        <v>PC</v>
      </c>
      <c r="B1473" s="119" t="str">
        <f ca="1">IFERROR(__xludf.DUMMYFUNCTION("""COMPUTED_VALUE"""),"Alex Ferssizidis")</f>
        <v>Alex Ferssizidis</v>
      </c>
      <c r="C1473" s="118">
        <f ca="1">IFERROR(__xludf.DUMMYFUNCTION("""COMPUTED_VALUE"""),6)</f>
        <v>6</v>
      </c>
      <c r="D1473" s="118" t="str">
        <f ca="1">IFERROR(__xludf.DUMMYFUNCTION("""COMPUTED_VALUE"""),"B")</f>
        <v>B</v>
      </c>
      <c r="E1473" s="118" t="str">
        <f ca="1">IFERROR(__xludf.DUMMYFUNCTION("""COMPUTED_VALUE"""),"F")</f>
        <v>F</v>
      </c>
      <c r="F1473" s="118" t="str">
        <f ca="1">IFERROR(__xludf.DUMMYFUNCTION("""COMPUTED_VALUE"""),"J")</f>
        <v>J</v>
      </c>
      <c r="G1473" s="118">
        <f ca="1">IFERROR(__xludf.DUMMYFUNCTION("""COMPUTED_VALUE"""),8)</f>
        <v>8</v>
      </c>
      <c r="H1473" s="118" t="str">
        <f ca="1">IFERROR(__xludf.DUMMYFUNCTION("""COMPUTED_VALUE"""),"PC")</f>
        <v>PC</v>
      </c>
      <c r="I1473" s="118">
        <f ca="1">IFERROR(__xludf.DUMMYFUNCTION("""COMPUTED_VALUE"""),5)</f>
        <v>5</v>
      </c>
      <c r="J1473" s="118">
        <f ca="1">IFERROR(__xludf.DUMMYFUNCTION("""COMPUTED_VALUE"""),1)</f>
        <v>1</v>
      </c>
      <c r="K1473" s="120">
        <f ca="1">IFERROR(__xludf.DUMMYFUNCTION("""COMPUTED_VALUE"""),12.25)</f>
        <v>12.25</v>
      </c>
      <c r="L1473" s="121"/>
      <c r="M1473" s="120">
        <f ca="1">IFERROR(__xludf.DUMMYFUNCTION("""COMPUTED_VALUE"""),12.25)</f>
        <v>12.25</v>
      </c>
      <c r="N1473" s="121"/>
      <c r="O1473" s="120"/>
      <c r="P1473" s="122"/>
      <c r="Q1473" s="123"/>
      <c r="R1473" s="123"/>
      <c r="S1473" s="123"/>
      <c r="T1473" s="123"/>
    </row>
    <row r="1474" spans="1:20" ht="13.8">
      <c r="A1474" s="118" t="str">
        <f ca="1">IFERROR(__xludf.DUMMYFUNCTION("""COMPUTED_VALUE"""),"PC")</f>
        <v>PC</v>
      </c>
      <c r="B1474" s="119" t="str">
        <f ca="1">IFERROR(__xludf.DUMMYFUNCTION("""COMPUTED_VALUE"""),"Bobby Ferssizidis")</f>
        <v>Bobby Ferssizidis</v>
      </c>
      <c r="C1474" s="118">
        <f ca="1">IFERROR(__xludf.DUMMYFUNCTION("""COMPUTED_VALUE"""),10)</f>
        <v>10</v>
      </c>
      <c r="D1474" s="118" t="str">
        <f ca="1">IFERROR(__xludf.DUMMYFUNCTION("""COMPUTED_VALUE"""),"B")</f>
        <v>B</v>
      </c>
      <c r="E1474" s="118" t="str">
        <f ca="1">IFERROR(__xludf.DUMMYFUNCTION("""COMPUTED_VALUE"""),"F")</f>
        <v>F</v>
      </c>
      <c r="F1474" s="118" t="str">
        <f ca="1">IFERROR(__xludf.DUMMYFUNCTION("""COMPUTED_VALUE"""),"J")</f>
        <v>J</v>
      </c>
      <c r="G1474" s="118">
        <f ca="1">IFERROR(__xludf.DUMMYFUNCTION("""COMPUTED_VALUE"""),8)</f>
        <v>8</v>
      </c>
      <c r="H1474" s="118" t="str">
        <f ca="1">IFERROR(__xludf.DUMMYFUNCTION("""COMPUTED_VALUE"""),"PC")</f>
        <v>PC</v>
      </c>
      <c r="I1474" s="118">
        <f ca="1">IFERROR(__xludf.DUMMYFUNCTION("""COMPUTED_VALUE"""),5)</f>
        <v>5</v>
      </c>
      <c r="J1474" s="118">
        <f ca="1">IFERROR(__xludf.DUMMYFUNCTION("""COMPUTED_VALUE"""),3)</f>
        <v>3</v>
      </c>
      <c r="K1474" s="120">
        <f ca="1">IFERROR(__xludf.DUMMYFUNCTION("""COMPUTED_VALUE"""),50.8)</f>
        <v>50.8</v>
      </c>
      <c r="L1474" s="121"/>
      <c r="M1474" s="120">
        <f ca="1">IFERROR(__xludf.DUMMYFUNCTION("""COMPUTED_VALUE"""),50.8)</f>
        <v>50.8</v>
      </c>
      <c r="N1474" s="121"/>
      <c r="O1474" s="120">
        <f ca="1">IFERROR(__xludf.DUMMYFUNCTION("""COMPUTED_VALUE"""),34.35)</f>
        <v>34.35</v>
      </c>
      <c r="P1474" s="122"/>
      <c r="Q1474" s="123"/>
      <c r="R1474" s="123"/>
      <c r="S1474" s="123"/>
      <c r="T1474" s="123"/>
    </row>
    <row r="1475" spans="1:20" ht="13.8">
      <c r="A1475" s="118" t="str">
        <f ca="1">IFERROR(__xludf.DUMMYFUNCTION("""COMPUTED_VALUE"""),"PC")</f>
        <v>PC</v>
      </c>
      <c r="B1475" s="119" t="str">
        <f ca="1">IFERROR(__xludf.DUMMYFUNCTION("""COMPUTED_VALUE"""),"Charith Reddy Vempalli")</f>
        <v>Charith Reddy Vempalli</v>
      </c>
      <c r="C1475" s="118">
        <f ca="1">IFERROR(__xludf.DUMMYFUNCTION("""COMPUTED_VALUE"""),9)</f>
        <v>9</v>
      </c>
      <c r="D1475" s="118" t="str">
        <f ca="1">IFERROR(__xludf.DUMMYFUNCTION("""COMPUTED_VALUE"""),"B")</f>
        <v>B</v>
      </c>
      <c r="E1475" s="118" t="str">
        <f ca="1">IFERROR(__xludf.DUMMYFUNCTION("""COMPUTED_VALUE"""),"F")</f>
        <v>F</v>
      </c>
      <c r="F1475" s="118" t="str">
        <f ca="1">IFERROR(__xludf.DUMMYFUNCTION("""COMPUTED_VALUE"""),"J")</f>
        <v>J</v>
      </c>
      <c r="G1475" s="118">
        <f ca="1">IFERROR(__xludf.DUMMYFUNCTION("""COMPUTED_VALUE"""),8)</f>
        <v>8</v>
      </c>
      <c r="H1475" s="118" t="str">
        <f ca="1">IFERROR(__xludf.DUMMYFUNCTION("""COMPUTED_VALUE"""),"PC")</f>
        <v>PC</v>
      </c>
      <c r="I1475" s="118">
        <f ca="1">IFERROR(__xludf.DUMMYFUNCTION("""COMPUTED_VALUE"""),5)</f>
        <v>5</v>
      </c>
      <c r="J1475" s="118">
        <f ca="1">IFERROR(__xludf.DUMMYFUNCTION("""COMPUTED_VALUE"""),5)</f>
        <v>5</v>
      </c>
      <c r="K1475" s="120">
        <f ca="1">IFERROR(__xludf.DUMMYFUNCTION("""COMPUTED_VALUE"""),52.55)</f>
        <v>52.55</v>
      </c>
      <c r="L1475" s="121"/>
      <c r="M1475" s="120">
        <f ca="1">IFERROR(__xludf.DUMMYFUNCTION("""COMPUTED_VALUE"""),41.95)</f>
        <v>41.95</v>
      </c>
      <c r="N1475" s="121"/>
      <c r="O1475" s="120">
        <f ca="1">IFERROR(__xludf.DUMMYFUNCTION("""COMPUTED_VALUE"""),43.5)</f>
        <v>43.5</v>
      </c>
      <c r="P1475" s="122"/>
      <c r="Q1475" s="123"/>
      <c r="R1475" s="123"/>
      <c r="S1475" s="123"/>
      <c r="T1475" s="123"/>
    </row>
    <row r="1476" spans="1:20" ht="13.8">
      <c r="A1476" s="118" t="str">
        <f ca="1">IFERROR(__xludf.DUMMYFUNCTION("""COMPUTED_VALUE"""),"PC")</f>
        <v>PC</v>
      </c>
      <c r="B1476" s="119" t="str">
        <f ca="1">IFERROR(__xludf.DUMMYFUNCTION("""COMPUTED_VALUE"""),"Joseph Shlesinger")</f>
        <v>Joseph Shlesinger</v>
      </c>
      <c r="C1476" s="118">
        <f ca="1">IFERROR(__xludf.DUMMYFUNCTION("""COMPUTED_VALUE"""),9)</f>
        <v>9</v>
      </c>
      <c r="D1476" s="118" t="str">
        <f ca="1">IFERROR(__xludf.DUMMYFUNCTION("""COMPUTED_VALUE"""),"B")</f>
        <v>B</v>
      </c>
      <c r="E1476" s="118" t="str">
        <f ca="1">IFERROR(__xludf.DUMMYFUNCTION("""COMPUTED_VALUE"""),"F")</f>
        <v>F</v>
      </c>
      <c r="F1476" s="118" t="str">
        <f ca="1">IFERROR(__xludf.DUMMYFUNCTION("""COMPUTED_VALUE"""),"J")</f>
        <v>J</v>
      </c>
      <c r="G1476" s="118">
        <f ca="1">IFERROR(__xludf.DUMMYFUNCTION("""COMPUTED_VALUE"""),8)</f>
        <v>8</v>
      </c>
      <c r="H1476" s="118" t="str">
        <f ca="1">IFERROR(__xludf.DUMMYFUNCTION("""COMPUTED_VALUE"""),"PC")</f>
        <v>PC</v>
      </c>
      <c r="I1476" s="118">
        <f ca="1">IFERROR(__xludf.DUMMYFUNCTION("""COMPUTED_VALUE"""),5)</f>
        <v>5</v>
      </c>
      <c r="J1476" s="118">
        <f ca="1">IFERROR(__xludf.DUMMYFUNCTION("""COMPUTED_VALUE"""),0)</f>
        <v>0</v>
      </c>
      <c r="K1476" s="120"/>
      <c r="L1476" s="121"/>
      <c r="M1476" s="120"/>
      <c r="N1476" s="121"/>
      <c r="O1476" s="120"/>
      <c r="P1476" s="122"/>
      <c r="Q1476" s="123"/>
      <c r="R1476" s="123"/>
      <c r="S1476" s="123"/>
      <c r="T1476" s="123"/>
    </row>
    <row r="1477" spans="1:20" ht="13.8">
      <c r="A1477" s="118" t="str">
        <f ca="1">IFERROR(__xludf.DUMMYFUNCTION("""COMPUTED_VALUE"""),"PC")</f>
        <v>PC</v>
      </c>
      <c r="B1477" s="119" t="str">
        <f ca="1">IFERROR(__xludf.DUMMYFUNCTION("""COMPUTED_VALUE"""),"Ryan Kalfus")</f>
        <v>Ryan Kalfus</v>
      </c>
      <c r="C1477" s="118">
        <f ca="1">IFERROR(__xludf.DUMMYFUNCTION("""COMPUTED_VALUE"""),10)</f>
        <v>10</v>
      </c>
      <c r="D1477" s="118" t="str">
        <f ca="1">IFERROR(__xludf.DUMMYFUNCTION("""COMPUTED_VALUE"""),"B")</f>
        <v>B</v>
      </c>
      <c r="E1477" s="118" t="str">
        <f ca="1">IFERROR(__xludf.DUMMYFUNCTION("""COMPUTED_VALUE"""),"F")</f>
        <v>F</v>
      </c>
      <c r="F1477" s="118" t="str">
        <f ca="1">IFERROR(__xludf.DUMMYFUNCTION("""COMPUTED_VALUE"""),"J")</f>
        <v>J</v>
      </c>
      <c r="G1477" s="118">
        <f ca="1">IFERROR(__xludf.DUMMYFUNCTION("""COMPUTED_VALUE"""),8)</f>
        <v>8</v>
      </c>
      <c r="H1477" s="118" t="str">
        <f ca="1">IFERROR(__xludf.DUMMYFUNCTION("""COMPUTED_VALUE"""),"PC")</f>
        <v>PC</v>
      </c>
      <c r="I1477" s="118">
        <f ca="1">IFERROR(__xludf.DUMMYFUNCTION("""COMPUTED_VALUE"""),5)</f>
        <v>5</v>
      </c>
      <c r="J1477" s="118">
        <f ca="1">IFERROR(__xludf.DUMMYFUNCTION("""COMPUTED_VALUE"""),5)</f>
        <v>5</v>
      </c>
      <c r="K1477" s="120">
        <f ca="1">IFERROR(__xludf.DUMMYFUNCTION("""COMPUTED_VALUE"""),58.8)</f>
        <v>58.8</v>
      </c>
      <c r="L1477" s="121"/>
      <c r="M1477" s="120">
        <f ca="1">IFERROR(__xludf.DUMMYFUNCTION("""COMPUTED_VALUE"""),43.75)</f>
        <v>43.75</v>
      </c>
      <c r="N1477" s="121"/>
      <c r="O1477" s="120">
        <f ca="1">IFERROR(__xludf.DUMMYFUNCTION("""COMPUTED_VALUE"""),58.8)</f>
        <v>58.8</v>
      </c>
      <c r="P1477" s="122"/>
      <c r="Q1477" s="123"/>
      <c r="R1477" s="123"/>
      <c r="S1477" s="123"/>
      <c r="T1477" s="123"/>
    </row>
    <row r="1478" spans="1:20" ht="13.8">
      <c r="A1478" s="118" t="str">
        <f ca="1">IFERROR(__xludf.DUMMYFUNCTION("""COMPUTED_VALUE"""),"PC")</f>
        <v>PC</v>
      </c>
      <c r="B1478" s="119" t="str">
        <f ca="1">IFERROR(__xludf.DUMMYFUNCTION("""COMPUTED_VALUE"""),"Timothy Barger")</f>
        <v>Timothy Barger</v>
      </c>
      <c r="C1478" s="118">
        <f ca="1">IFERROR(__xludf.DUMMYFUNCTION("""COMPUTED_VALUE"""),10)</f>
        <v>10</v>
      </c>
      <c r="D1478" s="118" t="str">
        <f ca="1">IFERROR(__xludf.DUMMYFUNCTION("""COMPUTED_VALUE"""),"B")</f>
        <v>B</v>
      </c>
      <c r="E1478" s="118" t="str">
        <f ca="1">IFERROR(__xludf.DUMMYFUNCTION("""COMPUTED_VALUE"""),"F")</f>
        <v>F</v>
      </c>
      <c r="F1478" s="118" t="str">
        <f ca="1">IFERROR(__xludf.DUMMYFUNCTION("""COMPUTED_VALUE"""),"J")</f>
        <v>J</v>
      </c>
      <c r="G1478" s="118">
        <f ca="1">IFERROR(__xludf.DUMMYFUNCTION("""COMPUTED_VALUE"""),8)</f>
        <v>8</v>
      </c>
      <c r="H1478" s="118" t="str">
        <f ca="1">IFERROR(__xludf.DUMMYFUNCTION("""COMPUTED_VALUE"""),"PC")</f>
        <v>PC</v>
      </c>
      <c r="I1478" s="118">
        <f ca="1">IFERROR(__xludf.DUMMYFUNCTION("""COMPUTED_VALUE"""),5)</f>
        <v>5</v>
      </c>
      <c r="J1478" s="118">
        <f ca="1">IFERROR(__xludf.DUMMYFUNCTION("""COMPUTED_VALUE"""),3)</f>
        <v>3</v>
      </c>
      <c r="K1478" s="120">
        <f ca="1">IFERROR(__xludf.DUMMYFUNCTION("""COMPUTED_VALUE"""),55.15)</f>
        <v>55.15</v>
      </c>
      <c r="L1478" s="121"/>
      <c r="M1478" s="120">
        <f ca="1">IFERROR(__xludf.DUMMYFUNCTION("""COMPUTED_VALUE"""),55.15)</f>
        <v>55.15</v>
      </c>
      <c r="N1478" s="121"/>
      <c r="O1478" s="120"/>
      <c r="P1478" s="122"/>
      <c r="Q1478" s="123"/>
      <c r="R1478" s="123"/>
      <c r="S1478" s="123"/>
      <c r="T1478" s="123"/>
    </row>
    <row r="1479" spans="1:20" ht="13.8">
      <c r="A1479" s="118" t="str">
        <f ca="1">IFERROR(__xludf.DUMMYFUNCTION("""COMPUTED_VALUE"""),"PC")</f>
        <v>PC</v>
      </c>
      <c r="B1479" s="119" t="str">
        <f ca="1">IFERROR(__xludf.DUMMYFUNCTION("""COMPUTED_VALUE"""),"Vaibhav Boini")</f>
        <v>Vaibhav Boini</v>
      </c>
      <c r="C1479" s="118">
        <f ca="1">IFERROR(__xludf.DUMMYFUNCTION("""COMPUTED_VALUE"""),10)</f>
        <v>10</v>
      </c>
      <c r="D1479" s="118" t="str">
        <f ca="1">IFERROR(__xludf.DUMMYFUNCTION("""COMPUTED_VALUE"""),"B")</f>
        <v>B</v>
      </c>
      <c r="E1479" s="118" t="str">
        <f ca="1">IFERROR(__xludf.DUMMYFUNCTION("""COMPUTED_VALUE"""),"F")</f>
        <v>F</v>
      </c>
      <c r="F1479" s="118" t="str">
        <f ca="1">IFERROR(__xludf.DUMMYFUNCTION("""COMPUTED_VALUE"""),"J")</f>
        <v>J</v>
      </c>
      <c r="G1479" s="118">
        <f ca="1">IFERROR(__xludf.DUMMYFUNCTION("""COMPUTED_VALUE"""),8)</f>
        <v>8</v>
      </c>
      <c r="H1479" s="118" t="str">
        <f ca="1">IFERROR(__xludf.DUMMYFUNCTION("""COMPUTED_VALUE"""),"PC")</f>
        <v>PC</v>
      </c>
      <c r="I1479" s="118">
        <f ca="1">IFERROR(__xludf.DUMMYFUNCTION("""COMPUTED_VALUE"""),5)</f>
        <v>5</v>
      </c>
      <c r="J1479" s="118">
        <f ca="1">IFERROR(__xludf.DUMMYFUNCTION("""COMPUTED_VALUE"""),0)</f>
        <v>0</v>
      </c>
      <c r="K1479" s="120"/>
      <c r="L1479" s="121"/>
      <c r="M1479" s="120"/>
      <c r="N1479" s="121"/>
      <c r="O1479" s="120"/>
      <c r="P1479" s="122"/>
      <c r="Q1479" s="123"/>
      <c r="R1479" s="123"/>
      <c r="S1479" s="123"/>
      <c r="T1479" s="123"/>
    </row>
    <row r="1480" spans="1:20" ht="13.8">
      <c r="A1480" s="118" t="str">
        <f ca="1">IFERROR(__xludf.DUMMYFUNCTION("""COMPUTED_VALUE"""),"PC")</f>
        <v>PC</v>
      </c>
      <c r="B1480" s="119" t="str">
        <f ca="1">IFERROR(__xludf.DUMMYFUNCTION("""COMPUTED_VALUE"""),"Wesley Nayer")</f>
        <v>Wesley Nayer</v>
      </c>
      <c r="C1480" s="118">
        <f ca="1">IFERROR(__xludf.DUMMYFUNCTION("""COMPUTED_VALUE"""),9)</f>
        <v>9</v>
      </c>
      <c r="D1480" s="118" t="str">
        <f ca="1">IFERROR(__xludf.DUMMYFUNCTION("""COMPUTED_VALUE"""),"B")</f>
        <v>B</v>
      </c>
      <c r="E1480" s="118" t="str">
        <f ca="1">IFERROR(__xludf.DUMMYFUNCTION("""COMPUTED_VALUE"""),"F")</f>
        <v>F</v>
      </c>
      <c r="F1480" s="118" t="str">
        <f ca="1">IFERROR(__xludf.DUMMYFUNCTION("""COMPUTED_VALUE"""),"J")</f>
        <v>J</v>
      </c>
      <c r="G1480" s="118">
        <f ca="1">IFERROR(__xludf.DUMMYFUNCTION("""COMPUTED_VALUE"""),8)</f>
        <v>8</v>
      </c>
      <c r="H1480" s="118" t="str">
        <f ca="1">IFERROR(__xludf.DUMMYFUNCTION("""COMPUTED_VALUE"""),"PC")</f>
        <v>PC</v>
      </c>
      <c r="I1480" s="118">
        <f ca="1">IFERROR(__xludf.DUMMYFUNCTION("""COMPUTED_VALUE"""),5)</f>
        <v>5</v>
      </c>
      <c r="J1480" s="118">
        <f ca="1">IFERROR(__xludf.DUMMYFUNCTION("""COMPUTED_VALUE"""),0)</f>
        <v>0</v>
      </c>
      <c r="K1480" s="120"/>
      <c r="L1480" s="121"/>
      <c r="M1480" s="120"/>
      <c r="N1480" s="121"/>
      <c r="O1480" s="120"/>
      <c r="P1480" s="122"/>
      <c r="Q1480" s="123"/>
      <c r="R1480" s="123"/>
      <c r="S1480" s="123"/>
      <c r="T1480" s="123"/>
    </row>
    <row r="1481" spans="1:20" ht="13.8">
      <c r="A1481" s="118" t="str">
        <f ca="1">IFERROR(__xludf.DUMMYFUNCTION("""COMPUTED_VALUE"""),"PC")</f>
        <v>PC</v>
      </c>
      <c r="B1481" s="119" t="str">
        <f ca="1">IFERROR(__xludf.DUMMYFUNCTION("""COMPUTED_VALUE"""),"Anabelle Chan")</f>
        <v>Anabelle Chan</v>
      </c>
      <c r="C1481" s="118">
        <f ca="1">IFERROR(__xludf.DUMMYFUNCTION("""COMPUTED_VALUE"""),11)</f>
        <v>11</v>
      </c>
      <c r="D1481" s="118" t="str">
        <f ca="1">IFERROR(__xludf.DUMMYFUNCTION("""COMPUTED_VALUE"""),"G")</f>
        <v>G</v>
      </c>
      <c r="E1481" s="118" t="str">
        <f ca="1">IFERROR(__xludf.DUMMYFUNCTION("""COMPUTED_VALUE"""),"J")</f>
        <v>J</v>
      </c>
      <c r="F1481" s="118" t="str">
        <f ca="1">IFERROR(__xludf.DUMMYFUNCTION("""COMPUTED_VALUE"""),"I")</f>
        <v>I</v>
      </c>
      <c r="G1481" s="118">
        <f ca="1">IFERROR(__xludf.DUMMYFUNCTION("""COMPUTED_VALUE"""),8)</f>
        <v>8</v>
      </c>
      <c r="H1481" s="118" t="str">
        <f ca="1">IFERROR(__xludf.DUMMYFUNCTION("""COMPUTED_VALUE"""),"PC")</f>
        <v>PC</v>
      </c>
      <c r="I1481" s="118">
        <f ca="1">IFERROR(__xludf.DUMMYFUNCTION("""COMPUTED_VALUE"""),6)</f>
        <v>6</v>
      </c>
      <c r="J1481" s="118">
        <f ca="1">IFERROR(__xludf.DUMMYFUNCTION("""COMPUTED_VALUE"""),0)</f>
        <v>0</v>
      </c>
      <c r="K1481" s="120"/>
      <c r="L1481" s="121"/>
      <c r="M1481" s="120"/>
      <c r="N1481" s="121"/>
      <c r="O1481" s="120"/>
      <c r="P1481" s="122"/>
      <c r="Q1481" s="123"/>
      <c r="R1481" s="123"/>
      <c r="S1481" s="123"/>
      <c r="T1481" s="123"/>
    </row>
    <row r="1482" spans="1:20" ht="13.8">
      <c r="A1482" s="118" t="str">
        <f ca="1">IFERROR(__xludf.DUMMYFUNCTION("""COMPUTED_VALUE"""),"PC")</f>
        <v>PC</v>
      </c>
      <c r="B1482" s="119" t="str">
        <f ca="1">IFERROR(__xludf.DUMMYFUNCTION("""COMPUTED_VALUE"""),"Anna Walsh")</f>
        <v>Anna Walsh</v>
      </c>
      <c r="C1482" s="118">
        <f ca="1">IFERROR(__xludf.DUMMYFUNCTION("""COMPUTED_VALUE"""),12)</f>
        <v>12</v>
      </c>
      <c r="D1482" s="118" t="str">
        <f ca="1">IFERROR(__xludf.DUMMYFUNCTION("""COMPUTED_VALUE"""),"G")</f>
        <v>G</v>
      </c>
      <c r="E1482" s="118" t="str">
        <f ca="1">IFERROR(__xludf.DUMMYFUNCTION("""COMPUTED_VALUE"""),"J")</f>
        <v>J</v>
      </c>
      <c r="F1482" s="118" t="str">
        <f ca="1">IFERROR(__xludf.DUMMYFUNCTION("""COMPUTED_VALUE"""),"I")</f>
        <v>I</v>
      </c>
      <c r="G1482" s="118">
        <f ca="1">IFERROR(__xludf.DUMMYFUNCTION("""COMPUTED_VALUE"""),8)</f>
        <v>8</v>
      </c>
      <c r="H1482" s="118" t="str">
        <f ca="1">IFERROR(__xludf.DUMMYFUNCTION("""COMPUTED_VALUE"""),"PC")</f>
        <v>PC</v>
      </c>
      <c r="I1482" s="118">
        <f ca="1">IFERROR(__xludf.DUMMYFUNCTION("""COMPUTED_VALUE"""),6)</f>
        <v>6</v>
      </c>
      <c r="J1482" s="118">
        <f ca="1">IFERROR(__xludf.DUMMYFUNCTION("""COMPUTED_VALUE"""),2)</f>
        <v>2</v>
      </c>
      <c r="K1482" s="120">
        <f ca="1">IFERROR(__xludf.DUMMYFUNCTION("""COMPUTED_VALUE"""),63.5)</f>
        <v>63.5</v>
      </c>
      <c r="L1482" s="121"/>
      <c r="M1482" s="120"/>
      <c r="N1482" s="121"/>
      <c r="O1482" s="120"/>
      <c r="P1482" s="122"/>
      <c r="Q1482" s="123"/>
      <c r="R1482" s="123"/>
      <c r="S1482" s="123"/>
      <c r="T1482" s="123"/>
    </row>
    <row r="1483" spans="1:20" ht="13.8">
      <c r="A1483" s="118" t="str">
        <f ca="1">IFERROR(__xludf.DUMMYFUNCTION("""COMPUTED_VALUE"""),"PC")</f>
        <v>PC</v>
      </c>
      <c r="B1483" s="119" t="str">
        <f ca="1">IFERROR(__xludf.DUMMYFUNCTION("""COMPUTED_VALUE"""),"Caris Allen")</f>
        <v>Caris Allen</v>
      </c>
      <c r="C1483" s="118">
        <f ca="1">IFERROR(__xludf.DUMMYFUNCTION("""COMPUTED_VALUE"""),11)</f>
        <v>11</v>
      </c>
      <c r="D1483" s="118" t="str">
        <f ca="1">IFERROR(__xludf.DUMMYFUNCTION("""COMPUTED_VALUE"""),"G")</f>
        <v>G</v>
      </c>
      <c r="E1483" s="118" t="str">
        <f ca="1">IFERROR(__xludf.DUMMYFUNCTION("""COMPUTED_VALUE"""),"J")</f>
        <v>J</v>
      </c>
      <c r="F1483" s="118" t="str">
        <f ca="1">IFERROR(__xludf.DUMMYFUNCTION("""COMPUTED_VALUE"""),"I")</f>
        <v>I</v>
      </c>
      <c r="G1483" s="118">
        <f ca="1">IFERROR(__xludf.DUMMYFUNCTION("""COMPUTED_VALUE"""),8)</f>
        <v>8</v>
      </c>
      <c r="H1483" s="118" t="str">
        <f ca="1">IFERROR(__xludf.DUMMYFUNCTION("""COMPUTED_VALUE"""),"PC")</f>
        <v>PC</v>
      </c>
      <c r="I1483" s="118">
        <f ca="1">IFERROR(__xludf.DUMMYFUNCTION("""COMPUTED_VALUE"""),6)</f>
        <v>6</v>
      </c>
      <c r="J1483" s="118">
        <f ca="1">IFERROR(__xludf.DUMMYFUNCTION("""COMPUTED_VALUE"""),3)</f>
        <v>3</v>
      </c>
      <c r="K1483" s="120">
        <f ca="1">IFERROR(__xludf.DUMMYFUNCTION("""COMPUTED_VALUE"""),72.15)</f>
        <v>72.150000000000006</v>
      </c>
      <c r="L1483" s="121"/>
      <c r="M1483" s="120"/>
      <c r="N1483" s="121"/>
      <c r="O1483" s="120">
        <f ca="1">IFERROR(__xludf.DUMMYFUNCTION("""COMPUTED_VALUE"""),72.15)</f>
        <v>72.150000000000006</v>
      </c>
      <c r="P1483" s="122"/>
      <c r="Q1483" s="123"/>
      <c r="R1483" s="123"/>
      <c r="S1483" s="123"/>
      <c r="T1483" s="123"/>
    </row>
    <row r="1484" spans="1:20" ht="13.8">
      <c r="A1484" s="118" t="str">
        <f ca="1">IFERROR(__xludf.DUMMYFUNCTION("""COMPUTED_VALUE"""),"PC")</f>
        <v>PC</v>
      </c>
      <c r="B1484" s="119" t="str">
        <f ca="1">IFERROR(__xludf.DUMMYFUNCTION("""COMPUTED_VALUE"""),"Emma Kalfus")</f>
        <v>Emma Kalfus</v>
      </c>
      <c r="C1484" s="118">
        <f ca="1">IFERROR(__xludf.DUMMYFUNCTION("""COMPUTED_VALUE"""),12)</f>
        <v>12</v>
      </c>
      <c r="D1484" s="118" t="str">
        <f ca="1">IFERROR(__xludf.DUMMYFUNCTION("""COMPUTED_VALUE"""),"G")</f>
        <v>G</v>
      </c>
      <c r="E1484" s="118" t="str">
        <f ca="1">IFERROR(__xludf.DUMMYFUNCTION("""COMPUTED_VALUE"""),"J")</f>
        <v>J</v>
      </c>
      <c r="F1484" s="118" t="str">
        <f ca="1">IFERROR(__xludf.DUMMYFUNCTION("""COMPUTED_VALUE"""),"I")</f>
        <v>I</v>
      </c>
      <c r="G1484" s="118">
        <f ca="1">IFERROR(__xludf.DUMMYFUNCTION("""COMPUTED_VALUE"""),8)</f>
        <v>8</v>
      </c>
      <c r="H1484" s="118" t="str">
        <f ca="1">IFERROR(__xludf.DUMMYFUNCTION("""COMPUTED_VALUE"""),"PC")</f>
        <v>PC</v>
      </c>
      <c r="I1484" s="118">
        <f ca="1">IFERROR(__xludf.DUMMYFUNCTION("""COMPUTED_VALUE"""),6)</f>
        <v>6</v>
      </c>
      <c r="J1484" s="118">
        <f ca="1">IFERROR(__xludf.DUMMYFUNCTION("""COMPUTED_VALUE"""),2)</f>
        <v>2</v>
      </c>
      <c r="K1484" s="120">
        <f ca="1">IFERROR(__xludf.DUMMYFUNCTION("""COMPUTED_VALUE"""),80.95)</f>
        <v>80.95</v>
      </c>
      <c r="L1484" s="121"/>
      <c r="M1484" s="120"/>
      <c r="N1484" s="121"/>
      <c r="O1484" s="120"/>
      <c r="P1484" s="122"/>
      <c r="Q1484" s="123"/>
      <c r="R1484" s="123"/>
      <c r="S1484" s="123"/>
      <c r="T1484" s="123"/>
    </row>
    <row r="1485" spans="1:20" ht="13.8">
      <c r="A1485" s="118" t="str">
        <f ca="1">IFERROR(__xludf.DUMMYFUNCTION("""COMPUTED_VALUE"""),"PC")</f>
        <v>PC</v>
      </c>
      <c r="B1485" s="119" t="str">
        <f ca="1">IFERROR(__xludf.DUMMYFUNCTION("""COMPUTED_VALUE"""),"Julia Kennedy")</f>
        <v>Julia Kennedy</v>
      </c>
      <c r="C1485" s="118">
        <f ca="1">IFERROR(__xludf.DUMMYFUNCTION("""COMPUTED_VALUE"""),12)</f>
        <v>12</v>
      </c>
      <c r="D1485" s="118" t="str">
        <f ca="1">IFERROR(__xludf.DUMMYFUNCTION("""COMPUTED_VALUE"""),"G")</f>
        <v>G</v>
      </c>
      <c r="E1485" s="118" t="str">
        <f ca="1">IFERROR(__xludf.DUMMYFUNCTION("""COMPUTED_VALUE"""),"J")</f>
        <v>J</v>
      </c>
      <c r="F1485" s="118" t="str">
        <f ca="1">IFERROR(__xludf.DUMMYFUNCTION("""COMPUTED_VALUE"""),"I")</f>
        <v>I</v>
      </c>
      <c r="G1485" s="118">
        <f ca="1">IFERROR(__xludf.DUMMYFUNCTION("""COMPUTED_VALUE"""),8)</f>
        <v>8</v>
      </c>
      <c r="H1485" s="118" t="str">
        <f ca="1">IFERROR(__xludf.DUMMYFUNCTION("""COMPUTED_VALUE"""),"PC")</f>
        <v>PC</v>
      </c>
      <c r="I1485" s="118">
        <f ca="1">IFERROR(__xludf.DUMMYFUNCTION("""COMPUTED_VALUE"""),6)</f>
        <v>6</v>
      </c>
      <c r="J1485" s="118">
        <f ca="1">IFERROR(__xludf.DUMMYFUNCTION("""COMPUTED_VALUE"""),0)</f>
        <v>0</v>
      </c>
      <c r="K1485" s="120"/>
      <c r="L1485" s="121"/>
      <c r="M1485" s="120"/>
      <c r="N1485" s="121"/>
      <c r="O1485" s="120"/>
      <c r="P1485" s="122"/>
      <c r="Q1485" s="123"/>
      <c r="R1485" s="123"/>
      <c r="S1485" s="123"/>
      <c r="T1485" s="123"/>
    </row>
    <row r="1486" spans="1:20" ht="13.8">
      <c r="A1486" s="118" t="str">
        <f ca="1">IFERROR(__xludf.DUMMYFUNCTION("""COMPUTED_VALUE"""),"PC")</f>
        <v>PC</v>
      </c>
      <c r="B1486" s="119" t="str">
        <f ca="1">IFERROR(__xludf.DUMMYFUNCTION("""COMPUTED_VALUE"""),"Madeleine Yappel")</f>
        <v>Madeleine Yappel</v>
      </c>
      <c r="C1486" s="118">
        <f ca="1">IFERROR(__xludf.DUMMYFUNCTION("""COMPUTED_VALUE"""),11)</f>
        <v>11</v>
      </c>
      <c r="D1486" s="118" t="str">
        <f ca="1">IFERROR(__xludf.DUMMYFUNCTION("""COMPUTED_VALUE"""),"G")</f>
        <v>G</v>
      </c>
      <c r="E1486" s="118" t="str">
        <f ca="1">IFERROR(__xludf.DUMMYFUNCTION("""COMPUTED_VALUE"""),"J")</f>
        <v>J</v>
      </c>
      <c r="F1486" s="118" t="str">
        <f ca="1">IFERROR(__xludf.DUMMYFUNCTION("""COMPUTED_VALUE"""),"I")</f>
        <v>I</v>
      </c>
      <c r="G1486" s="118">
        <f ca="1">IFERROR(__xludf.DUMMYFUNCTION("""COMPUTED_VALUE"""),8)</f>
        <v>8</v>
      </c>
      <c r="H1486" s="118" t="str">
        <f ca="1">IFERROR(__xludf.DUMMYFUNCTION("""COMPUTED_VALUE"""),"PC")</f>
        <v>PC</v>
      </c>
      <c r="I1486" s="118">
        <f ca="1">IFERROR(__xludf.DUMMYFUNCTION("""COMPUTED_VALUE"""),6)</f>
        <v>6</v>
      </c>
      <c r="J1486" s="118">
        <f ca="1">IFERROR(__xludf.DUMMYFUNCTION("""COMPUTED_VALUE"""),0)</f>
        <v>0</v>
      </c>
      <c r="K1486" s="120"/>
      <c r="L1486" s="121"/>
      <c r="M1486" s="120"/>
      <c r="N1486" s="121"/>
      <c r="O1486" s="120"/>
      <c r="P1486" s="122"/>
      <c r="Q1486" s="123"/>
      <c r="R1486" s="123"/>
      <c r="S1486" s="123"/>
      <c r="T1486" s="123"/>
    </row>
    <row r="1487" spans="1:20" ht="13.8">
      <c r="A1487" s="118" t="str">
        <f ca="1">IFERROR(__xludf.DUMMYFUNCTION("""COMPUTED_VALUE"""),"PC")</f>
        <v>PC</v>
      </c>
      <c r="B1487" s="119" t="str">
        <f ca="1">IFERROR(__xludf.DUMMYFUNCTION("""COMPUTED_VALUE"""),"Mary Bairstow")</f>
        <v>Mary Bairstow</v>
      </c>
      <c r="C1487" s="118">
        <f ca="1">IFERROR(__xludf.DUMMYFUNCTION("""COMPUTED_VALUE"""),12)</f>
        <v>12</v>
      </c>
      <c r="D1487" s="118" t="str">
        <f ca="1">IFERROR(__xludf.DUMMYFUNCTION("""COMPUTED_VALUE"""),"G")</f>
        <v>G</v>
      </c>
      <c r="E1487" s="118" t="str">
        <f ca="1">IFERROR(__xludf.DUMMYFUNCTION("""COMPUTED_VALUE"""),"J")</f>
        <v>J</v>
      </c>
      <c r="F1487" s="118" t="str">
        <f ca="1">IFERROR(__xludf.DUMMYFUNCTION("""COMPUTED_VALUE"""),"I")</f>
        <v>I</v>
      </c>
      <c r="G1487" s="118">
        <f ca="1">IFERROR(__xludf.DUMMYFUNCTION("""COMPUTED_VALUE"""),8)</f>
        <v>8</v>
      </c>
      <c r="H1487" s="118" t="str">
        <f ca="1">IFERROR(__xludf.DUMMYFUNCTION("""COMPUTED_VALUE"""),"PC")</f>
        <v>PC</v>
      </c>
      <c r="I1487" s="118">
        <f ca="1">IFERROR(__xludf.DUMMYFUNCTION("""COMPUTED_VALUE"""),6)</f>
        <v>6</v>
      </c>
      <c r="J1487" s="118">
        <f ca="1">IFERROR(__xludf.DUMMYFUNCTION("""COMPUTED_VALUE"""),0)</f>
        <v>0</v>
      </c>
      <c r="K1487" s="120"/>
      <c r="L1487" s="121"/>
      <c r="M1487" s="120"/>
      <c r="N1487" s="121"/>
      <c r="O1487" s="120"/>
      <c r="P1487" s="122"/>
      <c r="Q1487" s="123"/>
      <c r="R1487" s="123"/>
      <c r="S1487" s="123"/>
      <c r="T1487" s="123"/>
    </row>
    <row r="1488" spans="1:20" ht="13.8">
      <c r="A1488" s="118" t="str">
        <f ca="1">IFERROR(__xludf.DUMMYFUNCTION("""COMPUTED_VALUE"""),"PC")</f>
        <v>PC</v>
      </c>
      <c r="B1488" s="119" t="str">
        <f ca="1">IFERROR(__xludf.DUMMYFUNCTION("""COMPUTED_VALUE"""),"Swara Vadlamani")</f>
        <v>Swara Vadlamani</v>
      </c>
      <c r="C1488" s="118">
        <f ca="1">IFERROR(__xludf.DUMMYFUNCTION("""COMPUTED_VALUE"""),11)</f>
        <v>11</v>
      </c>
      <c r="D1488" s="118" t="str">
        <f ca="1">IFERROR(__xludf.DUMMYFUNCTION("""COMPUTED_VALUE"""),"G")</f>
        <v>G</v>
      </c>
      <c r="E1488" s="118" t="str">
        <f ca="1">IFERROR(__xludf.DUMMYFUNCTION("""COMPUTED_VALUE"""),"J")</f>
        <v>J</v>
      </c>
      <c r="F1488" s="118" t="str">
        <f ca="1">IFERROR(__xludf.DUMMYFUNCTION("""COMPUTED_VALUE"""),"I")</f>
        <v>I</v>
      </c>
      <c r="G1488" s="118">
        <f ca="1">IFERROR(__xludf.DUMMYFUNCTION("""COMPUTED_VALUE"""),8)</f>
        <v>8</v>
      </c>
      <c r="H1488" s="118" t="str">
        <f ca="1">IFERROR(__xludf.DUMMYFUNCTION("""COMPUTED_VALUE"""),"PC")</f>
        <v>PC</v>
      </c>
      <c r="I1488" s="118">
        <f ca="1">IFERROR(__xludf.DUMMYFUNCTION("""COMPUTED_VALUE"""),6)</f>
        <v>6</v>
      </c>
      <c r="J1488" s="118">
        <f ca="1">IFERROR(__xludf.DUMMYFUNCTION("""COMPUTED_VALUE"""),0)</f>
        <v>0</v>
      </c>
      <c r="K1488" s="120"/>
      <c r="L1488" s="121"/>
      <c r="M1488" s="120"/>
      <c r="N1488" s="121"/>
      <c r="O1488" s="120"/>
      <c r="P1488" s="122"/>
      <c r="Q1488" s="123"/>
      <c r="R1488" s="123"/>
      <c r="S1488" s="123"/>
      <c r="T1488" s="123"/>
    </row>
    <row r="1489" spans="1:20" ht="13.8">
      <c r="A1489" s="118" t="str">
        <f ca="1">IFERROR(__xludf.DUMMYFUNCTION("""COMPUTED_VALUE"""),"PC")</f>
        <v>PC</v>
      </c>
      <c r="B1489" s="119" t="str">
        <f ca="1">IFERROR(__xludf.DUMMYFUNCTION("""COMPUTED_VALUE"""),"Aaron Barger")</f>
        <v>Aaron Barger</v>
      </c>
      <c r="C1489" s="118">
        <f ca="1">IFERROR(__xludf.DUMMYFUNCTION("""COMPUTED_VALUE"""),11)</f>
        <v>11</v>
      </c>
      <c r="D1489" s="118" t="str">
        <f ca="1">IFERROR(__xludf.DUMMYFUNCTION("""COMPUTED_VALUE"""),"B")</f>
        <v>B</v>
      </c>
      <c r="E1489" s="118" t="str">
        <f ca="1">IFERROR(__xludf.DUMMYFUNCTION("""COMPUTED_VALUE"""),"J")</f>
        <v>J</v>
      </c>
      <c r="F1489" s="118" t="str">
        <f ca="1">IFERROR(__xludf.DUMMYFUNCTION("""COMPUTED_VALUE"""),"I")</f>
        <v>I</v>
      </c>
      <c r="G1489" s="118">
        <f ca="1">IFERROR(__xludf.DUMMYFUNCTION("""COMPUTED_VALUE"""),8)</f>
        <v>8</v>
      </c>
      <c r="H1489" s="118" t="str">
        <f ca="1">IFERROR(__xludf.DUMMYFUNCTION("""COMPUTED_VALUE"""),"PC")</f>
        <v>PC</v>
      </c>
      <c r="I1489" s="118">
        <f ca="1">IFERROR(__xludf.DUMMYFUNCTION("""COMPUTED_VALUE"""),7)</f>
        <v>7</v>
      </c>
      <c r="J1489" s="118">
        <f ca="1">IFERROR(__xludf.DUMMYFUNCTION("""COMPUTED_VALUE"""),4)</f>
        <v>4</v>
      </c>
      <c r="K1489" s="120">
        <f ca="1">IFERROR(__xludf.DUMMYFUNCTION("""COMPUTED_VALUE"""),77.95)</f>
        <v>77.95</v>
      </c>
      <c r="L1489" s="121"/>
      <c r="M1489" s="120">
        <f ca="1">IFERROR(__xludf.DUMMYFUNCTION("""COMPUTED_VALUE"""),60.95)</f>
        <v>60.95</v>
      </c>
      <c r="N1489" s="121"/>
      <c r="O1489" s="120">
        <f ca="1">IFERROR(__xludf.DUMMYFUNCTION("""COMPUTED_VALUE"""),77.95)</f>
        <v>77.95</v>
      </c>
      <c r="P1489" s="122"/>
      <c r="Q1489" s="123"/>
      <c r="R1489" s="123"/>
      <c r="S1489" s="123"/>
      <c r="T1489" s="123"/>
    </row>
    <row r="1490" spans="1:20" ht="13.8">
      <c r="A1490" s="118" t="str">
        <f ca="1">IFERROR(__xludf.DUMMYFUNCTION("""COMPUTED_VALUE"""),"PC")</f>
        <v>PC</v>
      </c>
      <c r="B1490" s="119" t="str">
        <f ca="1">IFERROR(__xludf.DUMMYFUNCTION("""COMPUTED_VALUE"""),"Andrew Cho")</f>
        <v>Andrew Cho</v>
      </c>
      <c r="C1490" s="118">
        <f ca="1">IFERROR(__xludf.DUMMYFUNCTION("""COMPUTED_VALUE"""),11)</f>
        <v>11</v>
      </c>
      <c r="D1490" s="118" t="str">
        <f ca="1">IFERROR(__xludf.DUMMYFUNCTION("""COMPUTED_VALUE"""),"B")</f>
        <v>B</v>
      </c>
      <c r="E1490" s="118" t="str">
        <f ca="1">IFERROR(__xludf.DUMMYFUNCTION("""COMPUTED_VALUE"""),"J")</f>
        <v>J</v>
      </c>
      <c r="F1490" s="118" t="str">
        <f ca="1">IFERROR(__xludf.DUMMYFUNCTION("""COMPUTED_VALUE"""),"I")</f>
        <v>I</v>
      </c>
      <c r="G1490" s="118">
        <f ca="1">IFERROR(__xludf.DUMMYFUNCTION("""COMPUTED_VALUE"""),8)</f>
        <v>8</v>
      </c>
      <c r="H1490" s="118" t="str">
        <f ca="1">IFERROR(__xludf.DUMMYFUNCTION("""COMPUTED_VALUE"""),"PC")</f>
        <v>PC</v>
      </c>
      <c r="I1490" s="118">
        <f ca="1">IFERROR(__xludf.DUMMYFUNCTION("""COMPUTED_VALUE"""),7)</f>
        <v>7</v>
      </c>
      <c r="J1490" s="118">
        <f ca="1">IFERROR(__xludf.DUMMYFUNCTION("""COMPUTED_VALUE"""),2)</f>
        <v>2</v>
      </c>
      <c r="K1490" s="120">
        <f ca="1">IFERROR(__xludf.DUMMYFUNCTION("""COMPUTED_VALUE"""),74.55)</f>
        <v>74.55</v>
      </c>
      <c r="L1490" s="121"/>
      <c r="M1490" s="120">
        <f ca="1">IFERROR(__xludf.DUMMYFUNCTION("""COMPUTED_VALUE"""),74.55)</f>
        <v>74.55</v>
      </c>
      <c r="N1490" s="121"/>
      <c r="O1490" s="120">
        <f ca="1">IFERROR(__xludf.DUMMYFUNCTION("""COMPUTED_VALUE"""),69.3)</f>
        <v>69.3</v>
      </c>
      <c r="P1490" s="122"/>
      <c r="Q1490" s="123"/>
      <c r="R1490" s="123"/>
      <c r="S1490" s="123"/>
      <c r="T1490" s="123"/>
    </row>
    <row r="1491" spans="1:20" ht="13.8">
      <c r="A1491" s="118" t="str">
        <f ca="1">IFERROR(__xludf.DUMMYFUNCTION("""COMPUTED_VALUE"""),"PC")</f>
        <v>PC</v>
      </c>
      <c r="B1491" s="119" t="str">
        <f ca="1">IFERROR(__xludf.DUMMYFUNCTION("""COMPUTED_VALUE"""),"Natalie Shlesinger")</f>
        <v>Natalie Shlesinger</v>
      </c>
      <c r="C1491" s="118">
        <f ca="1">IFERROR(__xludf.DUMMYFUNCTION("""COMPUTED_VALUE"""),11)</f>
        <v>11</v>
      </c>
      <c r="D1491" s="118" t="str">
        <f ca="1">IFERROR(__xludf.DUMMYFUNCTION("""COMPUTED_VALUE"""),"B")</f>
        <v>B</v>
      </c>
      <c r="E1491" s="118" t="str">
        <f ca="1">IFERROR(__xludf.DUMMYFUNCTION("""COMPUTED_VALUE"""),"J")</f>
        <v>J</v>
      </c>
      <c r="F1491" s="118" t="str">
        <f ca="1">IFERROR(__xludf.DUMMYFUNCTION("""COMPUTED_VALUE"""),"I")</f>
        <v>I</v>
      </c>
      <c r="G1491" s="118">
        <f ca="1">IFERROR(__xludf.DUMMYFUNCTION("""COMPUTED_VALUE"""),8)</f>
        <v>8</v>
      </c>
      <c r="H1491" s="118" t="str">
        <f ca="1">IFERROR(__xludf.DUMMYFUNCTION("""COMPUTED_VALUE"""),"PC")</f>
        <v>PC</v>
      </c>
      <c r="I1491" s="118">
        <f ca="1">IFERROR(__xludf.DUMMYFUNCTION("""COMPUTED_VALUE"""),7)</f>
        <v>7</v>
      </c>
      <c r="J1491" s="118">
        <f ca="1">IFERROR(__xludf.DUMMYFUNCTION("""COMPUTED_VALUE"""),0)</f>
        <v>0</v>
      </c>
      <c r="K1491" s="120"/>
      <c r="L1491" s="121"/>
      <c r="M1491" s="120"/>
      <c r="N1491" s="121"/>
      <c r="O1491" s="120"/>
      <c r="P1491" s="122"/>
      <c r="Q1491" s="123"/>
      <c r="R1491" s="123"/>
      <c r="S1491" s="123"/>
      <c r="T1491" s="123"/>
    </row>
    <row r="1492" spans="1:20" ht="13.8">
      <c r="A1492" s="118" t="str">
        <f ca="1">IFERROR(__xludf.DUMMYFUNCTION("""COMPUTED_VALUE"""),"PC")</f>
        <v>PC</v>
      </c>
      <c r="B1492" s="119" t="str">
        <f ca="1">IFERROR(__xludf.DUMMYFUNCTION("""COMPUTED_VALUE"""),"Gia Yappel")</f>
        <v>Gia Yappel</v>
      </c>
      <c r="C1492" s="118">
        <f ca="1">IFERROR(__xludf.DUMMYFUNCTION("""COMPUTED_VALUE"""),14)</f>
        <v>14</v>
      </c>
      <c r="D1492" s="118" t="str">
        <f ca="1">IFERROR(__xludf.DUMMYFUNCTION("""COMPUTED_VALUE"""),"G")</f>
        <v>G</v>
      </c>
      <c r="E1492" s="118" t="str">
        <f ca="1">IFERROR(__xludf.DUMMYFUNCTION("""COMPUTED_VALUE"""),"I")</f>
        <v>I</v>
      </c>
      <c r="F1492" s="118" t="str">
        <f ca="1">IFERROR(__xludf.DUMMYFUNCTION("""COMPUTED_VALUE"""),"S")</f>
        <v>S</v>
      </c>
      <c r="G1492" s="118">
        <f ca="1">IFERROR(__xludf.DUMMYFUNCTION("""COMPUTED_VALUE"""),8)</f>
        <v>8</v>
      </c>
      <c r="H1492" s="118" t="str">
        <f ca="1">IFERROR(__xludf.DUMMYFUNCTION("""COMPUTED_VALUE"""),"PC")</f>
        <v>PC</v>
      </c>
      <c r="I1492" s="118">
        <f ca="1">IFERROR(__xludf.DUMMYFUNCTION("""COMPUTED_VALUE"""),8)</f>
        <v>8</v>
      </c>
      <c r="J1492" s="118">
        <f ca="1">IFERROR(__xludf.DUMMYFUNCTION("""COMPUTED_VALUE"""),5)</f>
        <v>5</v>
      </c>
      <c r="K1492" s="120">
        <f ca="1">IFERROR(__xludf.DUMMYFUNCTION("""COMPUTED_VALUE"""),100.4)</f>
        <v>100.4</v>
      </c>
      <c r="L1492" s="121"/>
      <c r="M1492" s="120">
        <f ca="1">IFERROR(__xludf.DUMMYFUNCTION("""COMPUTED_VALUE"""),94.3)</f>
        <v>94.3</v>
      </c>
      <c r="N1492" s="121"/>
      <c r="O1492" s="120">
        <f ca="1">IFERROR(__xludf.DUMMYFUNCTION("""COMPUTED_VALUE"""),95.3)</f>
        <v>95.3</v>
      </c>
      <c r="P1492" s="122"/>
      <c r="Q1492" s="123"/>
      <c r="R1492" s="123"/>
      <c r="S1492" s="123"/>
      <c r="T1492" s="123"/>
    </row>
    <row r="1493" spans="1:20" ht="13.8">
      <c r="A1493" s="118" t="str">
        <f ca="1">IFERROR(__xludf.DUMMYFUNCTION("""COMPUTED_VALUE"""),"PC")</f>
        <v>PC</v>
      </c>
      <c r="B1493" s="119" t="str">
        <f ca="1">IFERROR(__xludf.DUMMYFUNCTION("""COMPUTED_VALUE"""),"Leandra Barger")</f>
        <v>Leandra Barger</v>
      </c>
      <c r="C1493" s="118">
        <f ca="1">IFERROR(__xludf.DUMMYFUNCTION("""COMPUTED_VALUE"""),13)</f>
        <v>13</v>
      </c>
      <c r="D1493" s="118" t="str">
        <f ca="1">IFERROR(__xludf.DUMMYFUNCTION("""COMPUTED_VALUE"""),"G")</f>
        <v>G</v>
      </c>
      <c r="E1493" s="118" t="str">
        <f ca="1">IFERROR(__xludf.DUMMYFUNCTION("""COMPUTED_VALUE"""),"I")</f>
        <v>I</v>
      </c>
      <c r="F1493" s="118" t="str">
        <f ca="1">IFERROR(__xludf.DUMMYFUNCTION("""COMPUTED_VALUE"""),"S")</f>
        <v>S</v>
      </c>
      <c r="G1493" s="118">
        <f ca="1">IFERROR(__xludf.DUMMYFUNCTION("""COMPUTED_VALUE"""),8)</f>
        <v>8</v>
      </c>
      <c r="H1493" s="118" t="str">
        <f ca="1">IFERROR(__xludf.DUMMYFUNCTION("""COMPUTED_VALUE"""),"PC")</f>
        <v>PC</v>
      </c>
      <c r="I1493" s="118">
        <f ca="1">IFERROR(__xludf.DUMMYFUNCTION("""COMPUTED_VALUE"""),8)</f>
        <v>8</v>
      </c>
      <c r="J1493" s="118">
        <f ca="1">IFERROR(__xludf.DUMMYFUNCTION("""COMPUTED_VALUE"""),2)</f>
        <v>2</v>
      </c>
      <c r="K1493" s="120">
        <f ca="1">IFERROR(__xludf.DUMMYFUNCTION("""COMPUTED_VALUE"""),105.4)</f>
        <v>105.4</v>
      </c>
      <c r="L1493" s="121"/>
      <c r="M1493" s="120">
        <f ca="1">IFERROR(__xludf.DUMMYFUNCTION("""COMPUTED_VALUE"""),105.4)</f>
        <v>105.4</v>
      </c>
      <c r="N1493" s="121"/>
      <c r="O1493" s="120"/>
      <c r="P1493" s="122"/>
      <c r="Q1493" s="123"/>
      <c r="R1493" s="123"/>
      <c r="S1493" s="123"/>
      <c r="T1493" s="123"/>
    </row>
    <row r="1494" spans="1:20" ht="13.8">
      <c r="A1494" s="118" t="str">
        <f ca="1">IFERROR(__xludf.DUMMYFUNCTION("""COMPUTED_VALUE"""),"PC")</f>
        <v>PC</v>
      </c>
      <c r="B1494" s="119" t="str">
        <f ca="1">IFERROR(__xludf.DUMMYFUNCTION("""COMPUTED_VALUE"""),"Riya Boini")</f>
        <v>Riya Boini</v>
      </c>
      <c r="C1494" s="118">
        <f ca="1">IFERROR(__xludf.DUMMYFUNCTION("""COMPUTED_VALUE"""),13)</f>
        <v>13</v>
      </c>
      <c r="D1494" s="118" t="str">
        <f ca="1">IFERROR(__xludf.DUMMYFUNCTION("""COMPUTED_VALUE"""),"G")</f>
        <v>G</v>
      </c>
      <c r="E1494" s="118" t="str">
        <f ca="1">IFERROR(__xludf.DUMMYFUNCTION("""COMPUTED_VALUE"""),"I")</f>
        <v>I</v>
      </c>
      <c r="F1494" s="118" t="str">
        <f ca="1">IFERROR(__xludf.DUMMYFUNCTION("""COMPUTED_VALUE"""),"S")</f>
        <v>S</v>
      </c>
      <c r="G1494" s="118">
        <f ca="1">IFERROR(__xludf.DUMMYFUNCTION("""COMPUTED_VALUE"""),8)</f>
        <v>8</v>
      </c>
      <c r="H1494" s="118" t="str">
        <f ca="1">IFERROR(__xludf.DUMMYFUNCTION("""COMPUTED_VALUE"""),"PC")</f>
        <v>PC</v>
      </c>
      <c r="I1494" s="118">
        <f ca="1">IFERROR(__xludf.DUMMYFUNCTION("""COMPUTED_VALUE"""),8)</f>
        <v>8</v>
      </c>
      <c r="J1494" s="118">
        <f ca="1">IFERROR(__xludf.DUMMYFUNCTION("""COMPUTED_VALUE"""),0)</f>
        <v>0</v>
      </c>
      <c r="K1494" s="120"/>
      <c r="L1494" s="121"/>
      <c r="M1494" s="120"/>
      <c r="N1494" s="121"/>
      <c r="O1494" s="120"/>
      <c r="P1494" s="122"/>
      <c r="Q1494" s="123"/>
      <c r="R1494" s="123"/>
      <c r="S1494" s="123"/>
      <c r="T1494" s="123"/>
    </row>
    <row r="1495" spans="1:20" ht="13.8">
      <c r="A1495" s="118" t="str">
        <f ca="1">IFERROR(__xludf.DUMMYFUNCTION("""COMPUTED_VALUE"""),"PC")</f>
        <v>PC</v>
      </c>
      <c r="B1495" s="119" t="str">
        <f ca="1">IFERROR(__xludf.DUMMYFUNCTION("""COMPUTED_VALUE"""),"Connor Ryan")</f>
        <v>Connor Ryan</v>
      </c>
      <c r="C1495" s="118">
        <f ca="1">IFERROR(__xludf.DUMMYFUNCTION("""COMPUTED_VALUE"""),14)</f>
        <v>14</v>
      </c>
      <c r="D1495" s="118" t="str">
        <f ca="1">IFERROR(__xludf.DUMMYFUNCTION("""COMPUTED_VALUE"""),"B")</f>
        <v>B</v>
      </c>
      <c r="E1495" s="118" t="str">
        <f ca="1">IFERROR(__xludf.DUMMYFUNCTION("""COMPUTED_VALUE"""),"I")</f>
        <v>I</v>
      </c>
      <c r="F1495" s="118" t="str">
        <f ca="1">IFERROR(__xludf.DUMMYFUNCTION("""COMPUTED_VALUE"""),"S")</f>
        <v>S</v>
      </c>
      <c r="G1495" s="118">
        <f ca="1">IFERROR(__xludf.DUMMYFUNCTION("""COMPUTED_VALUE"""),8)</f>
        <v>8</v>
      </c>
      <c r="H1495" s="118" t="str">
        <f ca="1">IFERROR(__xludf.DUMMYFUNCTION("""COMPUTED_VALUE"""),"PC")</f>
        <v>PC</v>
      </c>
      <c r="I1495" s="118">
        <f ca="1">IFERROR(__xludf.DUMMYFUNCTION("""COMPUTED_VALUE"""),9)</f>
        <v>9</v>
      </c>
      <c r="J1495" s="118">
        <f ca="1">IFERROR(__xludf.DUMMYFUNCTION("""COMPUTED_VALUE"""),2)</f>
        <v>2</v>
      </c>
      <c r="K1495" s="120">
        <f ca="1">IFERROR(__xludf.DUMMYFUNCTION("""COMPUTED_VALUE"""),99.05)</f>
        <v>99.05</v>
      </c>
      <c r="L1495" s="121"/>
      <c r="M1495" s="120"/>
      <c r="N1495" s="121"/>
      <c r="O1495" s="120"/>
      <c r="P1495" s="122"/>
      <c r="Q1495" s="123"/>
      <c r="R1495" s="123"/>
      <c r="S1495" s="123"/>
      <c r="T1495" s="123"/>
    </row>
    <row r="1496" spans="1:20" ht="13.8">
      <c r="A1496" s="118" t="str">
        <f ca="1">IFERROR(__xludf.DUMMYFUNCTION("""COMPUTED_VALUE"""),"PL")</f>
        <v>PL</v>
      </c>
      <c r="B1496" s="119" t="str">
        <f ca="1">IFERROR(__xludf.DUMMYFUNCTION("""COMPUTED_VALUE"""),"Addie Celentano")</f>
        <v>Addie Celentano</v>
      </c>
      <c r="C1496" s="118">
        <f ca="1">IFERROR(__xludf.DUMMYFUNCTION("""COMPUTED_VALUE"""),9)</f>
        <v>9</v>
      </c>
      <c r="D1496" s="118" t="str">
        <f ca="1">IFERROR(__xludf.DUMMYFUNCTION("""COMPUTED_VALUE"""),"G")</f>
        <v>G</v>
      </c>
      <c r="E1496" s="118" t="str">
        <f ca="1">IFERROR(__xludf.DUMMYFUNCTION("""COMPUTED_VALUE"""),"F")</f>
        <v>F</v>
      </c>
      <c r="F1496" s="118" t="str">
        <f ca="1">IFERROR(__xludf.DUMMYFUNCTION("""COMPUTED_VALUE"""),"J")</f>
        <v>J</v>
      </c>
      <c r="G1496" s="118">
        <f ca="1">IFERROR(__xludf.DUMMYFUNCTION("""COMPUTED_VALUE"""),6)</f>
        <v>6</v>
      </c>
      <c r="H1496" s="118" t="str">
        <f ca="1">IFERROR(__xludf.DUMMYFUNCTION("""COMPUTED_VALUE"""),"PL")</f>
        <v>PL</v>
      </c>
      <c r="I1496" s="118">
        <f ca="1">IFERROR(__xludf.DUMMYFUNCTION("""COMPUTED_VALUE"""),4)</f>
        <v>4</v>
      </c>
      <c r="J1496" s="118">
        <f ca="1">IFERROR(__xludf.DUMMYFUNCTION("""COMPUTED_VALUE"""),5)</f>
        <v>5</v>
      </c>
      <c r="K1496" s="120">
        <f ca="1">IFERROR(__xludf.DUMMYFUNCTION("""COMPUTED_VALUE"""),69.45)</f>
        <v>69.45</v>
      </c>
      <c r="L1496" s="121"/>
      <c r="M1496" s="120">
        <f ca="1">IFERROR(__xludf.DUMMYFUNCTION("""COMPUTED_VALUE"""),64.3)</f>
        <v>64.3</v>
      </c>
      <c r="N1496" s="121"/>
      <c r="O1496" s="120">
        <f ca="1">IFERROR(__xludf.DUMMYFUNCTION("""COMPUTED_VALUE"""),68.25)</f>
        <v>68.25</v>
      </c>
      <c r="P1496" s="122"/>
      <c r="Q1496" s="123"/>
      <c r="R1496" s="123"/>
      <c r="S1496" s="123"/>
      <c r="T1496" s="123"/>
    </row>
    <row r="1497" spans="1:20" ht="13.8">
      <c r="A1497" s="118" t="str">
        <f ca="1">IFERROR(__xludf.DUMMYFUNCTION("""COMPUTED_VALUE"""),"PL")</f>
        <v>PL</v>
      </c>
      <c r="B1497" s="119" t="str">
        <f ca="1">IFERROR(__xludf.DUMMYFUNCTION("""COMPUTED_VALUE"""),"Ceclia White")</f>
        <v>Ceclia White</v>
      </c>
      <c r="C1497" s="118">
        <f ca="1">IFERROR(__xludf.DUMMYFUNCTION("""COMPUTED_VALUE"""),9)</f>
        <v>9</v>
      </c>
      <c r="D1497" s="118" t="str">
        <f ca="1">IFERROR(__xludf.DUMMYFUNCTION("""COMPUTED_VALUE"""),"G")</f>
        <v>G</v>
      </c>
      <c r="E1497" s="118" t="str">
        <f ca="1">IFERROR(__xludf.DUMMYFUNCTION("""COMPUTED_VALUE"""),"F")</f>
        <v>F</v>
      </c>
      <c r="F1497" s="118" t="str">
        <f ca="1">IFERROR(__xludf.DUMMYFUNCTION("""COMPUTED_VALUE"""),"J")</f>
        <v>J</v>
      </c>
      <c r="G1497" s="118">
        <f ca="1">IFERROR(__xludf.DUMMYFUNCTION("""COMPUTED_VALUE"""),6)</f>
        <v>6</v>
      </c>
      <c r="H1497" s="118" t="str">
        <f ca="1">IFERROR(__xludf.DUMMYFUNCTION("""COMPUTED_VALUE"""),"PL")</f>
        <v>PL</v>
      </c>
      <c r="I1497" s="118">
        <f ca="1">IFERROR(__xludf.DUMMYFUNCTION("""COMPUTED_VALUE"""),4)</f>
        <v>4</v>
      </c>
      <c r="J1497" s="118">
        <f ca="1">IFERROR(__xludf.DUMMYFUNCTION("""COMPUTED_VALUE"""),5)</f>
        <v>5</v>
      </c>
      <c r="K1497" s="120">
        <f ca="1">IFERROR(__xludf.DUMMYFUNCTION("""COMPUTED_VALUE"""),36.3)</f>
        <v>36.299999999999997</v>
      </c>
      <c r="L1497" s="121"/>
      <c r="M1497" s="120">
        <f ca="1">IFERROR(__xludf.DUMMYFUNCTION("""COMPUTED_VALUE"""),36.3)</f>
        <v>36.299999999999997</v>
      </c>
      <c r="N1497" s="121"/>
      <c r="O1497" s="120">
        <f ca="1">IFERROR(__xludf.DUMMYFUNCTION("""COMPUTED_VALUE"""),27.25)</f>
        <v>27.25</v>
      </c>
      <c r="P1497" s="122"/>
      <c r="Q1497" s="123"/>
      <c r="R1497" s="123"/>
      <c r="S1497" s="123"/>
      <c r="T1497" s="123"/>
    </row>
    <row r="1498" spans="1:20" ht="13.8">
      <c r="A1498" s="118" t="str">
        <f ca="1">IFERROR(__xludf.DUMMYFUNCTION("""COMPUTED_VALUE"""),"PL")</f>
        <v>PL</v>
      </c>
      <c r="B1498" s="119" t="str">
        <f ca="1">IFERROR(__xludf.DUMMYFUNCTION("""COMPUTED_VALUE"""),"Clara Berkey")</f>
        <v>Clara Berkey</v>
      </c>
      <c r="C1498" s="118">
        <f ca="1">IFERROR(__xludf.DUMMYFUNCTION("""COMPUTED_VALUE"""),10)</f>
        <v>10</v>
      </c>
      <c r="D1498" s="118" t="str">
        <f ca="1">IFERROR(__xludf.DUMMYFUNCTION("""COMPUTED_VALUE"""),"G")</f>
        <v>G</v>
      </c>
      <c r="E1498" s="118" t="str">
        <f ca="1">IFERROR(__xludf.DUMMYFUNCTION("""COMPUTED_VALUE"""),"F")</f>
        <v>F</v>
      </c>
      <c r="F1498" s="118" t="str">
        <f ca="1">IFERROR(__xludf.DUMMYFUNCTION("""COMPUTED_VALUE"""),"J")</f>
        <v>J</v>
      </c>
      <c r="G1498" s="118">
        <f ca="1">IFERROR(__xludf.DUMMYFUNCTION("""COMPUTED_VALUE"""),6)</f>
        <v>6</v>
      </c>
      <c r="H1498" s="118" t="str">
        <f ca="1">IFERROR(__xludf.DUMMYFUNCTION("""COMPUTED_VALUE"""),"PL")</f>
        <v>PL</v>
      </c>
      <c r="I1498" s="118">
        <f ca="1">IFERROR(__xludf.DUMMYFUNCTION("""COMPUTED_VALUE"""),4)</f>
        <v>4</v>
      </c>
      <c r="J1498" s="118">
        <f ca="1">IFERROR(__xludf.DUMMYFUNCTION("""COMPUTED_VALUE"""),3)</f>
        <v>3</v>
      </c>
      <c r="K1498" s="120">
        <f ca="1">IFERROR(__xludf.DUMMYFUNCTION("""COMPUTED_VALUE"""),39.25)</f>
        <v>39.25</v>
      </c>
      <c r="L1498" s="121"/>
      <c r="M1498" s="120"/>
      <c r="N1498" s="121"/>
      <c r="O1498" s="120">
        <f ca="1">IFERROR(__xludf.DUMMYFUNCTION("""COMPUTED_VALUE"""),32.35)</f>
        <v>32.35</v>
      </c>
      <c r="P1498" s="122"/>
      <c r="Q1498" s="123"/>
      <c r="R1498" s="123"/>
      <c r="S1498" s="123"/>
      <c r="T1498" s="123"/>
    </row>
    <row r="1499" spans="1:20" ht="13.8">
      <c r="A1499" s="118" t="str">
        <f ca="1">IFERROR(__xludf.DUMMYFUNCTION("""COMPUTED_VALUE"""),"PL")</f>
        <v>PL</v>
      </c>
      <c r="B1499" s="119" t="str">
        <f ca="1">IFERROR(__xludf.DUMMYFUNCTION("""COMPUTED_VALUE"""),"Danelea Shea")</f>
        <v>Danelea Shea</v>
      </c>
      <c r="C1499" s="118">
        <f ca="1">IFERROR(__xludf.DUMMYFUNCTION("""COMPUTED_VALUE"""),10)</f>
        <v>10</v>
      </c>
      <c r="D1499" s="118" t="str">
        <f ca="1">IFERROR(__xludf.DUMMYFUNCTION("""COMPUTED_VALUE"""),"G")</f>
        <v>G</v>
      </c>
      <c r="E1499" s="118" t="str">
        <f ca="1">IFERROR(__xludf.DUMMYFUNCTION("""COMPUTED_VALUE"""),"F")</f>
        <v>F</v>
      </c>
      <c r="F1499" s="118" t="str">
        <f ca="1">IFERROR(__xludf.DUMMYFUNCTION("""COMPUTED_VALUE"""),"J")</f>
        <v>J</v>
      </c>
      <c r="G1499" s="118">
        <f ca="1">IFERROR(__xludf.DUMMYFUNCTION("""COMPUTED_VALUE"""),6)</f>
        <v>6</v>
      </c>
      <c r="H1499" s="118" t="str">
        <f ca="1">IFERROR(__xludf.DUMMYFUNCTION("""COMPUTED_VALUE"""),"PL")</f>
        <v>PL</v>
      </c>
      <c r="I1499" s="118">
        <f ca="1">IFERROR(__xludf.DUMMYFUNCTION("""COMPUTED_VALUE"""),4)</f>
        <v>4</v>
      </c>
      <c r="J1499" s="118">
        <f ca="1">IFERROR(__xludf.DUMMYFUNCTION("""COMPUTED_VALUE"""),5)</f>
        <v>5</v>
      </c>
      <c r="K1499" s="120">
        <f ca="1">IFERROR(__xludf.DUMMYFUNCTION("""COMPUTED_VALUE"""),61.2)</f>
        <v>61.2</v>
      </c>
      <c r="L1499" s="121"/>
      <c r="M1499" s="120">
        <f ca="1">IFERROR(__xludf.DUMMYFUNCTION("""COMPUTED_VALUE"""),39.45)</f>
        <v>39.450000000000003</v>
      </c>
      <c r="N1499" s="121"/>
      <c r="O1499" s="120">
        <f ca="1">IFERROR(__xludf.DUMMYFUNCTION("""COMPUTED_VALUE"""),61.2)</f>
        <v>61.2</v>
      </c>
      <c r="P1499" s="122"/>
      <c r="Q1499" s="123"/>
      <c r="R1499" s="123"/>
      <c r="S1499" s="123"/>
      <c r="T1499" s="123"/>
    </row>
    <row r="1500" spans="1:20" ht="13.8">
      <c r="A1500" s="118" t="str">
        <f ca="1">IFERROR(__xludf.DUMMYFUNCTION("""COMPUTED_VALUE"""),"PL")</f>
        <v>PL</v>
      </c>
      <c r="B1500" s="119" t="str">
        <f ca="1">IFERROR(__xludf.DUMMYFUNCTION("""COMPUTED_VALUE"""),"Emma Hsai")</f>
        <v>Emma Hsai</v>
      </c>
      <c r="C1500" s="118">
        <f ca="1">IFERROR(__xludf.DUMMYFUNCTION("""COMPUTED_VALUE"""),8)</f>
        <v>8</v>
      </c>
      <c r="D1500" s="118" t="str">
        <f ca="1">IFERROR(__xludf.DUMMYFUNCTION("""COMPUTED_VALUE"""),"G")</f>
        <v>G</v>
      </c>
      <c r="E1500" s="118" t="str">
        <f ca="1">IFERROR(__xludf.DUMMYFUNCTION("""COMPUTED_VALUE"""),"F")</f>
        <v>F</v>
      </c>
      <c r="F1500" s="118" t="str">
        <f ca="1">IFERROR(__xludf.DUMMYFUNCTION("""COMPUTED_VALUE"""),"J")</f>
        <v>J</v>
      </c>
      <c r="G1500" s="118">
        <f ca="1">IFERROR(__xludf.DUMMYFUNCTION("""COMPUTED_VALUE"""),6)</f>
        <v>6</v>
      </c>
      <c r="H1500" s="118" t="str">
        <f ca="1">IFERROR(__xludf.DUMMYFUNCTION("""COMPUTED_VALUE"""),"PL")</f>
        <v>PL</v>
      </c>
      <c r="I1500" s="118">
        <f ca="1">IFERROR(__xludf.DUMMYFUNCTION("""COMPUTED_VALUE"""),4)</f>
        <v>4</v>
      </c>
      <c r="J1500" s="118">
        <f ca="1">IFERROR(__xludf.DUMMYFUNCTION("""COMPUTED_VALUE"""),4)</f>
        <v>4</v>
      </c>
      <c r="K1500" s="120">
        <f ca="1">IFERROR(__xludf.DUMMYFUNCTION("""COMPUTED_VALUE"""),37.4)</f>
        <v>37.4</v>
      </c>
      <c r="L1500" s="121"/>
      <c r="M1500" s="120"/>
      <c r="N1500" s="121"/>
      <c r="O1500" s="120">
        <f ca="1">IFERROR(__xludf.DUMMYFUNCTION("""COMPUTED_VALUE"""),33.2)</f>
        <v>33.200000000000003</v>
      </c>
      <c r="P1500" s="122"/>
      <c r="Q1500" s="123"/>
      <c r="R1500" s="123"/>
      <c r="S1500" s="123"/>
      <c r="T1500" s="123"/>
    </row>
    <row r="1501" spans="1:20" ht="13.8">
      <c r="A1501" s="118" t="str">
        <f ca="1">IFERROR(__xludf.DUMMYFUNCTION("""COMPUTED_VALUE"""),"PL")</f>
        <v>PL</v>
      </c>
      <c r="B1501" s="119" t="str">
        <f ca="1">IFERROR(__xludf.DUMMYFUNCTION("""COMPUTED_VALUE"""),"Stella Tuttle")</f>
        <v>Stella Tuttle</v>
      </c>
      <c r="C1501" s="118">
        <f ca="1">IFERROR(__xludf.DUMMYFUNCTION("""COMPUTED_VALUE"""),10)</f>
        <v>10</v>
      </c>
      <c r="D1501" s="118" t="str">
        <f ca="1">IFERROR(__xludf.DUMMYFUNCTION("""COMPUTED_VALUE"""),"G")</f>
        <v>G</v>
      </c>
      <c r="E1501" s="118" t="str">
        <f ca="1">IFERROR(__xludf.DUMMYFUNCTION("""COMPUTED_VALUE"""),"F")</f>
        <v>F</v>
      </c>
      <c r="F1501" s="118" t="str">
        <f ca="1">IFERROR(__xludf.DUMMYFUNCTION("""COMPUTED_VALUE"""),"J")</f>
        <v>J</v>
      </c>
      <c r="G1501" s="118">
        <f ca="1">IFERROR(__xludf.DUMMYFUNCTION("""COMPUTED_VALUE"""),6)</f>
        <v>6</v>
      </c>
      <c r="H1501" s="118" t="str">
        <f ca="1">IFERROR(__xludf.DUMMYFUNCTION("""COMPUTED_VALUE"""),"PL")</f>
        <v>PL</v>
      </c>
      <c r="I1501" s="118">
        <f ca="1">IFERROR(__xludf.DUMMYFUNCTION("""COMPUTED_VALUE"""),4)</f>
        <v>4</v>
      </c>
      <c r="J1501" s="118">
        <f ca="1">IFERROR(__xludf.DUMMYFUNCTION("""COMPUTED_VALUE"""),2)</f>
        <v>2</v>
      </c>
      <c r="K1501" s="120">
        <f ca="1">IFERROR(__xludf.DUMMYFUNCTION("""COMPUTED_VALUE"""),28.85)</f>
        <v>28.85</v>
      </c>
      <c r="L1501" s="121"/>
      <c r="M1501" s="120"/>
      <c r="N1501" s="121"/>
      <c r="O1501" s="120"/>
      <c r="P1501" s="122"/>
      <c r="Q1501" s="123"/>
      <c r="R1501" s="123"/>
      <c r="S1501" s="123"/>
      <c r="T1501" s="123"/>
    </row>
    <row r="1502" spans="1:20" ht="13.8">
      <c r="A1502" s="118" t="str">
        <f ca="1">IFERROR(__xludf.DUMMYFUNCTION("""COMPUTED_VALUE"""),"PL")</f>
        <v>PL</v>
      </c>
      <c r="B1502" s="119" t="str">
        <f ca="1">IFERROR(__xludf.DUMMYFUNCTION("""COMPUTED_VALUE"""),"Archie Wiedemann")</f>
        <v>Archie Wiedemann</v>
      </c>
      <c r="C1502" s="118">
        <f ca="1">IFERROR(__xludf.DUMMYFUNCTION("""COMPUTED_VALUE"""),10)</f>
        <v>10</v>
      </c>
      <c r="D1502" s="118" t="str">
        <f ca="1">IFERROR(__xludf.DUMMYFUNCTION("""COMPUTED_VALUE"""),"B")</f>
        <v>B</v>
      </c>
      <c r="E1502" s="118" t="str">
        <f ca="1">IFERROR(__xludf.DUMMYFUNCTION("""COMPUTED_VALUE"""),"F")</f>
        <v>F</v>
      </c>
      <c r="F1502" s="118" t="str">
        <f ca="1">IFERROR(__xludf.DUMMYFUNCTION("""COMPUTED_VALUE"""),"J")</f>
        <v>J</v>
      </c>
      <c r="G1502" s="118">
        <f ca="1">IFERROR(__xludf.DUMMYFUNCTION("""COMPUTED_VALUE"""),6)</f>
        <v>6</v>
      </c>
      <c r="H1502" s="118" t="str">
        <f ca="1">IFERROR(__xludf.DUMMYFUNCTION("""COMPUTED_VALUE"""),"PL")</f>
        <v>PL</v>
      </c>
      <c r="I1502" s="118">
        <f ca="1">IFERROR(__xludf.DUMMYFUNCTION("""COMPUTED_VALUE"""),5)</f>
        <v>5</v>
      </c>
      <c r="J1502" s="118">
        <f ca="1">IFERROR(__xludf.DUMMYFUNCTION("""COMPUTED_VALUE"""),5)</f>
        <v>5</v>
      </c>
      <c r="K1502" s="120">
        <f ca="1">IFERROR(__xludf.DUMMYFUNCTION("""COMPUTED_VALUE"""),77.3)</f>
        <v>77.3</v>
      </c>
      <c r="L1502" s="121"/>
      <c r="M1502" s="120">
        <f ca="1">IFERROR(__xludf.DUMMYFUNCTION("""COMPUTED_VALUE"""),67.65)</f>
        <v>67.650000000000006</v>
      </c>
      <c r="N1502" s="121"/>
      <c r="O1502" s="120">
        <f ca="1">IFERROR(__xludf.DUMMYFUNCTION("""COMPUTED_VALUE"""),60.6)</f>
        <v>60.6</v>
      </c>
      <c r="P1502" s="122"/>
      <c r="Q1502" s="123"/>
      <c r="R1502" s="123"/>
      <c r="S1502" s="123"/>
      <c r="T1502" s="123"/>
    </row>
    <row r="1503" spans="1:20" ht="13.8">
      <c r="A1503" s="118" t="str">
        <f ca="1">IFERROR(__xludf.DUMMYFUNCTION("""COMPUTED_VALUE"""),"PL")</f>
        <v>PL</v>
      </c>
      <c r="B1503" s="119" t="str">
        <f ca="1">IFERROR(__xludf.DUMMYFUNCTION("""COMPUTED_VALUE"""),"Cameron Effgen")</f>
        <v>Cameron Effgen</v>
      </c>
      <c r="C1503" s="118">
        <f ca="1">IFERROR(__xludf.DUMMYFUNCTION("""COMPUTED_VALUE"""),10)</f>
        <v>10</v>
      </c>
      <c r="D1503" s="118" t="str">
        <f ca="1">IFERROR(__xludf.DUMMYFUNCTION("""COMPUTED_VALUE"""),"B")</f>
        <v>B</v>
      </c>
      <c r="E1503" s="118" t="str">
        <f ca="1">IFERROR(__xludf.DUMMYFUNCTION("""COMPUTED_VALUE"""),"F")</f>
        <v>F</v>
      </c>
      <c r="F1503" s="118" t="str">
        <f ca="1">IFERROR(__xludf.DUMMYFUNCTION("""COMPUTED_VALUE"""),"J")</f>
        <v>J</v>
      </c>
      <c r="G1503" s="118">
        <f ca="1">IFERROR(__xludf.DUMMYFUNCTION("""COMPUTED_VALUE"""),6)</f>
        <v>6</v>
      </c>
      <c r="H1503" s="118" t="str">
        <f ca="1">IFERROR(__xludf.DUMMYFUNCTION("""COMPUTED_VALUE"""),"PL")</f>
        <v>PL</v>
      </c>
      <c r="I1503" s="118">
        <f ca="1">IFERROR(__xludf.DUMMYFUNCTION("""COMPUTED_VALUE"""),5)</f>
        <v>5</v>
      </c>
      <c r="J1503" s="118">
        <f ca="1">IFERROR(__xludf.DUMMYFUNCTION("""COMPUTED_VALUE"""),5)</f>
        <v>5</v>
      </c>
      <c r="K1503" s="120">
        <f ca="1">IFERROR(__xludf.DUMMYFUNCTION("""COMPUTED_VALUE"""),54.1)</f>
        <v>54.1</v>
      </c>
      <c r="L1503" s="121"/>
      <c r="M1503" s="120">
        <f ca="1">IFERROR(__xludf.DUMMYFUNCTION("""COMPUTED_VALUE"""),47.75)</f>
        <v>47.75</v>
      </c>
      <c r="N1503" s="121"/>
      <c r="O1503" s="120">
        <f ca="1">IFERROR(__xludf.DUMMYFUNCTION("""COMPUTED_VALUE"""),51.6)</f>
        <v>51.6</v>
      </c>
      <c r="P1503" s="122"/>
      <c r="Q1503" s="123"/>
      <c r="R1503" s="123"/>
      <c r="S1503" s="123"/>
      <c r="T1503" s="123"/>
    </row>
    <row r="1504" spans="1:20" ht="13.8">
      <c r="A1504" s="118" t="str">
        <f ca="1">IFERROR(__xludf.DUMMYFUNCTION("""COMPUTED_VALUE"""),"PL")</f>
        <v>PL</v>
      </c>
      <c r="B1504" s="119" t="str">
        <f ca="1">IFERROR(__xludf.DUMMYFUNCTION("""COMPUTED_VALUE"""),"David McArdle")</f>
        <v>David McArdle</v>
      </c>
      <c r="C1504" s="118">
        <f ca="1">IFERROR(__xludf.DUMMYFUNCTION("""COMPUTED_VALUE"""),8)</f>
        <v>8</v>
      </c>
      <c r="D1504" s="118" t="str">
        <f ca="1">IFERROR(__xludf.DUMMYFUNCTION("""COMPUTED_VALUE"""),"B")</f>
        <v>B</v>
      </c>
      <c r="E1504" s="118" t="str">
        <f ca="1">IFERROR(__xludf.DUMMYFUNCTION("""COMPUTED_VALUE"""),"F")</f>
        <v>F</v>
      </c>
      <c r="F1504" s="118" t="str">
        <f ca="1">IFERROR(__xludf.DUMMYFUNCTION("""COMPUTED_VALUE"""),"J")</f>
        <v>J</v>
      </c>
      <c r="G1504" s="118">
        <f ca="1">IFERROR(__xludf.DUMMYFUNCTION("""COMPUTED_VALUE"""),6)</f>
        <v>6</v>
      </c>
      <c r="H1504" s="118" t="str">
        <f ca="1">IFERROR(__xludf.DUMMYFUNCTION("""COMPUTED_VALUE"""),"PL")</f>
        <v>PL</v>
      </c>
      <c r="I1504" s="118">
        <f ca="1">IFERROR(__xludf.DUMMYFUNCTION("""COMPUTED_VALUE"""),5)</f>
        <v>5</v>
      </c>
      <c r="J1504" s="118">
        <f ca="1">IFERROR(__xludf.DUMMYFUNCTION("""COMPUTED_VALUE"""),3)</f>
        <v>3</v>
      </c>
      <c r="K1504" s="120">
        <f ca="1">IFERROR(__xludf.DUMMYFUNCTION("""COMPUTED_VALUE"""),38.65)</f>
        <v>38.65</v>
      </c>
      <c r="L1504" s="121"/>
      <c r="M1504" s="120">
        <f ca="1">IFERROR(__xludf.DUMMYFUNCTION("""COMPUTED_VALUE"""),33.3)</f>
        <v>33.299999999999997</v>
      </c>
      <c r="N1504" s="121"/>
      <c r="O1504" s="120">
        <f ca="1">IFERROR(__xludf.DUMMYFUNCTION("""COMPUTED_VALUE"""),38.65)</f>
        <v>38.65</v>
      </c>
      <c r="P1504" s="122"/>
      <c r="Q1504" s="123"/>
      <c r="R1504" s="123"/>
      <c r="S1504" s="123"/>
      <c r="T1504" s="123"/>
    </row>
    <row r="1505" spans="1:20" ht="13.8">
      <c r="A1505" s="118" t="str">
        <f ca="1">IFERROR(__xludf.DUMMYFUNCTION("""COMPUTED_VALUE"""),"PL")</f>
        <v>PL</v>
      </c>
      <c r="B1505" s="119" t="str">
        <f ca="1">IFERROR(__xludf.DUMMYFUNCTION("""COMPUTED_VALUE"""),"Jackson Lopez")</f>
        <v>Jackson Lopez</v>
      </c>
      <c r="C1505" s="118">
        <f ca="1">IFERROR(__xludf.DUMMYFUNCTION("""COMPUTED_VALUE"""),8)</f>
        <v>8</v>
      </c>
      <c r="D1505" s="118" t="str">
        <f ca="1">IFERROR(__xludf.DUMMYFUNCTION("""COMPUTED_VALUE"""),"B")</f>
        <v>B</v>
      </c>
      <c r="E1505" s="118" t="str">
        <f ca="1">IFERROR(__xludf.DUMMYFUNCTION("""COMPUTED_VALUE"""),"F")</f>
        <v>F</v>
      </c>
      <c r="F1505" s="118" t="str">
        <f ca="1">IFERROR(__xludf.DUMMYFUNCTION("""COMPUTED_VALUE"""),"J")</f>
        <v>J</v>
      </c>
      <c r="G1505" s="118">
        <f ca="1">IFERROR(__xludf.DUMMYFUNCTION("""COMPUTED_VALUE"""),6)</f>
        <v>6</v>
      </c>
      <c r="H1505" s="118" t="str">
        <f ca="1">IFERROR(__xludf.DUMMYFUNCTION("""COMPUTED_VALUE"""),"PL")</f>
        <v>PL</v>
      </c>
      <c r="I1505" s="118">
        <f ca="1">IFERROR(__xludf.DUMMYFUNCTION("""COMPUTED_VALUE"""),5)</f>
        <v>5</v>
      </c>
      <c r="J1505" s="118">
        <f ca="1">IFERROR(__xludf.DUMMYFUNCTION("""COMPUTED_VALUE"""),5)</f>
        <v>5</v>
      </c>
      <c r="K1505" s="120">
        <f ca="1">IFERROR(__xludf.DUMMYFUNCTION("""COMPUTED_VALUE"""),62.9)</f>
        <v>62.9</v>
      </c>
      <c r="L1505" s="121"/>
      <c r="M1505" s="120">
        <f ca="1">IFERROR(__xludf.DUMMYFUNCTION("""COMPUTED_VALUE"""),34.25)</f>
        <v>34.25</v>
      </c>
      <c r="N1505" s="121"/>
      <c r="O1505" s="120">
        <f ca="1">IFERROR(__xludf.DUMMYFUNCTION("""COMPUTED_VALUE"""),44.8)</f>
        <v>44.8</v>
      </c>
      <c r="P1505" s="122"/>
      <c r="Q1505" s="123"/>
      <c r="R1505" s="123"/>
      <c r="S1505" s="123"/>
      <c r="T1505" s="123"/>
    </row>
    <row r="1506" spans="1:20" ht="13.8">
      <c r="A1506" s="118" t="str">
        <f ca="1">IFERROR(__xludf.DUMMYFUNCTION("""COMPUTED_VALUE"""),"PL")</f>
        <v>PL</v>
      </c>
      <c r="B1506" s="119" t="str">
        <f ca="1">IFERROR(__xludf.DUMMYFUNCTION("""COMPUTED_VALUE"""),"Micah Hsai")</f>
        <v>Micah Hsai</v>
      </c>
      <c r="C1506" s="118">
        <f ca="1">IFERROR(__xludf.DUMMYFUNCTION("""COMPUTED_VALUE"""),9)</f>
        <v>9</v>
      </c>
      <c r="D1506" s="118" t="str">
        <f ca="1">IFERROR(__xludf.DUMMYFUNCTION("""COMPUTED_VALUE"""),"B")</f>
        <v>B</v>
      </c>
      <c r="E1506" s="118" t="str">
        <f ca="1">IFERROR(__xludf.DUMMYFUNCTION("""COMPUTED_VALUE"""),"F")</f>
        <v>F</v>
      </c>
      <c r="F1506" s="118" t="str">
        <f ca="1">IFERROR(__xludf.DUMMYFUNCTION("""COMPUTED_VALUE"""),"J")</f>
        <v>J</v>
      </c>
      <c r="G1506" s="118">
        <f ca="1">IFERROR(__xludf.DUMMYFUNCTION("""COMPUTED_VALUE"""),6)</f>
        <v>6</v>
      </c>
      <c r="H1506" s="118" t="str">
        <f ca="1">IFERROR(__xludf.DUMMYFUNCTION("""COMPUTED_VALUE"""),"PL")</f>
        <v>PL</v>
      </c>
      <c r="I1506" s="118">
        <f ca="1">IFERROR(__xludf.DUMMYFUNCTION("""COMPUTED_VALUE"""),5)</f>
        <v>5</v>
      </c>
      <c r="J1506" s="118">
        <f ca="1">IFERROR(__xludf.DUMMYFUNCTION("""COMPUTED_VALUE"""),4)</f>
        <v>4</v>
      </c>
      <c r="K1506" s="120">
        <f ca="1">IFERROR(__xludf.DUMMYFUNCTION("""COMPUTED_VALUE"""),51.55)</f>
        <v>51.55</v>
      </c>
      <c r="L1506" s="121"/>
      <c r="M1506" s="120"/>
      <c r="N1506" s="121"/>
      <c r="O1506" s="120">
        <f ca="1">IFERROR(__xludf.DUMMYFUNCTION("""COMPUTED_VALUE"""),42.5)</f>
        <v>42.5</v>
      </c>
      <c r="P1506" s="122"/>
      <c r="Q1506" s="123"/>
      <c r="R1506" s="123"/>
      <c r="S1506" s="123"/>
      <c r="T1506" s="123"/>
    </row>
    <row r="1507" spans="1:20" ht="13.8">
      <c r="A1507" s="118" t="str">
        <f ca="1">IFERROR(__xludf.DUMMYFUNCTION("""COMPUTED_VALUE"""),"PL")</f>
        <v>PL</v>
      </c>
      <c r="B1507" s="119" t="str">
        <f ca="1">IFERROR(__xludf.DUMMYFUNCTION("""COMPUTED_VALUE"""),"Preston Tuttle")</f>
        <v>Preston Tuttle</v>
      </c>
      <c r="C1507" s="118">
        <f ca="1">IFERROR(__xludf.DUMMYFUNCTION("""COMPUTED_VALUE"""),8)</f>
        <v>8</v>
      </c>
      <c r="D1507" s="118" t="str">
        <f ca="1">IFERROR(__xludf.DUMMYFUNCTION("""COMPUTED_VALUE"""),"B")</f>
        <v>B</v>
      </c>
      <c r="E1507" s="118" t="str">
        <f ca="1">IFERROR(__xludf.DUMMYFUNCTION("""COMPUTED_VALUE"""),"F")</f>
        <v>F</v>
      </c>
      <c r="F1507" s="118" t="str">
        <f ca="1">IFERROR(__xludf.DUMMYFUNCTION("""COMPUTED_VALUE"""),"J")</f>
        <v>J</v>
      </c>
      <c r="G1507" s="118">
        <f ca="1">IFERROR(__xludf.DUMMYFUNCTION("""COMPUTED_VALUE"""),6)</f>
        <v>6</v>
      </c>
      <c r="H1507" s="118" t="str">
        <f ca="1">IFERROR(__xludf.DUMMYFUNCTION("""COMPUTED_VALUE"""),"PL")</f>
        <v>PL</v>
      </c>
      <c r="I1507" s="118">
        <f ca="1">IFERROR(__xludf.DUMMYFUNCTION("""COMPUTED_VALUE"""),5)</f>
        <v>5</v>
      </c>
      <c r="J1507" s="118">
        <f ca="1">IFERROR(__xludf.DUMMYFUNCTION("""COMPUTED_VALUE"""),1)</f>
        <v>1</v>
      </c>
      <c r="K1507" s="120">
        <f ca="1">IFERROR(__xludf.DUMMYFUNCTION("""COMPUTED_VALUE"""),23.8)</f>
        <v>23.8</v>
      </c>
      <c r="L1507" s="121"/>
      <c r="M1507" s="120">
        <f ca="1">IFERROR(__xludf.DUMMYFUNCTION("""COMPUTED_VALUE"""),23.8)</f>
        <v>23.8</v>
      </c>
      <c r="N1507" s="121"/>
      <c r="O1507" s="120"/>
      <c r="P1507" s="122"/>
      <c r="Q1507" s="123"/>
      <c r="R1507" s="123"/>
      <c r="S1507" s="123"/>
      <c r="T1507" s="123"/>
    </row>
    <row r="1508" spans="1:20" ht="13.8">
      <c r="A1508" s="118" t="str">
        <f ca="1">IFERROR(__xludf.DUMMYFUNCTION("""COMPUTED_VALUE"""),"PL")</f>
        <v>PL</v>
      </c>
      <c r="B1508" s="119" t="str">
        <f ca="1">IFERROR(__xludf.DUMMYFUNCTION("""COMPUTED_VALUE"""),"Wystan Kyser")</f>
        <v>Wystan Kyser</v>
      </c>
      <c r="C1508" s="118">
        <f ca="1">IFERROR(__xludf.DUMMYFUNCTION("""COMPUTED_VALUE"""),9)</f>
        <v>9</v>
      </c>
      <c r="D1508" s="118" t="str">
        <f ca="1">IFERROR(__xludf.DUMMYFUNCTION("""COMPUTED_VALUE"""),"B")</f>
        <v>B</v>
      </c>
      <c r="E1508" s="118" t="str">
        <f ca="1">IFERROR(__xludf.DUMMYFUNCTION("""COMPUTED_VALUE"""),"F")</f>
        <v>F</v>
      </c>
      <c r="F1508" s="118" t="str">
        <f ca="1">IFERROR(__xludf.DUMMYFUNCTION("""COMPUTED_VALUE"""),"J")</f>
        <v>J</v>
      </c>
      <c r="G1508" s="118">
        <f ca="1">IFERROR(__xludf.DUMMYFUNCTION("""COMPUTED_VALUE"""),6)</f>
        <v>6</v>
      </c>
      <c r="H1508" s="118" t="str">
        <f ca="1">IFERROR(__xludf.DUMMYFUNCTION("""COMPUTED_VALUE"""),"PL")</f>
        <v>PL</v>
      </c>
      <c r="I1508" s="118">
        <f ca="1">IFERROR(__xludf.DUMMYFUNCTION("""COMPUTED_VALUE"""),5)</f>
        <v>5</v>
      </c>
      <c r="J1508" s="118">
        <f ca="1">IFERROR(__xludf.DUMMYFUNCTION("""COMPUTED_VALUE"""),0)</f>
        <v>0</v>
      </c>
      <c r="K1508" s="120"/>
      <c r="L1508" s="121"/>
      <c r="M1508" s="120"/>
      <c r="N1508" s="121"/>
      <c r="O1508" s="120"/>
      <c r="P1508" s="122"/>
      <c r="Q1508" s="123"/>
      <c r="R1508" s="123"/>
      <c r="S1508" s="123"/>
      <c r="T1508" s="123"/>
    </row>
    <row r="1509" spans="1:20" ht="13.8">
      <c r="A1509" s="118" t="str">
        <f ca="1">IFERROR(__xludf.DUMMYFUNCTION("""COMPUTED_VALUE"""),"PL")</f>
        <v>PL</v>
      </c>
      <c r="B1509" s="119" t="str">
        <f ca="1">IFERROR(__xludf.DUMMYFUNCTION("""COMPUTED_VALUE"""),"Annabel Manegold")</f>
        <v>Annabel Manegold</v>
      </c>
      <c r="C1509" s="118">
        <f ca="1">IFERROR(__xludf.DUMMYFUNCTION("""COMPUTED_VALUE"""),11)</f>
        <v>11</v>
      </c>
      <c r="D1509" s="118" t="str">
        <f ca="1">IFERROR(__xludf.DUMMYFUNCTION("""COMPUTED_VALUE"""),"G")</f>
        <v>G</v>
      </c>
      <c r="E1509" s="118" t="str">
        <f ca="1">IFERROR(__xludf.DUMMYFUNCTION("""COMPUTED_VALUE"""),"J")</f>
        <v>J</v>
      </c>
      <c r="F1509" s="118" t="str">
        <f ca="1">IFERROR(__xludf.DUMMYFUNCTION("""COMPUTED_VALUE"""),"I")</f>
        <v>I</v>
      </c>
      <c r="G1509" s="118">
        <f ca="1">IFERROR(__xludf.DUMMYFUNCTION("""COMPUTED_VALUE"""),6)</f>
        <v>6</v>
      </c>
      <c r="H1509" s="118" t="str">
        <f ca="1">IFERROR(__xludf.DUMMYFUNCTION("""COMPUTED_VALUE"""),"PL")</f>
        <v>PL</v>
      </c>
      <c r="I1509" s="118">
        <f ca="1">IFERROR(__xludf.DUMMYFUNCTION("""COMPUTED_VALUE"""),6)</f>
        <v>6</v>
      </c>
      <c r="J1509" s="118">
        <f ca="1">IFERROR(__xludf.DUMMYFUNCTION("""COMPUTED_VALUE"""),5)</f>
        <v>5</v>
      </c>
      <c r="K1509" s="120">
        <f ca="1">IFERROR(__xludf.DUMMYFUNCTION("""COMPUTED_VALUE"""),57.8)</f>
        <v>57.8</v>
      </c>
      <c r="L1509" s="121"/>
      <c r="M1509" s="120">
        <f ca="1">IFERROR(__xludf.DUMMYFUNCTION("""COMPUTED_VALUE"""),54.25)</f>
        <v>54.25</v>
      </c>
      <c r="N1509" s="121"/>
      <c r="O1509" s="120">
        <f ca="1">IFERROR(__xludf.DUMMYFUNCTION("""COMPUTED_VALUE"""),56.85)</f>
        <v>56.85</v>
      </c>
      <c r="P1509" s="122"/>
      <c r="Q1509" s="123"/>
      <c r="R1509" s="123"/>
      <c r="S1509" s="123"/>
      <c r="T1509" s="123"/>
    </row>
    <row r="1510" spans="1:20" ht="13.8">
      <c r="A1510" s="118" t="str">
        <f ca="1">IFERROR(__xludf.DUMMYFUNCTION("""COMPUTED_VALUE"""),"PL")</f>
        <v>PL</v>
      </c>
      <c r="B1510" s="119" t="str">
        <f ca="1">IFERROR(__xludf.DUMMYFUNCTION("""COMPUTED_VALUE"""),"Charlotte Hill")</f>
        <v>Charlotte Hill</v>
      </c>
      <c r="C1510" s="118">
        <f ca="1">IFERROR(__xludf.DUMMYFUNCTION("""COMPUTED_VALUE"""),12)</f>
        <v>12</v>
      </c>
      <c r="D1510" s="118" t="str">
        <f ca="1">IFERROR(__xludf.DUMMYFUNCTION("""COMPUTED_VALUE"""),"G")</f>
        <v>G</v>
      </c>
      <c r="E1510" s="118" t="str">
        <f ca="1">IFERROR(__xludf.DUMMYFUNCTION("""COMPUTED_VALUE"""),"J")</f>
        <v>J</v>
      </c>
      <c r="F1510" s="118" t="str">
        <f ca="1">IFERROR(__xludf.DUMMYFUNCTION("""COMPUTED_VALUE"""),"I")</f>
        <v>I</v>
      </c>
      <c r="G1510" s="118">
        <f ca="1">IFERROR(__xludf.DUMMYFUNCTION("""COMPUTED_VALUE"""),6)</f>
        <v>6</v>
      </c>
      <c r="H1510" s="118" t="str">
        <f ca="1">IFERROR(__xludf.DUMMYFUNCTION("""COMPUTED_VALUE"""),"PL")</f>
        <v>PL</v>
      </c>
      <c r="I1510" s="118">
        <f ca="1">IFERROR(__xludf.DUMMYFUNCTION("""COMPUTED_VALUE"""),6)</f>
        <v>6</v>
      </c>
      <c r="J1510" s="118">
        <f ca="1">IFERROR(__xludf.DUMMYFUNCTION("""COMPUTED_VALUE"""),5)</f>
        <v>5</v>
      </c>
      <c r="K1510" s="120">
        <f ca="1">IFERROR(__xludf.DUMMYFUNCTION("""COMPUTED_VALUE"""),127.65)</f>
        <v>127.65</v>
      </c>
      <c r="L1510" s="121"/>
      <c r="M1510" s="120">
        <f ca="1">IFERROR(__xludf.DUMMYFUNCTION("""COMPUTED_VALUE"""),111.65)</f>
        <v>111.65</v>
      </c>
      <c r="N1510" s="121"/>
      <c r="O1510" s="120">
        <f ca="1">IFERROR(__xludf.DUMMYFUNCTION("""COMPUTED_VALUE"""),105.9)</f>
        <v>105.9</v>
      </c>
      <c r="P1510" s="122"/>
      <c r="Q1510" s="123"/>
      <c r="R1510" s="123"/>
      <c r="S1510" s="123"/>
      <c r="T1510" s="123"/>
    </row>
    <row r="1511" spans="1:20" ht="13.8">
      <c r="A1511" s="118" t="str">
        <f ca="1">IFERROR(__xludf.DUMMYFUNCTION("""COMPUTED_VALUE"""),"PL")</f>
        <v>PL</v>
      </c>
      <c r="B1511" s="119" t="str">
        <f ca="1">IFERROR(__xludf.DUMMYFUNCTION("""COMPUTED_VALUE"""),"Kerrington Supple")</f>
        <v>Kerrington Supple</v>
      </c>
      <c r="C1511" s="118">
        <f ca="1">IFERROR(__xludf.DUMMYFUNCTION("""COMPUTED_VALUE"""),12)</f>
        <v>12</v>
      </c>
      <c r="D1511" s="118" t="str">
        <f ca="1">IFERROR(__xludf.DUMMYFUNCTION("""COMPUTED_VALUE"""),"G")</f>
        <v>G</v>
      </c>
      <c r="E1511" s="118" t="str">
        <f ca="1">IFERROR(__xludf.DUMMYFUNCTION("""COMPUTED_VALUE"""),"J")</f>
        <v>J</v>
      </c>
      <c r="F1511" s="118" t="str">
        <f ca="1">IFERROR(__xludf.DUMMYFUNCTION("""COMPUTED_VALUE"""),"I")</f>
        <v>I</v>
      </c>
      <c r="G1511" s="118">
        <f ca="1">IFERROR(__xludf.DUMMYFUNCTION("""COMPUTED_VALUE"""),6)</f>
        <v>6</v>
      </c>
      <c r="H1511" s="118" t="str">
        <f ca="1">IFERROR(__xludf.DUMMYFUNCTION("""COMPUTED_VALUE"""),"PL")</f>
        <v>PL</v>
      </c>
      <c r="I1511" s="118">
        <f ca="1">IFERROR(__xludf.DUMMYFUNCTION("""COMPUTED_VALUE"""),6)</f>
        <v>6</v>
      </c>
      <c r="J1511" s="118">
        <f ca="1">IFERROR(__xludf.DUMMYFUNCTION("""COMPUTED_VALUE"""),5)</f>
        <v>5</v>
      </c>
      <c r="K1511" s="120">
        <f ca="1">IFERROR(__xludf.DUMMYFUNCTION("""COMPUTED_VALUE"""),89.35)</f>
        <v>89.35</v>
      </c>
      <c r="L1511" s="121"/>
      <c r="M1511" s="120">
        <f ca="1">IFERROR(__xludf.DUMMYFUNCTION("""COMPUTED_VALUE"""),87)</f>
        <v>87</v>
      </c>
      <c r="N1511" s="121"/>
      <c r="O1511" s="120">
        <f ca="1">IFERROR(__xludf.DUMMYFUNCTION("""COMPUTED_VALUE"""),77.6)</f>
        <v>77.599999999999994</v>
      </c>
      <c r="P1511" s="122"/>
      <c r="Q1511" s="123"/>
      <c r="R1511" s="123"/>
      <c r="S1511" s="123"/>
      <c r="T1511" s="123"/>
    </row>
    <row r="1512" spans="1:20" ht="13.8">
      <c r="A1512" s="118" t="str">
        <f ca="1">IFERROR(__xludf.DUMMYFUNCTION("""COMPUTED_VALUE"""),"PL")</f>
        <v>PL</v>
      </c>
      <c r="B1512" s="119" t="str">
        <f ca="1">IFERROR(__xludf.DUMMYFUNCTION("""COMPUTED_VALUE"""),"Lucy McArdle")</f>
        <v>Lucy McArdle</v>
      </c>
      <c r="C1512" s="118">
        <f ca="1">IFERROR(__xludf.DUMMYFUNCTION("""COMPUTED_VALUE"""),11)</f>
        <v>11</v>
      </c>
      <c r="D1512" s="118" t="str">
        <f ca="1">IFERROR(__xludf.DUMMYFUNCTION("""COMPUTED_VALUE"""),"G")</f>
        <v>G</v>
      </c>
      <c r="E1512" s="118" t="str">
        <f ca="1">IFERROR(__xludf.DUMMYFUNCTION("""COMPUTED_VALUE"""),"J")</f>
        <v>J</v>
      </c>
      <c r="F1512" s="118" t="str">
        <f ca="1">IFERROR(__xludf.DUMMYFUNCTION("""COMPUTED_VALUE"""),"I")</f>
        <v>I</v>
      </c>
      <c r="G1512" s="118">
        <f ca="1">IFERROR(__xludf.DUMMYFUNCTION("""COMPUTED_VALUE"""),6)</f>
        <v>6</v>
      </c>
      <c r="H1512" s="118" t="str">
        <f ca="1">IFERROR(__xludf.DUMMYFUNCTION("""COMPUTED_VALUE"""),"PL")</f>
        <v>PL</v>
      </c>
      <c r="I1512" s="118">
        <f ca="1">IFERROR(__xludf.DUMMYFUNCTION("""COMPUTED_VALUE"""),6)</f>
        <v>6</v>
      </c>
      <c r="J1512" s="118">
        <f ca="1">IFERROR(__xludf.DUMMYFUNCTION("""COMPUTED_VALUE"""),3)</f>
        <v>3</v>
      </c>
      <c r="K1512" s="120">
        <f ca="1">IFERROR(__xludf.DUMMYFUNCTION("""COMPUTED_VALUE"""),71.6)</f>
        <v>71.599999999999994</v>
      </c>
      <c r="L1512" s="121"/>
      <c r="M1512" s="120">
        <f ca="1">IFERROR(__xludf.DUMMYFUNCTION("""COMPUTED_VALUE"""),64.8)</f>
        <v>64.8</v>
      </c>
      <c r="N1512" s="121"/>
      <c r="O1512" s="120">
        <f ca="1">IFERROR(__xludf.DUMMYFUNCTION("""COMPUTED_VALUE"""),71.6)</f>
        <v>71.599999999999994</v>
      </c>
      <c r="P1512" s="122"/>
      <c r="Q1512" s="123"/>
      <c r="R1512" s="123"/>
      <c r="S1512" s="123"/>
      <c r="T1512" s="123"/>
    </row>
    <row r="1513" spans="1:20" ht="13.8">
      <c r="A1513" s="118" t="str">
        <f ca="1">IFERROR(__xludf.DUMMYFUNCTION("""COMPUTED_VALUE"""),"PL")</f>
        <v>PL</v>
      </c>
      <c r="B1513" s="119" t="str">
        <f ca="1">IFERROR(__xludf.DUMMYFUNCTION("""COMPUTED_VALUE"""),"Cormac Henderson")</f>
        <v>Cormac Henderson</v>
      </c>
      <c r="C1513" s="118">
        <f ca="1">IFERROR(__xludf.DUMMYFUNCTION("""COMPUTED_VALUE"""),11)</f>
        <v>11</v>
      </c>
      <c r="D1513" s="118" t="str">
        <f ca="1">IFERROR(__xludf.DUMMYFUNCTION("""COMPUTED_VALUE"""),"B")</f>
        <v>B</v>
      </c>
      <c r="E1513" s="118" t="str">
        <f ca="1">IFERROR(__xludf.DUMMYFUNCTION("""COMPUTED_VALUE"""),"J")</f>
        <v>J</v>
      </c>
      <c r="F1513" s="118" t="str">
        <f ca="1">IFERROR(__xludf.DUMMYFUNCTION("""COMPUTED_VALUE"""),"I")</f>
        <v>I</v>
      </c>
      <c r="G1513" s="118">
        <f ca="1">IFERROR(__xludf.DUMMYFUNCTION("""COMPUTED_VALUE"""),6)</f>
        <v>6</v>
      </c>
      <c r="H1513" s="118" t="str">
        <f ca="1">IFERROR(__xludf.DUMMYFUNCTION("""COMPUTED_VALUE"""),"PL")</f>
        <v>PL</v>
      </c>
      <c r="I1513" s="118">
        <f ca="1">IFERROR(__xludf.DUMMYFUNCTION("""COMPUTED_VALUE"""),7)</f>
        <v>7</v>
      </c>
      <c r="J1513" s="118">
        <f ca="1">IFERROR(__xludf.DUMMYFUNCTION("""COMPUTED_VALUE"""),4)</f>
        <v>4</v>
      </c>
      <c r="K1513" s="120">
        <f ca="1">IFERROR(__xludf.DUMMYFUNCTION("""COMPUTED_VALUE"""),94.7)</f>
        <v>94.7</v>
      </c>
      <c r="L1513" s="121"/>
      <c r="M1513" s="120">
        <f ca="1">IFERROR(__xludf.DUMMYFUNCTION("""COMPUTED_VALUE"""),90.65)</f>
        <v>90.65</v>
      </c>
      <c r="N1513" s="121"/>
      <c r="O1513" s="120">
        <f ca="1">IFERROR(__xludf.DUMMYFUNCTION("""COMPUTED_VALUE"""),87.95)</f>
        <v>87.95</v>
      </c>
      <c r="P1513" s="122"/>
      <c r="Q1513" s="123"/>
      <c r="R1513" s="123"/>
      <c r="S1513" s="123"/>
      <c r="T1513" s="123"/>
    </row>
    <row r="1514" spans="1:20" ht="13.8">
      <c r="A1514" s="118" t="str">
        <f ca="1">IFERROR(__xludf.DUMMYFUNCTION("""COMPUTED_VALUE"""),"PL")</f>
        <v>PL</v>
      </c>
      <c r="B1514" s="119" t="str">
        <f ca="1">IFERROR(__xludf.DUMMYFUNCTION("""COMPUTED_VALUE"""),"Duncan Carr")</f>
        <v>Duncan Carr</v>
      </c>
      <c r="C1514" s="118">
        <f ca="1">IFERROR(__xludf.DUMMYFUNCTION("""COMPUTED_VALUE"""),11)</f>
        <v>11</v>
      </c>
      <c r="D1514" s="118" t="str">
        <f ca="1">IFERROR(__xludf.DUMMYFUNCTION("""COMPUTED_VALUE"""),"B")</f>
        <v>B</v>
      </c>
      <c r="E1514" s="118" t="str">
        <f ca="1">IFERROR(__xludf.DUMMYFUNCTION("""COMPUTED_VALUE"""),"J")</f>
        <v>J</v>
      </c>
      <c r="F1514" s="118" t="str">
        <f ca="1">IFERROR(__xludf.DUMMYFUNCTION("""COMPUTED_VALUE"""),"I")</f>
        <v>I</v>
      </c>
      <c r="G1514" s="118">
        <f ca="1">IFERROR(__xludf.DUMMYFUNCTION("""COMPUTED_VALUE"""),6)</f>
        <v>6</v>
      </c>
      <c r="H1514" s="118" t="str">
        <f ca="1">IFERROR(__xludf.DUMMYFUNCTION("""COMPUTED_VALUE"""),"PL")</f>
        <v>PL</v>
      </c>
      <c r="I1514" s="118">
        <f ca="1">IFERROR(__xludf.DUMMYFUNCTION("""COMPUTED_VALUE"""),7)</f>
        <v>7</v>
      </c>
      <c r="J1514" s="118">
        <f ca="1">IFERROR(__xludf.DUMMYFUNCTION("""COMPUTED_VALUE"""),0)</f>
        <v>0</v>
      </c>
      <c r="K1514" s="120"/>
      <c r="L1514" s="121"/>
      <c r="M1514" s="120"/>
      <c r="N1514" s="121"/>
      <c r="O1514" s="120"/>
      <c r="P1514" s="122"/>
      <c r="Q1514" s="123"/>
      <c r="R1514" s="123"/>
      <c r="S1514" s="123"/>
      <c r="T1514" s="123"/>
    </row>
    <row r="1515" spans="1:20" ht="13.8">
      <c r="A1515" s="118" t="str">
        <f ca="1">IFERROR(__xludf.DUMMYFUNCTION("""COMPUTED_VALUE"""),"PL")</f>
        <v>PL</v>
      </c>
      <c r="B1515" s="119" t="str">
        <f ca="1">IFERROR(__xludf.DUMMYFUNCTION("""COMPUTED_VALUE"""),"Emmett Wiedemann")</f>
        <v>Emmett Wiedemann</v>
      </c>
      <c r="C1515" s="118">
        <f ca="1">IFERROR(__xludf.DUMMYFUNCTION("""COMPUTED_VALUE"""),12)</f>
        <v>12</v>
      </c>
      <c r="D1515" s="118" t="str">
        <f ca="1">IFERROR(__xludf.DUMMYFUNCTION("""COMPUTED_VALUE"""),"B")</f>
        <v>B</v>
      </c>
      <c r="E1515" s="118" t="str">
        <f ca="1">IFERROR(__xludf.DUMMYFUNCTION("""COMPUTED_VALUE"""),"J")</f>
        <v>J</v>
      </c>
      <c r="F1515" s="118" t="str">
        <f ca="1">IFERROR(__xludf.DUMMYFUNCTION("""COMPUTED_VALUE"""),"I")</f>
        <v>I</v>
      </c>
      <c r="G1515" s="118">
        <f ca="1">IFERROR(__xludf.DUMMYFUNCTION("""COMPUTED_VALUE"""),6)</f>
        <v>6</v>
      </c>
      <c r="H1515" s="118" t="str">
        <f ca="1">IFERROR(__xludf.DUMMYFUNCTION("""COMPUTED_VALUE"""),"PL")</f>
        <v>PL</v>
      </c>
      <c r="I1515" s="118">
        <f ca="1">IFERROR(__xludf.DUMMYFUNCTION("""COMPUTED_VALUE"""),7)</f>
        <v>7</v>
      </c>
      <c r="J1515" s="118">
        <f ca="1">IFERROR(__xludf.DUMMYFUNCTION("""COMPUTED_VALUE"""),4)</f>
        <v>4</v>
      </c>
      <c r="K1515" s="120">
        <f ca="1">IFERROR(__xludf.DUMMYFUNCTION("""COMPUTED_VALUE"""),101.2)</f>
        <v>101.2</v>
      </c>
      <c r="L1515" s="121"/>
      <c r="M1515" s="120">
        <f ca="1">IFERROR(__xludf.DUMMYFUNCTION("""COMPUTED_VALUE"""),79.15)</f>
        <v>79.150000000000006</v>
      </c>
      <c r="N1515" s="121"/>
      <c r="O1515" s="120">
        <f ca="1">IFERROR(__xludf.DUMMYFUNCTION("""COMPUTED_VALUE"""),62.6)</f>
        <v>62.6</v>
      </c>
      <c r="P1515" s="122"/>
      <c r="Q1515" s="123"/>
      <c r="R1515" s="123"/>
      <c r="S1515" s="123"/>
      <c r="T1515" s="123"/>
    </row>
    <row r="1516" spans="1:20" ht="13.8">
      <c r="A1516" s="118" t="str">
        <f ca="1">IFERROR(__xludf.DUMMYFUNCTION("""COMPUTED_VALUE"""),"PL")</f>
        <v>PL</v>
      </c>
      <c r="B1516" s="119" t="str">
        <f ca="1">IFERROR(__xludf.DUMMYFUNCTION("""COMPUTED_VALUE"""),"Gabriel Mesmer")</f>
        <v>Gabriel Mesmer</v>
      </c>
      <c r="C1516" s="118">
        <f ca="1">IFERROR(__xludf.DUMMYFUNCTION("""COMPUTED_VALUE"""),12)</f>
        <v>12</v>
      </c>
      <c r="D1516" s="118" t="str">
        <f ca="1">IFERROR(__xludf.DUMMYFUNCTION("""COMPUTED_VALUE"""),"B")</f>
        <v>B</v>
      </c>
      <c r="E1516" s="118" t="str">
        <f ca="1">IFERROR(__xludf.DUMMYFUNCTION("""COMPUTED_VALUE"""),"J")</f>
        <v>J</v>
      </c>
      <c r="F1516" s="118" t="str">
        <f ca="1">IFERROR(__xludf.DUMMYFUNCTION("""COMPUTED_VALUE"""),"I")</f>
        <v>I</v>
      </c>
      <c r="G1516" s="118">
        <f ca="1">IFERROR(__xludf.DUMMYFUNCTION("""COMPUTED_VALUE"""),6)</f>
        <v>6</v>
      </c>
      <c r="H1516" s="118" t="str">
        <f ca="1">IFERROR(__xludf.DUMMYFUNCTION("""COMPUTED_VALUE"""),"PL")</f>
        <v>PL</v>
      </c>
      <c r="I1516" s="118">
        <f ca="1">IFERROR(__xludf.DUMMYFUNCTION("""COMPUTED_VALUE"""),7)</f>
        <v>7</v>
      </c>
      <c r="J1516" s="118">
        <f ca="1">IFERROR(__xludf.DUMMYFUNCTION("""COMPUTED_VALUE"""),3)</f>
        <v>3</v>
      </c>
      <c r="K1516" s="120">
        <f ca="1">IFERROR(__xludf.DUMMYFUNCTION("""COMPUTED_VALUE"""),66.6)</f>
        <v>66.599999999999994</v>
      </c>
      <c r="L1516" s="121"/>
      <c r="M1516" s="120"/>
      <c r="N1516" s="121"/>
      <c r="O1516" s="120"/>
      <c r="P1516" s="122"/>
      <c r="Q1516" s="123"/>
      <c r="R1516" s="123"/>
      <c r="S1516" s="123"/>
      <c r="T1516" s="123"/>
    </row>
    <row r="1517" spans="1:20" ht="13.8">
      <c r="A1517" s="118" t="str">
        <f ca="1">IFERROR(__xludf.DUMMYFUNCTION("""COMPUTED_VALUE"""),"PL")</f>
        <v>PL</v>
      </c>
      <c r="B1517" s="119" t="str">
        <f ca="1">IFERROR(__xludf.DUMMYFUNCTION("""COMPUTED_VALUE"""),"Mason Iams")</f>
        <v>Mason Iams</v>
      </c>
      <c r="C1517" s="118">
        <f ca="1">IFERROR(__xludf.DUMMYFUNCTION("""COMPUTED_VALUE"""),12)</f>
        <v>12</v>
      </c>
      <c r="D1517" s="118" t="str">
        <f ca="1">IFERROR(__xludf.DUMMYFUNCTION("""COMPUTED_VALUE"""),"B")</f>
        <v>B</v>
      </c>
      <c r="E1517" s="118" t="str">
        <f ca="1">IFERROR(__xludf.DUMMYFUNCTION("""COMPUTED_VALUE"""),"J")</f>
        <v>J</v>
      </c>
      <c r="F1517" s="118" t="str">
        <f ca="1">IFERROR(__xludf.DUMMYFUNCTION("""COMPUTED_VALUE"""),"I")</f>
        <v>I</v>
      </c>
      <c r="G1517" s="118">
        <f ca="1">IFERROR(__xludf.DUMMYFUNCTION("""COMPUTED_VALUE"""),6)</f>
        <v>6</v>
      </c>
      <c r="H1517" s="118" t="str">
        <f ca="1">IFERROR(__xludf.DUMMYFUNCTION("""COMPUTED_VALUE"""),"PL")</f>
        <v>PL</v>
      </c>
      <c r="I1517" s="118">
        <f ca="1">IFERROR(__xludf.DUMMYFUNCTION("""COMPUTED_VALUE"""),7)</f>
        <v>7</v>
      </c>
      <c r="J1517" s="118">
        <f ca="1">IFERROR(__xludf.DUMMYFUNCTION("""COMPUTED_VALUE"""),2)</f>
        <v>2</v>
      </c>
      <c r="K1517" s="120">
        <f ca="1">IFERROR(__xludf.DUMMYFUNCTION("""COMPUTED_VALUE"""),82.15)</f>
        <v>82.15</v>
      </c>
      <c r="L1517" s="121"/>
      <c r="M1517" s="120"/>
      <c r="N1517" s="121"/>
      <c r="O1517" s="120">
        <f ca="1">IFERROR(__xludf.DUMMYFUNCTION("""COMPUTED_VALUE"""),72.3)</f>
        <v>72.3</v>
      </c>
      <c r="P1517" s="122"/>
      <c r="Q1517" s="123"/>
      <c r="R1517" s="123"/>
      <c r="S1517" s="123"/>
      <c r="T1517" s="123"/>
    </row>
    <row r="1518" spans="1:20" ht="13.8">
      <c r="A1518" s="118" t="str">
        <f ca="1">IFERROR(__xludf.DUMMYFUNCTION("""COMPUTED_VALUE"""),"PL")</f>
        <v>PL</v>
      </c>
      <c r="B1518" s="119" t="str">
        <f ca="1">IFERROR(__xludf.DUMMYFUNCTION("""COMPUTED_VALUE"""),"Miller Supple")</f>
        <v>Miller Supple</v>
      </c>
      <c r="C1518" s="118">
        <f ca="1">IFERROR(__xludf.DUMMYFUNCTION("""COMPUTED_VALUE"""),11)</f>
        <v>11</v>
      </c>
      <c r="D1518" s="118" t="str">
        <f ca="1">IFERROR(__xludf.DUMMYFUNCTION("""COMPUTED_VALUE"""),"B")</f>
        <v>B</v>
      </c>
      <c r="E1518" s="118" t="str">
        <f ca="1">IFERROR(__xludf.DUMMYFUNCTION("""COMPUTED_VALUE"""),"J")</f>
        <v>J</v>
      </c>
      <c r="F1518" s="118" t="str">
        <f ca="1">IFERROR(__xludf.DUMMYFUNCTION("""COMPUTED_VALUE"""),"I")</f>
        <v>I</v>
      </c>
      <c r="G1518" s="118">
        <f ca="1">IFERROR(__xludf.DUMMYFUNCTION("""COMPUTED_VALUE"""),6)</f>
        <v>6</v>
      </c>
      <c r="H1518" s="118" t="str">
        <f ca="1">IFERROR(__xludf.DUMMYFUNCTION("""COMPUTED_VALUE"""),"PL")</f>
        <v>PL</v>
      </c>
      <c r="I1518" s="118">
        <f ca="1">IFERROR(__xludf.DUMMYFUNCTION("""COMPUTED_VALUE"""),7)</f>
        <v>7</v>
      </c>
      <c r="J1518" s="118">
        <f ca="1">IFERROR(__xludf.DUMMYFUNCTION("""COMPUTED_VALUE"""),5)</f>
        <v>5</v>
      </c>
      <c r="K1518" s="120">
        <f ca="1">IFERROR(__xludf.DUMMYFUNCTION("""COMPUTED_VALUE"""),101.1)</f>
        <v>101.1</v>
      </c>
      <c r="L1518" s="121"/>
      <c r="M1518" s="120">
        <f ca="1">IFERROR(__xludf.DUMMYFUNCTION("""COMPUTED_VALUE"""),88.25)</f>
        <v>88.25</v>
      </c>
      <c r="N1518" s="121"/>
      <c r="O1518" s="120">
        <f ca="1">IFERROR(__xludf.DUMMYFUNCTION("""COMPUTED_VALUE"""),87.2)</f>
        <v>87.2</v>
      </c>
      <c r="P1518" s="122"/>
      <c r="Q1518" s="123"/>
      <c r="R1518" s="123"/>
      <c r="S1518" s="123"/>
      <c r="T1518" s="123"/>
    </row>
    <row r="1519" spans="1:20" ht="13.8">
      <c r="A1519" s="118" t="str">
        <f ca="1">IFERROR(__xludf.DUMMYFUNCTION("""COMPUTED_VALUE"""),"PL")</f>
        <v>PL</v>
      </c>
      <c r="B1519" s="119" t="str">
        <f ca="1">IFERROR(__xludf.DUMMYFUNCTION("""COMPUTED_VALUE"""),"Raphael Mesmer")</f>
        <v>Raphael Mesmer</v>
      </c>
      <c r="C1519" s="118">
        <f ca="1">IFERROR(__xludf.DUMMYFUNCTION("""COMPUTED_VALUE"""),12)</f>
        <v>12</v>
      </c>
      <c r="D1519" s="118" t="str">
        <f ca="1">IFERROR(__xludf.DUMMYFUNCTION("""COMPUTED_VALUE"""),"B")</f>
        <v>B</v>
      </c>
      <c r="E1519" s="118" t="str">
        <f ca="1">IFERROR(__xludf.DUMMYFUNCTION("""COMPUTED_VALUE"""),"J")</f>
        <v>J</v>
      </c>
      <c r="F1519" s="118" t="str">
        <f ca="1">IFERROR(__xludf.DUMMYFUNCTION("""COMPUTED_VALUE"""),"I")</f>
        <v>I</v>
      </c>
      <c r="G1519" s="118">
        <f ca="1">IFERROR(__xludf.DUMMYFUNCTION("""COMPUTED_VALUE"""),6)</f>
        <v>6</v>
      </c>
      <c r="H1519" s="118" t="str">
        <f ca="1">IFERROR(__xludf.DUMMYFUNCTION("""COMPUTED_VALUE"""),"PL")</f>
        <v>PL</v>
      </c>
      <c r="I1519" s="118">
        <f ca="1">IFERROR(__xludf.DUMMYFUNCTION("""COMPUTED_VALUE"""),7)</f>
        <v>7</v>
      </c>
      <c r="J1519" s="118">
        <f ca="1">IFERROR(__xludf.DUMMYFUNCTION("""COMPUTED_VALUE"""),3)</f>
        <v>3</v>
      </c>
      <c r="K1519" s="120">
        <f ca="1">IFERROR(__xludf.DUMMYFUNCTION("""COMPUTED_VALUE"""),69.2)</f>
        <v>69.2</v>
      </c>
      <c r="L1519" s="121"/>
      <c r="M1519" s="120"/>
      <c r="N1519" s="121"/>
      <c r="O1519" s="120"/>
      <c r="P1519" s="122"/>
      <c r="Q1519" s="123"/>
      <c r="R1519" s="123"/>
      <c r="S1519" s="123"/>
      <c r="T1519" s="123"/>
    </row>
    <row r="1520" spans="1:20" ht="13.8">
      <c r="A1520" s="118" t="str">
        <f ca="1">IFERROR(__xludf.DUMMYFUNCTION("""COMPUTED_VALUE"""),"PL")</f>
        <v>PL</v>
      </c>
      <c r="B1520" s="119" t="str">
        <f ca="1">IFERROR(__xludf.DUMMYFUNCTION("""COMPUTED_VALUE"""),"Alexandra Lee")</f>
        <v>Alexandra Lee</v>
      </c>
      <c r="C1520" s="118">
        <f ca="1">IFERROR(__xludf.DUMMYFUNCTION("""COMPUTED_VALUE"""),13)</f>
        <v>13</v>
      </c>
      <c r="D1520" s="118" t="str">
        <f ca="1">IFERROR(__xludf.DUMMYFUNCTION("""COMPUTED_VALUE"""),"G")</f>
        <v>G</v>
      </c>
      <c r="E1520" s="118" t="str">
        <f ca="1">IFERROR(__xludf.DUMMYFUNCTION("""COMPUTED_VALUE"""),"I")</f>
        <v>I</v>
      </c>
      <c r="F1520" s="118" t="str">
        <f ca="1">IFERROR(__xludf.DUMMYFUNCTION("""COMPUTED_VALUE"""),"S")</f>
        <v>S</v>
      </c>
      <c r="G1520" s="118">
        <f ca="1">IFERROR(__xludf.DUMMYFUNCTION("""COMPUTED_VALUE"""),6)</f>
        <v>6</v>
      </c>
      <c r="H1520" s="118" t="str">
        <f ca="1">IFERROR(__xludf.DUMMYFUNCTION("""COMPUTED_VALUE"""),"PL")</f>
        <v>PL</v>
      </c>
      <c r="I1520" s="118">
        <f ca="1">IFERROR(__xludf.DUMMYFUNCTION("""COMPUTED_VALUE"""),8)</f>
        <v>8</v>
      </c>
      <c r="J1520" s="118">
        <f ca="1">IFERROR(__xludf.DUMMYFUNCTION("""COMPUTED_VALUE"""),4)</f>
        <v>4</v>
      </c>
      <c r="K1520" s="120">
        <f ca="1">IFERROR(__xludf.DUMMYFUNCTION("""COMPUTED_VALUE"""),146.1)</f>
        <v>146.1</v>
      </c>
      <c r="L1520" s="121"/>
      <c r="M1520" s="120">
        <f ca="1">IFERROR(__xludf.DUMMYFUNCTION("""COMPUTED_VALUE"""),122.7)</f>
        <v>122.7</v>
      </c>
      <c r="N1520" s="121"/>
      <c r="O1520" s="120"/>
      <c r="P1520" s="122"/>
      <c r="Q1520" s="123"/>
      <c r="R1520" s="123"/>
      <c r="S1520" s="123"/>
      <c r="T1520" s="123"/>
    </row>
    <row r="1521" spans="1:20" ht="13.8">
      <c r="A1521" s="118" t="str">
        <f ca="1">IFERROR(__xludf.DUMMYFUNCTION("""COMPUTED_VALUE"""),"PL")</f>
        <v>PL</v>
      </c>
      <c r="B1521" s="119" t="str">
        <f ca="1">IFERROR(__xludf.DUMMYFUNCTION("""COMPUTED_VALUE"""),"Camille Sonn")</f>
        <v>Camille Sonn</v>
      </c>
      <c r="C1521" s="118">
        <f ca="1">IFERROR(__xludf.DUMMYFUNCTION("""COMPUTED_VALUE"""),13)</f>
        <v>13</v>
      </c>
      <c r="D1521" s="118" t="str">
        <f ca="1">IFERROR(__xludf.DUMMYFUNCTION("""COMPUTED_VALUE"""),"G")</f>
        <v>G</v>
      </c>
      <c r="E1521" s="118" t="str">
        <f ca="1">IFERROR(__xludf.DUMMYFUNCTION("""COMPUTED_VALUE"""),"I")</f>
        <v>I</v>
      </c>
      <c r="F1521" s="118" t="str">
        <f ca="1">IFERROR(__xludf.DUMMYFUNCTION("""COMPUTED_VALUE"""),"S")</f>
        <v>S</v>
      </c>
      <c r="G1521" s="118">
        <f ca="1">IFERROR(__xludf.DUMMYFUNCTION("""COMPUTED_VALUE"""),6)</f>
        <v>6</v>
      </c>
      <c r="H1521" s="118" t="str">
        <f ca="1">IFERROR(__xludf.DUMMYFUNCTION("""COMPUTED_VALUE"""),"PL")</f>
        <v>PL</v>
      </c>
      <c r="I1521" s="118">
        <f ca="1">IFERROR(__xludf.DUMMYFUNCTION("""COMPUTED_VALUE"""),8)</f>
        <v>8</v>
      </c>
      <c r="J1521" s="118">
        <f ca="1">IFERROR(__xludf.DUMMYFUNCTION("""COMPUTED_VALUE"""),3)</f>
        <v>3</v>
      </c>
      <c r="K1521" s="120">
        <f ca="1">IFERROR(__xludf.DUMMYFUNCTION("""COMPUTED_VALUE"""),98.4)</f>
        <v>98.4</v>
      </c>
      <c r="L1521" s="121"/>
      <c r="M1521" s="120"/>
      <c r="N1521" s="121"/>
      <c r="O1521" s="120"/>
      <c r="P1521" s="122"/>
      <c r="Q1521" s="123"/>
      <c r="R1521" s="123"/>
      <c r="S1521" s="123"/>
      <c r="T1521" s="123"/>
    </row>
    <row r="1522" spans="1:20" ht="13.8">
      <c r="A1522" s="118" t="str">
        <f ca="1">IFERROR(__xludf.DUMMYFUNCTION("""COMPUTED_VALUE"""),"PL")</f>
        <v>PL</v>
      </c>
      <c r="B1522" s="119" t="str">
        <f ca="1">IFERROR(__xludf.DUMMYFUNCTION("""COMPUTED_VALUE"""),"Greta Ploetz")</f>
        <v>Greta Ploetz</v>
      </c>
      <c r="C1522" s="118">
        <f ca="1">IFERROR(__xludf.DUMMYFUNCTION("""COMPUTED_VALUE"""),13)</f>
        <v>13</v>
      </c>
      <c r="D1522" s="118" t="str">
        <f ca="1">IFERROR(__xludf.DUMMYFUNCTION("""COMPUTED_VALUE"""),"G")</f>
        <v>G</v>
      </c>
      <c r="E1522" s="118" t="str">
        <f ca="1">IFERROR(__xludf.DUMMYFUNCTION("""COMPUTED_VALUE"""),"I")</f>
        <v>I</v>
      </c>
      <c r="F1522" s="118" t="str">
        <f ca="1">IFERROR(__xludf.DUMMYFUNCTION("""COMPUTED_VALUE"""),"S")</f>
        <v>S</v>
      </c>
      <c r="G1522" s="118">
        <f ca="1">IFERROR(__xludf.DUMMYFUNCTION("""COMPUTED_VALUE"""),6)</f>
        <v>6</v>
      </c>
      <c r="H1522" s="118" t="str">
        <f ca="1">IFERROR(__xludf.DUMMYFUNCTION("""COMPUTED_VALUE"""),"PL")</f>
        <v>PL</v>
      </c>
      <c r="I1522" s="118">
        <f ca="1">IFERROR(__xludf.DUMMYFUNCTION("""COMPUTED_VALUE"""),8)</f>
        <v>8</v>
      </c>
      <c r="J1522" s="118">
        <f ca="1">IFERROR(__xludf.DUMMYFUNCTION("""COMPUTED_VALUE"""),0)</f>
        <v>0</v>
      </c>
      <c r="K1522" s="120"/>
      <c r="L1522" s="121"/>
      <c r="M1522" s="120"/>
      <c r="N1522" s="121"/>
      <c r="O1522" s="120"/>
      <c r="P1522" s="122"/>
      <c r="Q1522" s="123"/>
      <c r="R1522" s="123"/>
      <c r="S1522" s="123"/>
      <c r="T1522" s="123"/>
    </row>
    <row r="1523" spans="1:20" ht="13.8">
      <c r="A1523" s="118" t="str">
        <f ca="1">IFERROR(__xludf.DUMMYFUNCTION("""COMPUTED_VALUE"""),"PL")</f>
        <v>PL</v>
      </c>
      <c r="B1523" s="119" t="str">
        <f ca="1">IFERROR(__xludf.DUMMYFUNCTION("""COMPUTED_VALUE"""),"Jazz Buitrago")</f>
        <v>Jazz Buitrago</v>
      </c>
      <c r="C1523" s="118">
        <f ca="1">IFERROR(__xludf.DUMMYFUNCTION("""COMPUTED_VALUE"""),13)</f>
        <v>13</v>
      </c>
      <c r="D1523" s="118" t="str">
        <f ca="1">IFERROR(__xludf.DUMMYFUNCTION("""COMPUTED_VALUE"""),"G")</f>
        <v>G</v>
      </c>
      <c r="E1523" s="118" t="str">
        <f ca="1">IFERROR(__xludf.DUMMYFUNCTION("""COMPUTED_VALUE"""),"I")</f>
        <v>I</v>
      </c>
      <c r="F1523" s="118" t="str">
        <f ca="1">IFERROR(__xludf.DUMMYFUNCTION("""COMPUTED_VALUE"""),"S")</f>
        <v>S</v>
      </c>
      <c r="G1523" s="118">
        <f ca="1">IFERROR(__xludf.DUMMYFUNCTION("""COMPUTED_VALUE"""),6)</f>
        <v>6</v>
      </c>
      <c r="H1523" s="118" t="str">
        <f ca="1">IFERROR(__xludf.DUMMYFUNCTION("""COMPUTED_VALUE"""),"PL")</f>
        <v>PL</v>
      </c>
      <c r="I1523" s="118">
        <f ca="1">IFERROR(__xludf.DUMMYFUNCTION("""COMPUTED_VALUE"""),8)</f>
        <v>8</v>
      </c>
      <c r="J1523" s="118">
        <f ca="1">IFERROR(__xludf.DUMMYFUNCTION("""COMPUTED_VALUE"""),3)</f>
        <v>3</v>
      </c>
      <c r="K1523" s="120">
        <f ca="1">IFERROR(__xludf.DUMMYFUNCTION("""COMPUTED_VALUE"""),110.65)</f>
        <v>110.65</v>
      </c>
      <c r="L1523" s="121"/>
      <c r="M1523" s="120"/>
      <c r="N1523" s="121"/>
      <c r="O1523" s="120">
        <f ca="1">IFERROR(__xludf.DUMMYFUNCTION("""COMPUTED_VALUE"""),94.1)</f>
        <v>94.1</v>
      </c>
      <c r="P1523" s="122"/>
      <c r="Q1523" s="123"/>
      <c r="R1523" s="123"/>
      <c r="S1523" s="123"/>
      <c r="T1523" s="123"/>
    </row>
    <row r="1524" spans="1:20" ht="13.8">
      <c r="A1524" s="118" t="str">
        <f ca="1">IFERROR(__xludf.DUMMYFUNCTION("""COMPUTED_VALUE"""),"PL")</f>
        <v>PL</v>
      </c>
      <c r="B1524" s="119" t="str">
        <f ca="1">IFERROR(__xludf.DUMMYFUNCTION("""COMPUTED_VALUE"""),"Connor Manegold")</f>
        <v>Connor Manegold</v>
      </c>
      <c r="C1524" s="118">
        <f ca="1">IFERROR(__xludf.DUMMYFUNCTION("""COMPUTED_VALUE"""),13)</f>
        <v>13</v>
      </c>
      <c r="D1524" s="118" t="str">
        <f ca="1">IFERROR(__xludf.DUMMYFUNCTION("""COMPUTED_VALUE"""),"B")</f>
        <v>B</v>
      </c>
      <c r="E1524" s="118" t="str">
        <f ca="1">IFERROR(__xludf.DUMMYFUNCTION("""COMPUTED_VALUE"""),"I")</f>
        <v>I</v>
      </c>
      <c r="F1524" s="118" t="str">
        <f ca="1">IFERROR(__xludf.DUMMYFUNCTION("""COMPUTED_VALUE"""),"S")</f>
        <v>S</v>
      </c>
      <c r="G1524" s="118">
        <f ca="1">IFERROR(__xludf.DUMMYFUNCTION("""COMPUTED_VALUE"""),6)</f>
        <v>6</v>
      </c>
      <c r="H1524" s="118" t="str">
        <f ca="1">IFERROR(__xludf.DUMMYFUNCTION("""COMPUTED_VALUE"""),"PL")</f>
        <v>PL</v>
      </c>
      <c r="I1524" s="118">
        <f ca="1">IFERROR(__xludf.DUMMYFUNCTION("""COMPUTED_VALUE"""),9)</f>
        <v>9</v>
      </c>
      <c r="J1524" s="118">
        <f ca="1">IFERROR(__xludf.DUMMYFUNCTION("""COMPUTED_VALUE"""),5)</f>
        <v>5</v>
      </c>
      <c r="K1524" s="120">
        <f ca="1">IFERROR(__xludf.DUMMYFUNCTION("""COMPUTED_VALUE"""),99.8)</f>
        <v>99.8</v>
      </c>
      <c r="L1524" s="121"/>
      <c r="M1524" s="120">
        <f ca="1">IFERROR(__xludf.DUMMYFUNCTION("""COMPUTED_VALUE"""),99.05)</f>
        <v>99.05</v>
      </c>
      <c r="N1524" s="121"/>
      <c r="O1524" s="120">
        <f ca="1">IFERROR(__xludf.DUMMYFUNCTION("""COMPUTED_VALUE"""),90.7)</f>
        <v>90.7</v>
      </c>
      <c r="P1524" s="122"/>
      <c r="Q1524" s="123"/>
      <c r="R1524" s="123"/>
      <c r="S1524" s="123"/>
      <c r="T1524" s="123"/>
    </row>
    <row r="1525" spans="1:20" ht="13.8">
      <c r="A1525" s="118" t="str">
        <f ca="1">IFERROR(__xludf.DUMMYFUNCTION("""COMPUTED_VALUE"""),"PL")</f>
        <v>PL</v>
      </c>
      <c r="B1525" s="119" t="str">
        <f ca="1">IFERROR(__xludf.DUMMYFUNCTION("""COMPUTED_VALUE"""),"Henry Kreikemeier")</f>
        <v>Henry Kreikemeier</v>
      </c>
      <c r="C1525" s="118">
        <f ca="1">IFERROR(__xludf.DUMMYFUNCTION("""COMPUTED_VALUE"""),13)</f>
        <v>13</v>
      </c>
      <c r="D1525" s="118" t="str">
        <f ca="1">IFERROR(__xludf.DUMMYFUNCTION("""COMPUTED_VALUE"""),"B")</f>
        <v>B</v>
      </c>
      <c r="E1525" s="118" t="str">
        <f ca="1">IFERROR(__xludf.DUMMYFUNCTION("""COMPUTED_VALUE"""),"I")</f>
        <v>I</v>
      </c>
      <c r="F1525" s="118" t="str">
        <f ca="1">IFERROR(__xludf.DUMMYFUNCTION("""COMPUTED_VALUE"""),"S")</f>
        <v>S</v>
      </c>
      <c r="G1525" s="118">
        <f ca="1">IFERROR(__xludf.DUMMYFUNCTION("""COMPUTED_VALUE"""),6)</f>
        <v>6</v>
      </c>
      <c r="H1525" s="118" t="str">
        <f ca="1">IFERROR(__xludf.DUMMYFUNCTION("""COMPUTED_VALUE"""),"PL")</f>
        <v>PL</v>
      </c>
      <c r="I1525" s="118">
        <f ca="1">IFERROR(__xludf.DUMMYFUNCTION("""COMPUTED_VALUE"""),9)</f>
        <v>9</v>
      </c>
      <c r="J1525" s="118">
        <f ca="1">IFERROR(__xludf.DUMMYFUNCTION("""COMPUTED_VALUE"""),3)</f>
        <v>3</v>
      </c>
      <c r="K1525" s="120">
        <f ca="1">IFERROR(__xludf.DUMMYFUNCTION("""COMPUTED_VALUE"""),99.85)</f>
        <v>99.85</v>
      </c>
      <c r="L1525" s="121"/>
      <c r="M1525" s="120"/>
      <c r="N1525" s="121"/>
      <c r="O1525" s="120"/>
      <c r="P1525" s="122"/>
      <c r="Q1525" s="123"/>
      <c r="R1525" s="123"/>
      <c r="S1525" s="123"/>
      <c r="T1525" s="123"/>
    </row>
    <row r="1526" spans="1:20" ht="13.8">
      <c r="A1526" s="118" t="str">
        <f ca="1">IFERROR(__xludf.DUMMYFUNCTION("""COMPUTED_VALUE"""),"PL")</f>
        <v>PL</v>
      </c>
      <c r="B1526" s="119" t="str">
        <f ca="1">IFERROR(__xludf.DUMMYFUNCTION("""COMPUTED_VALUE"""),"Kellan Smith")</f>
        <v>Kellan Smith</v>
      </c>
      <c r="C1526" s="118">
        <f ca="1">IFERROR(__xludf.DUMMYFUNCTION("""COMPUTED_VALUE"""),13)</f>
        <v>13</v>
      </c>
      <c r="D1526" s="118" t="str">
        <f ca="1">IFERROR(__xludf.DUMMYFUNCTION("""COMPUTED_VALUE"""),"B")</f>
        <v>B</v>
      </c>
      <c r="E1526" s="118" t="str">
        <f ca="1">IFERROR(__xludf.DUMMYFUNCTION("""COMPUTED_VALUE"""),"I")</f>
        <v>I</v>
      </c>
      <c r="F1526" s="118" t="str">
        <f ca="1">IFERROR(__xludf.DUMMYFUNCTION("""COMPUTED_VALUE"""),"S")</f>
        <v>S</v>
      </c>
      <c r="G1526" s="118">
        <f ca="1">IFERROR(__xludf.DUMMYFUNCTION("""COMPUTED_VALUE"""),6)</f>
        <v>6</v>
      </c>
      <c r="H1526" s="118" t="str">
        <f ca="1">IFERROR(__xludf.DUMMYFUNCTION("""COMPUTED_VALUE"""),"PL")</f>
        <v>PL</v>
      </c>
      <c r="I1526" s="118">
        <f ca="1">IFERROR(__xludf.DUMMYFUNCTION("""COMPUTED_VALUE"""),9)</f>
        <v>9</v>
      </c>
      <c r="J1526" s="118">
        <f ca="1">IFERROR(__xludf.DUMMYFUNCTION("""COMPUTED_VALUE"""),0)</f>
        <v>0</v>
      </c>
      <c r="K1526" s="120"/>
      <c r="L1526" s="121"/>
      <c r="M1526" s="120"/>
      <c r="N1526" s="121"/>
      <c r="O1526" s="120"/>
      <c r="P1526" s="122"/>
      <c r="Q1526" s="123"/>
      <c r="R1526" s="123"/>
      <c r="S1526" s="123"/>
      <c r="T1526" s="123"/>
    </row>
    <row r="1527" spans="1:20" ht="13.8">
      <c r="A1527" s="118" t="str">
        <f ca="1">IFERROR(__xludf.DUMMYFUNCTION("""COMPUTED_VALUE"""),"PL")</f>
        <v>PL</v>
      </c>
      <c r="B1527" s="119" t="str">
        <f ca="1">IFERROR(__xludf.DUMMYFUNCTION("""COMPUTED_VALUE"""),"Taggart Schuerfeld")</f>
        <v>Taggart Schuerfeld</v>
      </c>
      <c r="C1527" s="118">
        <f ca="1">IFERROR(__xludf.DUMMYFUNCTION("""COMPUTED_VALUE"""),13)</f>
        <v>13</v>
      </c>
      <c r="D1527" s="118" t="str">
        <f ca="1">IFERROR(__xludf.DUMMYFUNCTION("""COMPUTED_VALUE"""),"B")</f>
        <v>B</v>
      </c>
      <c r="E1527" s="118" t="str">
        <f ca="1">IFERROR(__xludf.DUMMYFUNCTION("""COMPUTED_VALUE"""),"I")</f>
        <v>I</v>
      </c>
      <c r="F1527" s="118" t="str">
        <f ca="1">IFERROR(__xludf.DUMMYFUNCTION("""COMPUTED_VALUE"""),"S")</f>
        <v>S</v>
      </c>
      <c r="G1527" s="118">
        <f ca="1">IFERROR(__xludf.DUMMYFUNCTION("""COMPUTED_VALUE"""),6)</f>
        <v>6</v>
      </c>
      <c r="H1527" s="118" t="str">
        <f ca="1">IFERROR(__xludf.DUMMYFUNCTION("""COMPUTED_VALUE"""),"PL")</f>
        <v>PL</v>
      </c>
      <c r="I1527" s="118">
        <f ca="1">IFERROR(__xludf.DUMMYFUNCTION("""COMPUTED_VALUE"""),9)</f>
        <v>9</v>
      </c>
      <c r="J1527" s="118">
        <f ca="1">IFERROR(__xludf.DUMMYFUNCTION("""COMPUTED_VALUE"""),4)</f>
        <v>4</v>
      </c>
      <c r="K1527" s="120">
        <f ca="1">IFERROR(__xludf.DUMMYFUNCTION("""COMPUTED_VALUE"""),96.25)</f>
        <v>96.25</v>
      </c>
      <c r="L1527" s="121"/>
      <c r="M1527" s="120"/>
      <c r="N1527" s="121"/>
      <c r="O1527" s="120">
        <f ca="1">IFERROR(__xludf.DUMMYFUNCTION("""COMPUTED_VALUE"""),63.05)</f>
        <v>63.05</v>
      </c>
      <c r="P1527" s="122"/>
      <c r="Q1527" s="123"/>
      <c r="R1527" s="123"/>
      <c r="S1527" s="123"/>
      <c r="T1527" s="123"/>
    </row>
    <row r="1528" spans="1:20" ht="13.8">
      <c r="A1528" s="118" t="str">
        <f ca="1">IFERROR(__xludf.DUMMYFUNCTION("""COMPUTED_VALUE"""),"PL")</f>
        <v>PL</v>
      </c>
      <c r="B1528" s="119" t="str">
        <f ca="1">IFERROR(__xludf.DUMMYFUNCTION("""COMPUTED_VALUE"""),"Emma Hill")</f>
        <v>Emma Hill</v>
      </c>
      <c r="C1528" s="118">
        <f ca="1">IFERROR(__xludf.DUMMYFUNCTION("""COMPUTED_VALUE"""),16)</f>
        <v>16</v>
      </c>
      <c r="D1528" s="118" t="str">
        <f ca="1">IFERROR(__xludf.DUMMYFUNCTION("""COMPUTED_VALUE"""),"G")</f>
        <v>G</v>
      </c>
      <c r="E1528" s="118" t="str">
        <f ca="1">IFERROR(__xludf.DUMMYFUNCTION("""COMPUTED_VALUE"""),"S")</f>
        <v>S</v>
      </c>
      <c r="F1528" s="118" t="str">
        <f ca="1">IFERROR(__xludf.DUMMYFUNCTION("""COMPUTED_VALUE"""),"S")</f>
        <v>S</v>
      </c>
      <c r="G1528" s="118">
        <f ca="1">IFERROR(__xludf.DUMMYFUNCTION("""COMPUTED_VALUE"""),6)</f>
        <v>6</v>
      </c>
      <c r="H1528" s="118" t="str">
        <f ca="1">IFERROR(__xludf.DUMMYFUNCTION("""COMPUTED_VALUE"""),"PL")</f>
        <v>PL</v>
      </c>
      <c r="I1528" s="118">
        <f ca="1">IFERROR(__xludf.DUMMYFUNCTION("""COMPUTED_VALUE"""),10)</f>
        <v>10</v>
      </c>
      <c r="J1528" s="118">
        <f ca="1">IFERROR(__xludf.DUMMYFUNCTION("""COMPUTED_VALUE"""),5)</f>
        <v>5</v>
      </c>
      <c r="K1528" s="120">
        <f ca="1">IFERROR(__xludf.DUMMYFUNCTION("""COMPUTED_VALUE"""),162.4)</f>
        <v>162.4</v>
      </c>
      <c r="L1528" s="121"/>
      <c r="M1528" s="120">
        <f ca="1">IFERROR(__xludf.DUMMYFUNCTION("""COMPUTED_VALUE"""),159.1)</f>
        <v>159.1</v>
      </c>
      <c r="N1528" s="121"/>
      <c r="O1528" s="120">
        <f ca="1">IFERROR(__xludf.DUMMYFUNCTION("""COMPUTED_VALUE"""),162.3)</f>
        <v>162.30000000000001</v>
      </c>
      <c r="P1528" s="122"/>
      <c r="Q1528" s="123"/>
      <c r="R1528" s="123"/>
      <c r="S1528" s="123"/>
      <c r="T1528" s="123"/>
    </row>
    <row r="1529" spans="1:20" ht="13.8">
      <c r="A1529" s="118" t="str">
        <f ca="1">IFERROR(__xludf.DUMMYFUNCTION("""COMPUTED_VALUE"""),"PL")</f>
        <v>PL</v>
      </c>
      <c r="B1529" s="119" t="str">
        <f ca="1">IFERROR(__xludf.DUMMYFUNCTION("""COMPUTED_VALUE"""),"Julia Kaldahl")</f>
        <v>Julia Kaldahl</v>
      </c>
      <c r="C1529" s="118">
        <f ca="1">IFERROR(__xludf.DUMMYFUNCTION("""COMPUTED_VALUE"""),16)</f>
        <v>16</v>
      </c>
      <c r="D1529" s="118" t="str">
        <f ca="1">IFERROR(__xludf.DUMMYFUNCTION("""COMPUTED_VALUE"""),"G")</f>
        <v>G</v>
      </c>
      <c r="E1529" s="118" t="str">
        <f ca="1">IFERROR(__xludf.DUMMYFUNCTION("""COMPUTED_VALUE"""),"S")</f>
        <v>S</v>
      </c>
      <c r="F1529" s="118" t="str">
        <f ca="1">IFERROR(__xludf.DUMMYFUNCTION("""COMPUTED_VALUE"""),"S")</f>
        <v>S</v>
      </c>
      <c r="G1529" s="118">
        <f ca="1">IFERROR(__xludf.DUMMYFUNCTION("""COMPUTED_VALUE"""),6)</f>
        <v>6</v>
      </c>
      <c r="H1529" s="118" t="str">
        <f ca="1">IFERROR(__xludf.DUMMYFUNCTION("""COMPUTED_VALUE"""),"PL")</f>
        <v>PL</v>
      </c>
      <c r="I1529" s="118">
        <f ca="1">IFERROR(__xludf.DUMMYFUNCTION("""COMPUTED_VALUE"""),10)</f>
        <v>10</v>
      </c>
      <c r="J1529" s="118">
        <f ca="1">IFERROR(__xludf.DUMMYFUNCTION("""COMPUTED_VALUE"""),3)</f>
        <v>3</v>
      </c>
      <c r="K1529" s="120">
        <f ca="1">IFERROR(__xludf.DUMMYFUNCTION("""COMPUTED_VALUE"""),148.1)</f>
        <v>148.1</v>
      </c>
      <c r="L1529" s="121"/>
      <c r="M1529" s="120"/>
      <c r="N1529" s="121"/>
      <c r="O1529" s="120"/>
      <c r="P1529" s="122"/>
      <c r="Q1529" s="123"/>
      <c r="R1529" s="123"/>
      <c r="S1529" s="123"/>
      <c r="T1529" s="123"/>
    </row>
    <row r="1530" spans="1:20" ht="13.8">
      <c r="A1530" s="118" t="str">
        <f ca="1">IFERROR(__xludf.DUMMYFUNCTION("""COMPUTED_VALUE"""),"PL")</f>
        <v>PL</v>
      </c>
      <c r="B1530" s="119" t="str">
        <f ca="1">IFERROR(__xludf.DUMMYFUNCTION("""COMPUTED_VALUE"""),"McCauley Masley")</f>
        <v>McCauley Masley</v>
      </c>
      <c r="C1530" s="118">
        <f ca="1">IFERROR(__xludf.DUMMYFUNCTION("""COMPUTED_VALUE"""),15)</f>
        <v>15</v>
      </c>
      <c r="D1530" s="118" t="str">
        <f ca="1">IFERROR(__xludf.DUMMYFUNCTION("""COMPUTED_VALUE"""),"G")</f>
        <v>G</v>
      </c>
      <c r="E1530" s="118" t="str">
        <f ca="1">IFERROR(__xludf.DUMMYFUNCTION("""COMPUTED_VALUE"""),"S")</f>
        <v>S</v>
      </c>
      <c r="F1530" s="118" t="str">
        <f ca="1">IFERROR(__xludf.DUMMYFUNCTION("""COMPUTED_VALUE"""),"S")</f>
        <v>S</v>
      </c>
      <c r="G1530" s="118">
        <f ca="1">IFERROR(__xludf.DUMMYFUNCTION("""COMPUTED_VALUE"""),6)</f>
        <v>6</v>
      </c>
      <c r="H1530" s="118" t="str">
        <f ca="1">IFERROR(__xludf.DUMMYFUNCTION("""COMPUTED_VALUE"""),"PL")</f>
        <v>PL</v>
      </c>
      <c r="I1530" s="118">
        <f ca="1">IFERROR(__xludf.DUMMYFUNCTION("""COMPUTED_VALUE"""),10)</f>
        <v>10</v>
      </c>
      <c r="J1530" s="118">
        <f ca="1">IFERROR(__xludf.DUMMYFUNCTION("""COMPUTED_VALUE"""),0)</f>
        <v>0</v>
      </c>
      <c r="K1530" s="120"/>
      <c r="L1530" s="121"/>
      <c r="M1530" s="120"/>
      <c r="N1530" s="121"/>
      <c r="O1530" s="120"/>
      <c r="P1530" s="122"/>
      <c r="Q1530" s="123"/>
      <c r="R1530" s="123"/>
      <c r="S1530" s="123"/>
      <c r="T1530" s="123"/>
    </row>
    <row r="1531" spans="1:20" ht="13.8">
      <c r="A1531" s="118" t="str">
        <f ca="1">IFERROR(__xludf.DUMMYFUNCTION("""COMPUTED_VALUE"""),"PL")</f>
        <v>PL</v>
      </c>
      <c r="B1531" s="119" t="str">
        <f ca="1">IFERROR(__xludf.DUMMYFUNCTION("""COMPUTED_VALUE"""),"Tess Galway")</f>
        <v>Tess Galway</v>
      </c>
      <c r="C1531" s="118">
        <f ca="1">IFERROR(__xludf.DUMMYFUNCTION("""COMPUTED_VALUE"""),17)</f>
        <v>17</v>
      </c>
      <c r="D1531" s="118" t="str">
        <f ca="1">IFERROR(__xludf.DUMMYFUNCTION("""COMPUTED_VALUE"""),"G")</f>
        <v>G</v>
      </c>
      <c r="E1531" s="118" t="str">
        <f ca="1">IFERROR(__xludf.DUMMYFUNCTION("""COMPUTED_VALUE"""),"S")</f>
        <v>S</v>
      </c>
      <c r="F1531" s="118" t="str">
        <f ca="1">IFERROR(__xludf.DUMMYFUNCTION("""COMPUTED_VALUE"""),"S")</f>
        <v>S</v>
      </c>
      <c r="G1531" s="118">
        <f ca="1">IFERROR(__xludf.DUMMYFUNCTION("""COMPUTED_VALUE"""),6)</f>
        <v>6</v>
      </c>
      <c r="H1531" s="118" t="str">
        <f ca="1">IFERROR(__xludf.DUMMYFUNCTION("""COMPUTED_VALUE"""),"PL")</f>
        <v>PL</v>
      </c>
      <c r="I1531" s="118">
        <f ca="1">IFERROR(__xludf.DUMMYFUNCTION("""COMPUTED_VALUE"""),10)</f>
        <v>10</v>
      </c>
      <c r="J1531" s="118">
        <f ca="1">IFERROR(__xludf.DUMMYFUNCTION("""COMPUTED_VALUE"""),2)</f>
        <v>2</v>
      </c>
      <c r="K1531" s="120">
        <f ca="1">IFERROR(__xludf.DUMMYFUNCTION("""COMPUTED_VALUE"""),187.5)</f>
        <v>187.5</v>
      </c>
      <c r="L1531" s="121"/>
      <c r="M1531" s="120"/>
      <c r="N1531" s="121"/>
      <c r="O1531" s="120"/>
      <c r="P1531" s="122"/>
      <c r="Q1531" s="123"/>
      <c r="R1531" s="123"/>
      <c r="S1531" s="123"/>
      <c r="T1531" s="123"/>
    </row>
    <row r="1532" spans="1:20" ht="13.8">
      <c r="A1532" s="118" t="str">
        <f ca="1">IFERROR(__xludf.DUMMYFUNCTION("""COMPUTED_VALUE"""),"PL")</f>
        <v>PL</v>
      </c>
      <c r="B1532" s="119" t="str">
        <f ca="1">IFERROR(__xludf.DUMMYFUNCTION("""COMPUTED_VALUE"""),"Joey Liller")</f>
        <v>Joey Liller</v>
      </c>
      <c r="C1532" s="118">
        <f ca="1">IFERROR(__xludf.DUMMYFUNCTION("""COMPUTED_VALUE"""),17)</f>
        <v>17</v>
      </c>
      <c r="D1532" s="118" t="str">
        <f ca="1">IFERROR(__xludf.DUMMYFUNCTION("""COMPUTED_VALUE"""),"B")</f>
        <v>B</v>
      </c>
      <c r="E1532" s="118" t="str">
        <f ca="1">IFERROR(__xludf.DUMMYFUNCTION("""COMPUTED_VALUE"""),"S")</f>
        <v>S</v>
      </c>
      <c r="F1532" s="118" t="str">
        <f ca="1">IFERROR(__xludf.DUMMYFUNCTION("""COMPUTED_VALUE"""),"S")</f>
        <v>S</v>
      </c>
      <c r="G1532" s="118">
        <f ca="1">IFERROR(__xludf.DUMMYFUNCTION("""COMPUTED_VALUE"""),6)</f>
        <v>6</v>
      </c>
      <c r="H1532" s="118" t="str">
        <f ca="1">IFERROR(__xludf.DUMMYFUNCTION("""COMPUTED_VALUE"""),"PL")</f>
        <v>PL</v>
      </c>
      <c r="I1532" s="118">
        <f ca="1">IFERROR(__xludf.DUMMYFUNCTION("""COMPUTED_VALUE"""),11)</f>
        <v>11</v>
      </c>
      <c r="J1532" s="118">
        <f ca="1">IFERROR(__xludf.DUMMYFUNCTION("""COMPUTED_VALUE"""),5)</f>
        <v>5</v>
      </c>
      <c r="K1532" s="120">
        <f ca="1">IFERROR(__xludf.DUMMYFUNCTION("""COMPUTED_VALUE"""),194.4)</f>
        <v>194.4</v>
      </c>
      <c r="L1532" s="121"/>
      <c r="M1532" s="120">
        <f ca="1">IFERROR(__xludf.DUMMYFUNCTION("""COMPUTED_VALUE"""),173.6)</f>
        <v>173.6</v>
      </c>
      <c r="N1532" s="121"/>
      <c r="O1532" s="120">
        <f ca="1">IFERROR(__xludf.DUMMYFUNCTION("""COMPUTED_VALUE"""),188.1)</f>
        <v>188.1</v>
      </c>
      <c r="P1532" s="122"/>
      <c r="Q1532" s="123"/>
      <c r="R1532" s="123"/>
      <c r="S1532" s="123"/>
      <c r="T1532" s="123"/>
    </row>
    <row r="1533" spans="1:20" ht="13.8">
      <c r="A1533" s="118" t="str">
        <f ca="1">IFERROR(__xludf.DUMMYFUNCTION("""COMPUTED_VALUE"""),"PL")</f>
        <v>PL</v>
      </c>
      <c r="B1533" s="119" t="str">
        <f ca="1">IFERROR(__xludf.DUMMYFUNCTION("""COMPUTED_VALUE"""),"Owen Henderson")</f>
        <v>Owen Henderson</v>
      </c>
      <c r="C1533" s="118">
        <f ca="1">IFERROR(__xludf.DUMMYFUNCTION("""COMPUTED_VALUE"""),18)</f>
        <v>18</v>
      </c>
      <c r="D1533" s="118" t="str">
        <f ca="1">IFERROR(__xludf.DUMMYFUNCTION("""COMPUTED_VALUE"""),"B")</f>
        <v>B</v>
      </c>
      <c r="E1533" s="118" t="str">
        <f ca="1">IFERROR(__xludf.DUMMYFUNCTION("""COMPUTED_VALUE"""),"S")</f>
        <v>S</v>
      </c>
      <c r="F1533" s="118" t="str">
        <f ca="1">IFERROR(__xludf.DUMMYFUNCTION("""COMPUTED_VALUE"""),"S")</f>
        <v>S</v>
      </c>
      <c r="G1533" s="118">
        <f ca="1">IFERROR(__xludf.DUMMYFUNCTION("""COMPUTED_VALUE"""),6)</f>
        <v>6</v>
      </c>
      <c r="H1533" s="118" t="str">
        <f ca="1">IFERROR(__xludf.DUMMYFUNCTION("""COMPUTED_VALUE"""),"PL")</f>
        <v>PL</v>
      </c>
      <c r="I1533" s="118">
        <f ca="1">IFERROR(__xludf.DUMMYFUNCTION("""COMPUTED_VALUE"""),11)</f>
        <v>11</v>
      </c>
      <c r="J1533" s="118">
        <f ca="1">IFERROR(__xludf.DUMMYFUNCTION("""COMPUTED_VALUE"""),4)</f>
        <v>4</v>
      </c>
      <c r="K1533" s="120">
        <f ca="1">IFERROR(__xludf.DUMMYFUNCTION("""COMPUTED_VALUE"""),176.05)</f>
        <v>176.05</v>
      </c>
      <c r="L1533" s="121"/>
      <c r="M1533" s="120">
        <f ca="1">IFERROR(__xludf.DUMMYFUNCTION("""COMPUTED_VALUE"""),154.7)</f>
        <v>154.69999999999999</v>
      </c>
      <c r="N1533" s="121"/>
      <c r="O1533" s="120">
        <f ca="1">IFERROR(__xludf.DUMMYFUNCTION("""COMPUTED_VALUE"""),141.7)</f>
        <v>141.69999999999999</v>
      </c>
      <c r="P1533" s="122"/>
      <c r="Q1533" s="123"/>
      <c r="R1533" s="123"/>
      <c r="S1533" s="123"/>
      <c r="T1533" s="123"/>
    </row>
    <row r="1534" spans="1:20" ht="13.8">
      <c r="A1534" s="118" t="str">
        <f ca="1">IFERROR(__xludf.DUMMYFUNCTION("""COMPUTED_VALUE"""),"R")</f>
        <v>R</v>
      </c>
      <c r="B1534" s="119" t="str">
        <f ca="1">IFERROR(__xludf.DUMMYFUNCTION("""COMPUTED_VALUE"""),"Addison Prunty")</f>
        <v>Addison Prunty</v>
      </c>
      <c r="C1534" s="118">
        <f ca="1">IFERROR(__xludf.DUMMYFUNCTION("""COMPUTED_VALUE"""),10)</f>
        <v>10</v>
      </c>
      <c r="D1534" s="118" t="str">
        <f ca="1">IFERROR(__xludf.DUMMYFUNCTION("""COMPUTED_VALUE"""),"G")</f>
        <v>G</v>
      </c>
      <c r="E1534" s="118" t="str">
        <f ca="1">IFERROR(__xludf.DUMMYFUNCTION("""COMPUTED_VALUE"""),"F")</f>
        <v>F</v>
      </c>
      <c r="F1534" s="118" t="str">
        <f ca="1">IFERROR(__xludf.DUMMYFUNCTION("""COMPUTED_VALUE"""),"J")</f>
        <v>J</v>
      </c>
      <c r="G1534" s="118">
        <f ca="1">IFERROR(__xludf.DUMMYFUNCTION("""COMPUTED_VALUE"""),5)</f>
        <v>5</v>
      </c>
      <c r="H1534" s="118" t="str">
        <f ca="1">IFERROR(__xludf.DUMMYFUNCTION("""COMPUTED_VALUE"""),"R")</f>
        <v>R</v>
      </c>
      <c r="I1534" s="118">
        <f ca="1">IFERROR(__xludf.DUMMYFUNCTION("""COMPUTED_VALUE"""),4)</f>
        <v>4</v>
      </c>
      <c r="J1534" s="118">
        <f ca="1">IFERROR(__xludf.DUMMYFUNCTION("""COMPUTED_VALUE"""),5)</f>
        <v>5</v>
      </c>
      <c r="K1534" s="120">
        <f ca="1">IFERROR(__xludf.DUMMYFUNCTION("""COMPUTED_VALUE"""),60.4)</f>
        <v>60.4</v>
      </c>
      <c r="L1534" s="121"/>
      <c r="M1534" s="120">
        <f ca="1">IFERROR(__xludf.DUMMYFUNCTION("""COMPUTED_VALUE"""),36.1)</f>
        <v>36.1</v>
      </c>
      <c r="N1534" s="121"/>
      <c r="O1534" s="120">
        <f ca="1">IFERROR(__xludf.DUMMYFUNCTION("""COMPUTED_VALUE"""),60.4)</f>
        <v>60.4</v>
      </c>
      <c r="P1534" s="122"/>
      <c r="Q1534" s="123"/>
      <c r="R1534" s="123"/>
      <c r="S1534" s="123"/>
      <c r="T1534" s="123"/>
    </row>
    <row r="1535" spans="1:20" ht="13.8">
      <c r="A1535" s="118" t="str">
        <f ca="1">IFERROR(__xludf.DUMMYFUNCTION("""COMPUTED_VALUE"""),"R")</f>
        <v>R</v>
      </c>
      <c r="B1535" s="119" t="str">
        <f ca="1">IFERROR(__xludf.DUMMYFUNCTION("""COMPUTED_VALUE"""),"Adelaide Bergmans")</f>
        <v>Adelaide Bergmans</v>
      </c>
      <c r="C1535" s="118">
        <f ca="1">IFERROR(__xludf.DUMMYFUNCTION("""COMPUTED_VALUE"""),10)</f>
        <v>10</v>
      </c>
      <c r="D1535" s="118" t="str">
        <f ca="1">IFERROR(__xludf.DUMMYFUNCTION("""COMPUTED_VALUE"""),"G")</f>
        <v>G</v>
      </c>
      <c r="E1535" s="118" t="str">
        <f ca="1">IFERROR(__xludf.DUMMYFUNCTION("""COMPUTED_VALUE"""),"F")</f>
        <v>F</v>
      </c>
      <c r="F1535" s="118" t="str">
        <f ca="1">IFERROR(__xludf.DUMMYFUNCTION("""COMPUTED_VALUE"""),"J")</f>
        <v>J</v>
      </c>
      <c r="G1535" s="118">
        <f ca="1">IFERROR(__xludf.DUMMYFUNCTION("""COMPUTED_VALUE"""),5)</f>
        <v>5</v>
      </c>
      <c r="H1535" s="118" t="str">
        <f ca="1">IFERROR(__xludf.DUMMYFUNCTION("""COMPUTED_VALUE"""),"R")</f>
        <v>R</v>
      </c>
      <c r="I1535" s="118">
        <f ca="1">IFERROR(__xludf.DUMMYFUNCTION("""COMPUTED_VALUE"""),4)</f>
        <v>4</v>
      </c>
      <c r="J1535" s="118">
        <f ca="1">IFERROR(__xludf.DUMMYFUNCTION("""COMPUTED_VALUE"""),5)</f>
        <v>5</v>
      </c>
      <c r="K1535" s="120">
        <f ca="1">IFERROR(__xludf.DUMMYFUNCTION("""COMPUTED_VALUE"""),59.3)</f>
        <v>59.3</v>
      </c>
      <c r="L1535" s="121"/>
      <c r="M1535" s="120">
        <f ca="1">IFERROR(__xludf.DUMMYFUNCTION("""COMPUTED_VALUE"""),40.3)</f>
        <v>40.299999999999997</v>
      </c>
      <c r="N1535" s="121"/>
      <c r="O1535" s="120">
        <f ca="1">IFERROR(__xludf.DUMMYFUNCTION("""COMPUTED_VALUE"""),43.9)</f>
        <v>43.9</v>
      </c>
      <c r="P1535" s="122"/>
      <c r="Q1535" s="123"/>
      <c r="R1535" s="123"/>
      <c r="S1535" s="123"/>
      <c r="T1535" s="123"/>
    </row>
    <row r="1536" spans="1:20" ht="13.8">
      <c r="A1536" s="118" t="str">
        <f ca="1">IFERROR(__xludf.DUMMYFUNCTION("""COMPUTED_VALUE"""),"R")</f>
        <v>R</v>
      </c>
      <c r="B1536" s="119" t="str">
        <f ca="1">IFERROR(__xludf.DUMMYFUNCTION("""COMPUTED_VALUE"""),"Alice Beaudoin")</f>
        <v>Alice Beaudoin</v>
      </c>
      <c r="C1536" s="118">
        <f ca="1">IFERROR(__xludf.DUMMYFUNCTION("""COMPUTED_VALUE"""),7)</f>
        <v>7</v>
      </c>
      <c r="D1536" s="118" t="str">
        <f ca="1">IFERROR(__xludf.DUMMYFUNCTION("""COMPUTED_VALUE"""),"G")</f>
        <v>G</v>
      </c>
      <c r="E1536" s="118" t="str">
        <f ca="1">IFERROR(__xludf.DUMMYFUNCTION("""COMPUTED_VALUE"""),"F")</f>
        <v>F</v>
      </c>
      <c r="F1536" s="118" t="str">
        <f ca="1">IFERROR(__xludf.DUMMYFUNCTION("""COMPUTED_VALUE"""),"J")</f>
        <v>J</v>
      </c>
      <c r="G1536" s="118">
        <f ca="1">IFERROR(__xludf.DUMMYFUNCTION("""COMPUTED_VALUE"""),5)</f>
        <v>5</v>
      </c>
      <c r="H1536" s="118" t="str">
        <f ca="1">IFERROR(__xludf.DUMMYFUNCTION("""COMPUTED_VALUE"""),"R")</f>
        <v>R</v>
      </c>
      <c r="I1536" s="118">
        <f ca="1">IFERROR(__xludf.DUMMYFUNCTION("""COMPUTED_VALUE"""),4)</f>
        <v>4</v>
      </c>
      <c r="J1536" s="118">
        <f ca="1">IFERROR(__xludf.DUMMYFUNCTION("""COMPUTED_VALUE"""),0)</f>
        <v>0</v>
      </c>
      <c r="K1536" s="120"/>
      <c r="L1536" s="121"/>
      <c r="M1536" s="120"/>
      <c r="N1536" s="121"/>
      <c r="O1536" s="120"/>
      <c r="P1536" s="122"/>
      <c r="Q1536" s="123"/>
      <c r="R1536" s="123"/>
      <c r="S1536" s="123"/>
      <c r="T1536" s="123"/>
    </row>
    <row r="1537" spans="1:20" ht="13.8">
      <c r="A1537" s="118" t="str">
        <f ca="1">IFERROR(__xludf.DUMMYFUNCTION("""COMPUTED_VALUE"""),"R")</f>
        <v>R</v>
      </c>
      <c r="B1537" s="119" t="str">
        <f ca="1">IFERROR(__xludf.DUMMYFUNCTION("""COMPUTED_VALUE"""),"Claire Beaudoin")</f>
        <v>Claire Beaudoin</v>
      </c>
      <c r="C1537" s="118">
        <f ca="1">IFERROR(__xludf.DUMMYFUNCTION("""COMPUTED_VALUE"""),5)</f>
        <v>5</v>
      </c>
      <c r="D1537" s="118" t="str">
        <f ca="1">IFERROR(__xludf.DUMMYFUNCTION("""COMPUTED_VALUE"""),"G")</f>
        <v>G</v>
      </c>
      <c r="E1537" s="118" t="str">
        <f ca="1">IFERROR(__xludf.DUMMYFUNCTION("""COMPUTED_VALUE"""),"F")</f>
        <v>F</v>
      </c>
      <c r="F1537" s="118" t="str">
        <f ca="1">IFERROR(__xludf.DUMMYFUNCTION("""COMPUTED_VALUE"""),"J")</f>
        <v>J</v>
      </c>
      <c r="G1537" s="118">
        <f ca="1">IFERROR(__xludf.DUMMYFUNCTION("""COMPUTED_VALUE"""),5)</f>
        <v>5</v>
      </c>
      <c r="H1537" s="118" t="str">
        <f ca="1">IFERROR(__xludf.DUMMYFUNCTION("""COMPUTED_VALUE"""),"R")</f>
        <v>R</v>
      </c>
      <c r="I1537" s="118">
        <f ca="1">IFERROR(__xludf.DUMMYFUNCTION("""COMPUTED_VALUE"""),4)</f>
        <v>4</v>
      </c>
      <c r="J1537" s="118">
        <f ca="1">IFERROR(__xludf.DUMMYFUNCTION("""COMPUTED_VALUE"""),0)</f>
        <v>0</v>
      </c>
      <c r="K1537" s="120"/>
      <c r="L1537" s="121"/>
      <c r="M1537" s="120"/>
      <c r="N1537" s="121"/>
      <c r="O1537" s="120"/>
      <c r="P1537" s="122"/>
      <c r="Q1537" s="123"/>
      <c r="R1537" s="123"/>
      <c r="S1537" s="123"/>
      <c r="T1537" s="123"/>
    </row>
    <row r="1538" spans="1:20" ht="13.8">
      <c r="A1538" s="118" t="str">
        <f ca="1">IFERROR(__xludf.DUMMYFUNCTION("""COMPUTED_VALUE"""),"R")</f>
        <v>R</v>
      </c>
      <c r="B1538" s="119" t="str">
        <f ca="1">IFERROR(__xludf.DUMMYFUNCTION("""COMPUTED_VALUE"""),"Claire Yurgil")</f>
        <v>Claire Yurgil</v>
      </c>
      <c r="C1538" s="118">
        <f ca="1">IFERROR(__xludf.DUMMYFUNCTION("""COMPUTED_VALUE"""),8)</f>
        <v>8</v>
      </c>
      <c r="D1538" s="118" t="str">
        <f ca="1">IFERROR(__xludf.DUMMYFUNCTION("""COMPUTED_VALUE"""),"G")</f>
        <v>G</v>
      </c>
      <c r="E1538" s="118" t="str">
        <f ca="1">IFERROR(__xludf.DUMMYFUNCTION("""COMPUTED_VALUE"""),"F")</f>
        <v>F</v>
      </c>
      <c r="F1538" s="118" t="str">
        <f ca="1">IFERROR(__xludf.DUMMYFUNCTION("""COMPUTED_VALUE"""),"J")</f>
        <v>J</v>
      </c>
      <c r="G1538" s="118">
        <f ca="1">IFERROR(__xludf.DUMMYFUNCTION("""COMPUTED_VALUE"""),5)</f>
        <v>5</v>
      </c>
      <c r="H1538" s="118" t="str">
        <f ca="1">IFERROR(__xludf.DUMMYFUNCTION("""COMPUTED_VALUE"""),"R")</f>
        <v>R</v>
      </c>
      <c r="I1538" s="118">
        <f ca="1">IFERROR(__xludf.DUMMYFUNCTION("""COMPUTED_VALUE"""),4)</f>
        <v>4</v>
      </c>
      <c r="J1538" s="118">
        <f ca="1">IFERROR(__xludf.DUMMYFUNCTION("""COMPUTED_VALUE"""),3)</f>
        <v>3</v>
      </c>
      <c r="K1538" s="120">
        <f ca="1">IFERROR(__xludf.DUMMYFUNCTION("""COMPUTED_VALUE"""),36.55)</f>
        <v>36.549999999999997</v>
      </c>
      <c r="L1538" s="121"/>
      <c r="M1538" s="120">
        <f ca="1">IFERROR(__xludf.DUMMYFUNCTION("""COMPUTED_VALUE"""),36.55)</f>
        <v>36.549999999999997</v>
      </c>
      <c r="N1538" s="121"/>
      <c r="O1538" s="120">
        <f ca="1">IFERROR(__xludf.DUMMYFUNCTION("""COMPUTED_VALUE"""),34.65)</f>
        <v>34.65</v>
      </c>
      <c r="P1538" s="122"/>
      <c r="Q1538" s="123"/>
      <c r="R1538" s="123"/>
      <c r="S1538" s="123"/>
      <c r="T1538" s="123"/>
    </row>
    <row r="1539" spans="1:20" ht="13.8">
      <c r="A1539" s="118" t="str">
        <f ca="1">IFERROR(__xludf.DUMMYFUNCTION("""COMPUTED_VALUE"""),"R")</f>
        <v>R</v>
      </c>
      <c r="B1539" s="119" t="str">
        <f ca="1">IFERROR(__xludf.DUMMYFUNCTION("""COMPUTED_VALUE"""),"Dorothy Small")</f>
        <v>Dorothy Small</v>
      </c>
      <c r="C1539" s="118">
        <f ca="1">IFERROR(__xludf.DUMMYFUNCTION("""COMPUTED_VALUE"""),9)</f>
        <v>9</v>
      </c>
      <c r="D1539" s="118" t="str">
        <f ca="1">IFERROR(__xludf.DUMMYFUNCTION("""COMPUTED_VALUE"""),"G")</f>
        <v>G</v>
      </c>
      <c r="E1539" s="118" t="str">
        <f ca="1">IFERROR(__xludf.DUMMYFUNCTION("""COMPUTED_VALUE"""),"F")</f>
        <v>F</v>
      </c>
      <c r="F1539" s="118" t="str">
        <f ca="1">IFERROR(__xludf.DUMMYFUNCTION("""COMPUTED_VALUE"""),"J")</f>
        <v>J</v>
      </c>
      <c r="G1539" s="118">
        <f ca="1">IFERROR(__xludf.DUMMYFUNCTION("""COMPUTED_VALUE"""),5)</f>
        <v>5</v>
      </c>
      <c r="H1539" s="118" t="str">
        <f ca="1">IFERROR(__xludf.DUMMYFUNCTION("""COMPUTED_VALUE"""),"R")</f>
        <v>R</v>
      </c>
      <c r="I1539" s="118">
        <f ca="1">IFERROR(__xludf.DUMMYFUNCTION("""COMPUTED_VALUE"""),4)</f>
        <v>4</v>
      </c>
      <c r="J1539" s="118">
        <f ca="1">IFERROR(__xludf.DUMMYFUNCTION("""COMPUTED_VALUE"""),0)</f>
        <v>0</v>
      </c>
      <c r="K1539" s="120"/>
      <c r="L1539" s="121"/>
      <c r="M1539" s="120"/>
      <c r="N1539" s="121"/>
      <c r="O1539" s="120"/>
      <c r="P1539" s="122"/>
      <c r="Q1539" s="123"/>
      <c r="R1539" s="123"/>
      <c r="S1539" s="123"/>
      <c r="T1539" s="123"/>
    </row>
    <row r="1540" spans="1:20" ht="13.8">
      <c r="A1540" s="118" t="str">
        <f ca="1">IFERROR(__xludf.DUMMYFUNCTION("""COMPUTED_VALUE"""),"R")</f>
        <v>R</v>
      </c>
      <c r="B1540" s="119" t="str">
        <f ca="1">IFERROR(__xludf.DUMMYFUNCTION("""COMPUTED_VALUE"""),"Emma Khuc")</f>
        <v>Emma Khuc</v>
      </c>
      <c r="C1540" s="118">
        <f ca="1">IFERROR(__xludf.DUMMYFUNCTION("""COMPUTED_VALUE"""),8)</f>
        <v>8</v>
      </c>
      <c r="D1540" s="118" t="str">
        <f ca="1">IFERROR(__xludf.DUMMYFUNCTION("""COMPUTED_VALUE"""),"G")</f>
        <v>G</v>
      </c>
      <c r="E1540" s="118" t="str">
        <f ca="1">IFERROR(__xludf.DUMMYFUNCTION("""COMPUTED_VALUE"""),"F")</f>
        <v>F</v>
      </c>
      <c r="F1540" s="118" t="str">
        <f ca="1">IFERROR(__xludf.DUMMYFUNCTION("""COMPUTED_VALUE"""),"J")</f>
        <v>J</v>
      </c>
      <c r="G1540" s="118">
        <f ca="1">IFERROR(__xludf.DUMMYFUNCTION("""COMPUTED_VALUE"""),5)</f>
        <v>5</v>
      </c>
      <c r="H1540" s="118" t="str">
        <f ca="1">IFERROR(__xludf.DUMMYFUNCTION("""COMPUTED_VALUE"""),"R")</f>
        <v>R</v>
      </c>
      <c r="I1540" s="118">
        <f ca="1">IFERROR(__xludf.DUMMYFUNCTION("""COMPUTED_VALUE"""),4)</f>
        <v>4</v>
      </c>
      <c r="J1540" s="118">
        <f ca="1">IFERROR(__xludf.DUMMYFUNCTION("""COMPUTED_VALUE"""),0)</f>
        <v>0</v>
      </c>
      <c r="K1540" s="120"/>
      <c r="L1540" s="121"/>
      <c r="M1540" s="120"/>
      <c r="N1540" s="121"/>
      <c r="O1540" s="120"/>
      <c r="P1540" s="122"/>
      <c r="Q1540" s="123"/>
      <c r="R1540" s="123"/>
      <c r="S1540" s="123"/>
      <c r="T1540" s="123"/>
    </row>
    <row r="1541" spans="1:20" ht="13.8">
      <c r="A1541" s="118" t="str">
        <f ca="1">IFERROR(__xludf.DUMMYFUNCTION("""COMPUTED_VALUE"""),"R")</f>
        <v>R</v>
      </c>
      <c r="B1541" s="119" t="str">
        <f ca="1">IFERROR(__xludf.DUMMYFUNCTION("""COMPUTED_VALUE"""),"Emma Wiedemann")</f>
        <v>Emma Wiedemann</v>
      </c>
      <c r="C1541" s="118">
        <f ca="1">IFERROR(__xludf.DUMMYFUNCTION("""COMPUTED_VALUE"""),7)</f>
        <v>7</v>
      </c>
      <c r="D1541" s="118" t="str">
        <f ca="1">IFERROR(__xludf.DUMMYFUNCTION("""COMPUTED_VALUE"""),"G")</f>
        <v>G</v>
      </c>
      <c r="E1541" s="118" t="str">
        <f ca="1">IFERROR(__xludf.DUMMYFUNCTION("""COMPUTED_VALUE"""),"F")</f>
        <v>F</v>
      </c>
      <c r="F1541" s="118" t="str">
        <f ca="1">IFERROR(__xludf.DUMMYFUNCTION("""COMPUTED_VALUE"""),"J")</f>
        <v>J</v>
      </c>
      <c r="G1541" s="118">
        <f ca="1">IFERROR(__xludf.DUMMYFUNCTION("""COMPUTED_VALUE"""),5)</f>
        <v>5</v>
      </c>
      <c r="H1541" s="118" t="str">
        <f ca="1">IFERROR(__xludf.DUMMYFUNCTION("""COMPUTED_VALUE"""),"R")</f>
        <v>R</v>
      </c>
      <c r="I1541" s="118">
        <f ca="1">IFERROR(__xludf.DUMMYFUNCTION("""COMPUTED_VALUE"""),4)</f>
        <v>4</v>
      </c>
      <c r="J1541" s="118">
        <f ca="1">IFERROR(__xludf.DUMMYFUNCTION("""COMPUTED_VALUE"""),4)</f>
        <v>4</v>
      </c>
      <c r="K1541" s="120">
        <f ca="1">IFERROR(__xludf.DUMMYFUNCTION("""COMPUTED_VALUE"""),21.1)</f>
        <v>21.1</v>
      </c>
      <c r="L1541" s="121"/>
      <c r="M1541" s="120">
        <f ca="1">IFERROR(__xludf.DUMMYFUNCTION("""COMPUTED_VALUE"""),17.75)</f>
        <v>17.75</v>
      </c>
      <c r="N1541" s="121"/>
      <c r="O1541" s="120">
        <f ca="1">IFERROR(__xludf.DUMMYFUNCTION("""COMPUTED_VALUE"""),20.1)</f>
        <v>20.100000000000001</v>
      </c>
      <c r="P1541" s="122"/>
      <c r="Q1541" s="123"/>
      <c r="R1541" s="123"/>
      <c r="S1541" s="123"/>
      <c r="T1541" s="123"/>
    </row>
    <row r="1542" spans="1:20" ht="13.8">
      <c r="A1542" s="118" t="str">
        <f ca="1">IFERROR(__xludf.DUMMYFUNCTION("""COMPUTED_VALUE"""),"R")</f>
        <v>R</v>
      </c>
      <c r="B1542" s="119" t="str">
        <f ca="1">IFERROR(__xludf.DUMMYFUNCTION("""COMPUTED_VALUE"""),"Lauren Rueffert")</f>
        <v>Lauren Rueffert</v>
      </c>
      <c r="C1542" s="118">
        <f ca="1">IFERROR(__xludf.DUMMYFUNCTION("""COMPUTED_VALUE"""),10)</f>
        <v>10</v>
      </c>
      <c r="D1542" s="118" t="str">
        <f ca="1">IFERROR(__xludf.DUMMYFUNCTION("""COMPUTED_VALUE"""),"G")</f>
        <v>G</v>
      </c>
      <c r="E1542" s="118" t="str">
        <f ca="1">IFERROR(__xludf.DUMMYFUNCTION("""COMPUTED_VALUE"""),"F")</f>
        <v>F</v>
      </c>
      <c r="F1542" s="118" t="str">
        <f ca="1">IFERROR(__xludf.DUMMYFUNCTION("""COMPUTED_VALUE"""),"J")</f>
        <v>J</v>
      </c>
      <c r="G1542" s="118">
        <f ca="1">IFERROR(__xludf.DUMMYFUNCTION("""COMPUTED_VALUE"""),5)</f>
        <v>5</v>
      </c>
      <c r="H1542" s="118" t="str">
        <f ca="1">IFERROR(__xludf.DUMMYFUNCTION("""COMPUTED_VALUE"""),"R")</f>
        <v>R</v>
      </c>
      <c r="I1542" s="118">
        <f ca="1">IFERROR(__xludf.DUMMYFUNCTION("""COMPUTED_VALUE"""),4)</f>
        <v>4</v>
      </c>
      <c r="J1542" s="118">
        <f ca="1">IFERROR(__xludf.DUMMYFUNCTION("""COMPUTED_VALUE"""),0)</f>
        <v>0</v>
      </c>
      <c r="K1542" s="120"/>
      <c r="L1542" s="121"/>
      <c r="M1542" s="120"/>
      <c r="N1542" s="121"/>
      <c r="O1542" s="120"/>
      <c r="P1542" s="122"/>
      <c r="Q1542" s="123"/>
      <c r="R1542" s="123"/>
      <c r="S1542" s="123"/>
      <c r="T1542" s="123"/>
    </row>
    <row r="1543" spans="1:20" ht="13.8">
      <c r="A1543" s="118" t="str">
        <f ca="1">IFERROR(__xludf.DUMMYFUNCTION("""COMPUTED_VALUE"""),"R")</f>
        <v>R</v>
      </c>
      <c r="B1543" s="119" t="str">
        <f ca="1">IFERROR(__xludf.DUMMYFUNCTION("""COMPUTED_VALUE"""),"Lily McConnell")</f>
        <v>Lily McConnell</v>
      </c>
      <c r="C1543" s="118">
        <f ca="1">IFERROR(__xludf.DUMMYFUNCTION("""COMPUTED_VALUE"""),7)</f>
        <v>7</v>
      </c>
      <c r="D1543" s="118" t="str">
        <f ca="1">IFERROR(__xludf.DUMMYFUNCTION("""COMPUTED_VALUE"""),"G")</f>
        <v>G</v>
      </c>
      <c r="E1543" s="118" t="str">
        <f ca="1">IFERROR(__xludf.DUMMYFUNCTION("""COMPUTED_VALUE"""),"F")</f>
        <v>F</v>
      </c>
      <c r="F1543" s="118" t="str">
        <f ca="1">IFERROR(__xludf.DUMMYFUNCTION("""COMPUTED_VALUE"""),"J")</f>
        <v>J</v>
      </c>
      <c r="G1543" s="118">
        <f ca="1">IFERROR(__xludf.DUMMYFUNCTION("""COMPUTED_VALUE"""),5)</f>
        <v>5</v>
      </c>
      <c r="H1543" s="118" t="str">
        <f ca="1">IFERROR(__xludf.DUMMYFUNCTION("""COMPUTED_VALUE"""),"R")</f>
        <v>R</v>
      </c>
      <c r="I1543" s="118">
        <f ca="1">IFERROR(__xludf.DUMMYFUNCTION("""COMPUTED_VALUE"""),4)</f>
        <v>4</v>
      </c>
      <c r="J1543" s="118">
        <f ca="1">IFERROR(__xludf.DUMMYFUNCTION("""COMPUTED_VALUE"""),0)</f>
        <v>0</v>
      </c>
      <c r="K1543" s="120"/>
      <c r="L1543" s="121"/>
      <c r="M1543" s="120"/>
      <c r="N1543" s="121"/>
      <c r="O1543" s="120"/>
      <c r="P1543" s="122"/>
      <c r="Q1543" s="123"/>
      <c r="R1543" s="123"/>
      <c r="S1543" s="123"/>
      <c r="T1543" s="123"/>
    </row>
    <row r="1544" spans="1:20" ht="13.8">
      <c r="A1544" s="118" t="str">
        <f ca="1">IFERROR(__xludf.DUMMYFUNCTION("""COMPUTED_VALUE"""),"R")</f>
        <v>R</v>
      </c>
      <c r="B1544" s="119" t="str">
        <f ca="1">IFERROR(__xludf.DUMMYFUNCTION("""COMPUTED_VALUE"""),"Lydia Scruby")</f>
        <v>Lydia Scruby</v>
      </c>
      <c r="C1544" s="118">
        <f ca="1">IFERROR(__xludf.DUMMYFUNCTION("""COMPUTED_VALUE"""),10)</f>
        <v>10</v>
      </c>
      <c r="D1544" s="118" t="str">
        <f ca="1">IFERROR(__xludf.DUMMYFUNCTION("""COMPUTED_VALUE"""),"G")</f>
        <v>G</v>
      </c>
      <c r="E1544" s="118" t="str">
        <f ca="1">IFERROR(__xludf.DUMMYFUNCTION("""COMPUTED_VALUE"""),"F")</f>
        <v>F</v>
      </c>
      <c r="F1544" s="118" t="str">
        <f ca="1">IFERROR(__xludf.DUMMYFUNCTION("""COMPUTED_VALUE"""),"J")</f>
        <v>J</v>
      </c>
      <c r="G1544" s="118">
        <f ca="1">IFERROR(__xludf.DUMMYFUNCTION("""COMPUTED_VALUE"""),5)</f>
        <v>5</v>
      </c>
      <c r="H1544" s="118" t="str">
        <f ca="1">IFERROR(__xludf.DUMMYFUNCTION("""COMPUTED_VALUE"""),"R")</f>
        <v>R</v>
      </c>
      <c r="I1544" s="118">
        <f ca="1">IFERROR(__xludf.DUMMYFUNCTION("""COMPUTED_VALUE"""),4)</f>
        <v>4</v>
      </c>
      <c r="J1544" s="118">
        <f ca="1">IFERROR(__xludf.DUMMYFUNCTION("""COMPUTED_VALUE"""),0)</f>
        <v>0</v>
      </c>
      <c r="K1544" s="120"/>
      <c r="L1544" s="121"/>
      <c r="M1544" s="120"/>
      <c r="N1544" s="121"/>
      <c r="O1544" s="120"/>
      <c r="P1544" s="122"/>
      <c r="Q1544" s="123"/>
      <c r="R1544" s="123"/>
      <c r="S1544" s="123"/>
      <c r="T1544" s="123"/>
    </row>
    <row r="1545" spans="1:20" ht="13.8">
      <c r="A1545" s="118" t="str">
        <f ca="1">IFERROR(__xludf.DUMMYFUNCTION("""COMPUTED_VALUE"""),"R")</f>
        <v>R</v>
      </c>
      <c r="B1545" s="119" t="str">
        <f ca="1">IFERROR(__xludf.DUMMYFUNCTION("""COMPUTED_VALUE"""),"Mia Khuc")</f>
        <v>Mia Khuc</v>
      </c>
      <c r="C1545" s="118">
        <f ca="1">IFERROR(__xludf.DUMMYFUNCTION("""COMPUTED_VALUE"""),10)</f>
        <v>10</v>
      </c>
      <c r="D1545" s="118" t="str">
        <f ca="1">IFERROR(__xludf.DUMMYFUNCTION("""COMPUTED_VALUE"""),"G")</f>
        <v>G</v>
      </c>
      <c r="E1545" s="118" t="str">
        <f ca="1">IFERROR(__xludf.DUMMYFUNCTION("""COMPUTED_VALUE"""),"F")</f>
        <v>F</v>
      </c>
      <c r="F1545" s="118" t="str">
        <f ca="1">IFERROR(__xludf.DUMMYFUNCTION("""COMPUTED_VALUE"""),"J")</f>
        <v>J</v>
      </c>
      <c r="G1545" s="118">
        <f ca="1">IFERROR(__xludf.DUMMYFUNCTION("""COMPUTED_VALUE"""),5)</f>
        <v>5</v>
      </c>
      <c r="H1545" s="118" t="str">
        <f ca="1">IFERROR(__xludf.DUMMYFUNCTION("""COMPUTED_VALUE"""),"R")</f>
        <v>R</v>
      </c>
      <c r="I1545" s="118">
        <f ca="1">IFERROR(__xludf.DUMMYFUNCTION("""COMPUTED_VALUE"""),4)</f>
        <v>4</v>
      </c>
      <c r="J1545" s="118">
        <f ca="1">IFERROR(__xludf.DUMMYFUNCTION("""COMPUTED_VALUE"""),0)</f>
        <v>0</v>
      </c>
      <c r="K1545" s="120"/>
      <c r="L1545" s="121"/>
      <c r="M1545" s="120"/>
      <c r="N1545" s="121"/>
      <c r="O1545" s="120"/>
      <c r="P1545" s="122"/>
      <c r="Q1545" s="123"/>
      <c r="R1545" s="123"/>
      <c r="S1545" s="123"/>
      <c r="T1545" s="123"/>
    </row>
    <row r="1546" spans="1:20" ht="13.8">
      <c r="A1546" s="118" t="str">
        <f ca="1">IFERROR(__xludf.DUMMYFUNCTION("""COMPUTED_VALUE"""),"R")</f>
        <v>R</v>
      </c>
      <c r="B1546" s="119" t="str">
        <f ca="1">IFERROR(__xludf.DUMMYFUNCTION("""COMPUTED_VALUE"""),"Olivia Wisecarver")</f>
        <v>Olivia Wisecarver</v>
      </c>
      <c r="C1546" s="118">
        <f ca="1">IFERROR(__xludf.DUMMYFUNCTION("""COMPUTED_VALUE"""),7)</f>
        <v>7</v>
      </c>
      <c r="D1546" s="118" t="str">
        <f ca="1">IFERROR(__xludf.DUMMYFUNCTION("""COMPUTED_VALUE"""),"G")</f>
        <v>G</v>
      </c>
      <c r="E1546" s="118" t="str">
        <f ca="1">IFERROR(__xludf.DUMMYFUNCTION("""COMPUTED_VALUE"""),"F")</f>
        <v>F</v>
      </c>
      <c r="F1546" s="118" t="str">
        <f ca="1">IFERROR(__xludf.DUMMYFUNCTION("""COMPUTED_VALUE"""),"J")</f>
        <v>J</v>
      </c>
      <c r="G1546" s="118">
        <f ca="1">IFERROR(__xludf.DUMMYFUNCTION("""COMPUTED_VALUE"""),5)</f>
        <v>5</v>
      </c>
      <c r="H1546" s="118" t="str">
        <f ca="1">IFERROR(__xludf.DUMMYFUNCTION("""COMPUTED_VALUE"""),"R")</f>
        <v>R</v>
      </c>
      <c r="I1546" s="118">
        <f ca="1">IFERROR(__xludf.DUMMYFUNCTION("""COMPUTED_VALUE"""),4)</f>
        <v>4</v>
      </c>
      <c r="J1546" s="118">
        <f ca="1">IFERROR(__xludf.DUMMYFUNCTION("""COMPUTED_VALUE"""),4)</f>
        <v>4</v>
      </c>
      <c r="K1546" s="120">
        <f ca="1">IFERROR(__xludf.DUMMYFUNCTION("""COMPUTED_VALUE"""),37.3)</f>
        <v>37.299999999999997</v>
      </c>
      <c r="L1546" s="121"/>
      <c r="M1546" s="120">
        <f ca="1">IFERROR(__xludf.DUMMYFUNCTION("""COMPUTED_VALUE"""),27.05)</f>
        <v>27.05</v>
      </c>
      <c r="N1546" s="121"/>
      <c r="O1546" s="120"/>
      <c r="P1546" s="122"/>
      <c r="Q1546" s="123"/>
      <c r="R1546" s="123"/>
      <c r="S1546" s="123"/>
      <c r="T1546" s="123"/>
    </row>
    <row r="1547" spans="1:20" ht="13.8">
      <c r="A1547" s="118" t="str">
        <f ca="1">IFERROR(__xludf.DUMMYFUNCTION("""COMPUTED_VALUE"""),"R")</f>
        <v>R</v>
      </c>
      <c r="B1547" s="119" t="str">
        <f ca="1">IFERROR(__xludf.DUMMYFUNCTION("""COMPUTED_VALUE"""),"Aaron Scruby")</f>
        <v>Aaron Scruby</v>
      </c>
      <c r="C1547" s="118">
        <f ca="1">IFERROR(__xludf.DUMMYFUNCTION("""COMPUTED_VALUE"""),6)</f>
        <v>6</v>
      </c>
      <c r="D1547" s="118" t="str">
        <f ca="1">IFERROR(__xludf.DUMMYFUNCTION("""COMPUTED_VALUE"""),"B")</f>
        <v>B</v>
      </c>
      <c r="E1547" s="118" t="str">
        <f ca="1">IFERROR(__xludf.DUMMYFUNCTION("""COMPUTED_VALUE"""),"F")</f>
        <v>F</v>
      </c>
      <c r="F1547" s="118" t="str">
        <f ca="1">IFERROR(__xludf.DUMMYFUNCTION("""COMPUTED_VALUE"""),"J")</f>
        <v>J</v>
      </c>
      <c r="G1547" s="118">
        <f ca="1">IFERROR(__xludf.DUMMYFUNCTION("""COMPUTED_VALUE"""),5)</f>
        <v>5</v>
      </c>
      <c r="H1547" s="118" t="str">
        <f ca="1">IFERROR(__xludf.DUMMYFUNCTION("""COMPUTED_VALUE"""),"R")</f>
        <v>R</v>
      </c>
      <c r="I1547" s="118">
        <f ca="1">IFERROR(__xludf.DUMMYFUNCTION("""COMPUTED_VALUE"""),5)</f>
        <v>5</v>
      </c>
      <c r="J1547" s="118">
        <f ca="1">IFERROR(__xludf.DUMMYFUNCTION("""COMPUTED_VALUE"""),2)</f>
        <v>2</v>
      </c>
      <c r="K1547" s="120">
        <f ca="1">IFERROR(__xludf.DUMMYFUNCTION("""COMPUTED_VALUE"""),16.8)</f>
        <v>16.8</v>
      </c>
      <c r="L1547" s="121"/>
      <c r="M1547" s="120">
        <f ca="1">IFERROR(__xludf.DUMMYFUNCTION("""COMPUTED_VALUE"""),16.8)</f>
        <v>16.8</v>
      </c>
      <c r="N1547" s="121"/>
      <c r="O1547" s="120"/>
      <c r="P1547" s="122"/>
      <c r="Q1547" s="123"/>
      <c r="R1547" s="123"/>
      <c r="S1547" s="123"/>
      <c r="T1547" s="123"/>
    </row>
    <row r="1548" spans="1:20" ht="13.8">
      <c r="A1548" s="118" t="str">
        <f ca="1">IFERROR(__xludf.DUMMYFUNCTION("""COMPUTED_VALUE"""),"R")</f>
        <v>R</v>
      </c>
      <c r="B1548" s="119" t="str">
        <f ca="1">IFERROR(__xludf.DUMMYFUNCTION("""COMPUTED_VALUE"""),"Beck Nazarshoyev")</f>
        <v>Beck Nazarshoyev</v>
      </c>
      <c r="C1548" s="118">
        <f ca="1">IFERROR(__xludf.DUMMYFUNCTION("""COMPUTED_VALUE"""),8)</f>
        <v>8</v>
      </c>
      <c r="D1548" s="118" t="str">
        <f ca="1">IFERROR(__xludf.DUMMYFUNCTION("""COMPUTED_VALUE"""),"B")</f>
        <v>B</v>
      </c>
      <c r="E1548" s="118" t="str">
        <f ca="1">IFERROR(__xludf.DUMMYFUNCTION("""COMPUTED_VALUE"""),"F")</f>
        <v>F</v>
      </c>
      <c r="F1548" s="118" t="str">
        <f ca="1">IFERROR(__xludf.DUMMYFUNCTION("""COMPUTED_VALUE"""),"J")</f>
        <v>J</v>
      </c>
      <c r="G1548" s="118">
        <f ca="1">IFERROR(__xludf.DUMMYFUNCTION("""COMPUTED_VALUE"""),5)</f>
        <v>5</v>
      </c>
      <c r="H1548" s="118" t="str">
        <f ca="1">IFERROR(__xludf.DUMMYFUNCTION("""COMPUTED_VALUE"""),"R")</f>
        <v>R</v>
      </c>
      <c r="I1548" s="118">
        <f ca="1">IFERROR(__xludf.DUMMYFUNCTION("""COMPUTED_VALUE"""),5)</f>
        <v>5</v>
      </c>
      <c r="J1548" s="118">
        <f ca="1">IFERROR(__xludf.DUMMYFUNCTION("""COMPUTED_VALUE"""),0)</f>
        <v>0</v>
      </c>
      <c r="K1548" s="120"/>
      <c r="L1548" s="121"/>
      <c r="M1548" s="120"/>
      <c r="N1548" s="121"/>
      <c r="O1548" s="120"/>
      <c r="P1548" s="122"/>
      <c r="Q1548" s="123"/>
      <c r="R1548" s="123"/>
      <c r="S1548" s="123"/>
      <c r="T1548" s="123"/>
    </row>
    <row r="1549" spans="1:20" ht="13.8">
      <c r="A1549" s="118" t="str">
        <f ca="1">IFERROR(__xludf.DUMMYFUNCTION("""COMPUTED_VALUE"""),"R")</f>
        <v>R</v>
      </c>
      <c r="B1549" s="119" t="str">
        <f ca="1">IFERROR(__xludf.DUMMYFUNCTION("""COMPUTED_VALUE"""),"Declan Prunty")</f>
        <v>Declan Prunty</v>
      </c>
      <c r="C1549" s="118">
        <f ca="1">IFERROR(__xludf.DUMMYFUNCTION("""COMPUTED_VALUE"""),8)</f>
        <v>8</v>
      </c>
      <c r="D1549" s="118" t="str">
        <f ca="1">IFERROR(__xludf.DUMMYFUNCTION("""COMPUTED_VALUE"""),"B")</f>
        <v>B</v>
      </c>
      <c r="E1549" s="118" t="str">
        <f ca="1">IFERROR(__xludf.DUMMYFUNCTION("""COMPUTED_VALUE"""),"F")</f>
        <v>F</v>
      </c>
      <c r="F1549" s="118" t="str">
        <f ca="1">IFERROR(__xludf.DUMMYFUNCTION("""COMPUTED_VALUE"""),"J")</f>
        <v>J</v>
      </c>
      <c r="G1549" s="118">
        <f ca="1">IFERROR(__xludf.DUMMYFUNCTION("""COMPUTED_VALUE"""),5)</f>
        <v>5</v>
      </c>
      <c r="H1549" s="118" t="str">
        <f ca="1">IFERROR(__xludf.DUMMYFUNCTION("""COMPUTED_VALUE"""),"R")</f>
        <v>R</v>
      </c>
      <c r="I1549" s="118">
        <f ca="1">IFERROR(__xludf.DUMMYFUNCTION("""COMPUTED_VALUE"""),5)</f>
        <v>5</v>
      </c>
      <c r="J1549" s="118">
        <f ca="1">IFERROR(__xludf.DUMMYFUNCTION("""COMPUTED_VALUE"""),5)</f>
        <v>5</v>
      </c>
      <c r="K1549" s="120">
        <f ca="1">IFERROR(__xludf.DUMMYFUNCTION("""COMPUTED_VALUE"""),65.1)</f>
        <v>65.099999999999994</v>
      </c>
      <c r="L1549" s="121"/>
      <c r="M1549" s="120">
        <f ca="1">IFERROR(__xludf.DUMMYFUNCTION("""COMPUTED_VALUE"""),53.75)</f>
        <v>53.75</v>
      </c>
      <c r="N1549" s="121"/>
      <c r="O1549" s="120">
        <f ca="1">IFERROR(__xludf.DUMMYFUNCTION("""COMPUTED_VALUE"""),54.05)</f>
        <v>54.05</v>
      </c>
      <c r="P1549" s="122"/>
      <c r="Q1549" s="123"/>
      <c r="R1549" s="123"/>
      <c r="S1549" s="123"/>
      <c r="T1549" s="123"/>
    </row>
    <row r="1550" spans="1:20" ht="13.8">
      <c r="A1550" s="118" t="str">
        <f ca="1">IFERROR(__xludf.DUMMYFUNCTION("""COMPUTED_VALUE"""),"R")</f>
        <v>R</v>
      </c>
      <c r="B1550" s="119" t="str">
        <f ca="1">IFERROR(__xludf.DUMMYFUNCTION("""COMPUTED_VALUE"""),"Dominic Meruvia")</f>
        <v>Dominic Meruvia</v>
      </c>
      <c r="C1550" s="118">
        <f ca="1">IFERROR(__xludf.DUMMYFUNCTION("""COMPUTED_VALUE"""),9)</f>
        <v>9</v>
      </c>
      <c r="D1550" s="118" t="str">
        <f ca="1">IFERROR(__xludf.DUMMYFUNCTION("""COMPUTED_VALUE"""),"B")</f>
        <v>B</v>
      </c>
      <c r="E1550" s="118" t="str">
        <f ca="1">IFERROR(__xludf.DUMMYFUNCTION("""COMPUTED_VALUE"""),"F")</f>
        <v>F</v>
      </c>
      <c r="F1550" s="118" t="str">
        <f ca="1">IFERROR(__xludf.DUMMYFUNCTION("""COMPUTED_VALUE"""),"J")</f>
        <v>J</v>
      </c>
      <c r="G1550" s="118">
        <f ca="1">IFERROR(__xludf.DUMMYFUNCTION("""COMPUTED_VALUE"""),5)</f>
        <v>5</v>
      </c>
      <c r="H1550" s="118" t="str">
        <f ca="1">IFERROR(__xludf.DUMMYFUNCTION("""COMPUTED_VALUE"""),"R")</f>
        <v>R</v>
      </c>
      <c r="I1550" s="118">
        <f ca="1">IFERROR(__xludf.DUMMYFUNCTION("""COMPUTED_VALUE"""),5)</f>
        <v>5</v>
      </c>
      <c r="J1550" s="118">
        <f ca="1">IFERROR(__xludf.DUMMYFUNCTION("""COMPUTED_VALUE"""),3)</f>
        <v>3</v>
      </c>
      <c r="K1550" s="120">
        <f ca="1">IFERROR(__xludf.DUMMYFUNCTION("""COMPUTED_VALUE"""),41.1)</f>
        <v>41.1</v>
      </c>
      <c r="L1550" s="121"/>
      <c r="M1550" s="120"/>
      <c r="N1550" s="121"/>
      <c r="O1550" s="120">
        <f ca="1">IFERROR(__xludf.DUMMYFUNCTION("""COMPUTED_VALUE"""),31.45)</f>
        <v>31.45</v>
      </c>
      <c r="P1550" s="122"/>
      <c r="Q1550" s="123"/>
      <c r="R1550" s="123"/>
      <c r="S1550" s="123"/>
      <c r="T1550" s="123"/>
    </row>
    <row r="1551" spans="1:20" ht="13.8">
      <c r="A1551" s="118" t="str">
        <f ca="1">IFERROR(__xludf.DUMMYFUNCTION("""COMPUTED_VALUE"""),"R")</f>
        <v>R</v>
      </c>
      <c r="B1551" s="119" t="str">
        <f ca="1">IFERROR(__xludf.DUMMYFUNCTION("""COMPUTED_VALUE"""),"Ryan Phung")</f>
        <v>Ryan Phung</v>
      </c>
      <c r="C1551" s="118">
        <f ca="1">IFERROR(__xludf.DUMMYFUNCTION("""COMPUTED_VALUE"""),9)</f>
        <v>9</v>
      </c>
      <c r="D1551" s="118" t="str">
        <f ca="1">IFERROR(__xludf.DUMMYFUNCTION("""COMPUTED_VALUE"""),"B")</f>
        <v>B</v>
      </c>
      <c r="E1551" s="118" t="str">
        <f ca="1">IFERROR(__xludf.DUMMYFUNCTION("""COMPUTED_VALUE"""),"F")</f>
        <v>F</v>
      </c>
      <c r="F1551" s="118" t="str">
        <f ca="1">IFERROR(__xludf.DUMMYFUNCTION("""COMPUTED_VALUE"""),"J")</f>
        <v>J</v>
      </c>
      <c r="G1551" s="118">
        <f ca="1">IFERROR(__xludf.DUMMYFUNCTION("""COMPUTED_VALUE"""),5)</f>
        <v>5</v>
      </c>
      <c r="H1551" s="118" t="str">
        <f ca="1">IFERROR(__xludf.DUMMYFUNCTION("""COMPUTED_VALUE"""),"R")</f>
        <v>R</v>
      </c>
      <c r="I1551" s="118">
        <f ca="1">IFERROR(__xludf.DUMMYFUNCTION("""COMPUTED_VALUE"""),5)</f>
        <v>5</v>
      </c>
      <c r="J1551" s="118">
        <f ca="1">IFERROR(__xludf.DUMMYFUNCTION("""COMPUTED_VALUE"""),5)</f>
        <v>5</v>
      </c>
      <c r="K1551" s="120">
        <f ca="1">IFERROR(__xludf.DUMMYFUNCTION("""COMPUTED_VALUE"""),48.35)</f>
        <v>48.35</v>
      </c>
      <c r="L1551" s="121"/>
      <c r="M1551" s="120">
        <f ca="1">IFERROR(__xludf.DUMMYFUNCTION("""COMPUTED_VALUE"""),40.8)</f>
        <v>40.799999999999997</v>
      </c>
      <c r="N1551" s="121"/>
      <c r="O1551" s="120">
        <f ca="1">IFERROR(__xludf.DUMMYFUNCTION("""COMPUTED_VALUE"""),34.5)</f>
        <v>34.5</v>
      </c>
      <c r="P1551" s="122"/>
      <c r="Q1551" s="123"/>
      <c r="R1551" s="123"/>
      <c r="S1551" s="123"/>
      <c r="T1551" s="123"/>
    </row>
    <row r="1552" spans="1:20" ht="13.8">
      <c r="A1552" s="118" t="str">
        <f ca="1">IFERROR(__xludf.DUMMYFUNCTION("""COMPUTED_VALUE"""),"R")</f>
        <v>R</v>
      </c>
      <c r="B1552" s="119" t="str">
        <f ca="1">IFERROR(__xludf.DUMMYFUNCTION("""COMPUTED_VALUE"""),"Sami Ramon")</f>
        <v>Sami Ramon</v>
      </c>
      <c r="C1552" s="118">
        <f ca="1">IFERROR(__xludf.DUMMYFUNCTION("""COMPUTED_VALUE"""),8)</f>
        <v>8</v>
      </c>
      <c r="D1552" s="118" t="str">
        <f ca="1">IFERROR(__xludf.DUMMYFUNCTION("""COMPUTED_VALUE"""),"B")</f>
        <v>B</v>
      </c>
      <c r="E1552" s="118" t="str">
        <f ca="1">IFERROR(__xludf.DUMMYFUNCTION("""COMPUTED_VALUE"""),"F")</f>
        <v>F</v>
      </c>
      <c r="F1552" s="118" t="str">
        <f ca="1">IFERROR(__xludf.DUMMYFUNCTION("""COMPUTED_VALUE"""),"J")</f>
        <v>J</v>
      </c>
      <c r="G1552" s="118">
        <f ca="1">IFERROR(__xludf.DUMMYFUNCTION("""COMPUTED_VALUE"""),5)</f>
        <v>5</v>
      </c>
      <c r="H1552" s="118" t="str">
        <f ca="1">IFERROR(__xludf.DUMMYFUNCTION("""COMPUTED_VALUE"""),"R")</f>
        <v>R</v>
      </c>
      <c r="I1552" s="118">
        <f ca="1">IFERROR(__xludf.DUMMYFUNCTION("""COMPUTED_VALUE"""),5)</f>
        <v>5</v>
      </c>
      <c r="J1552" s="118">
        <f ca="1">IFERROR(__xludf.DUMMYFUNCTION("""COMPUTED_VALUE"""),0)</f>
        <v>0</v>
      </c>
      <c r="K1552" s="120"/>
      <c r="L1552" s="121"/>
      <c r="M1552" s="120"/>
      <c r="N1552" s="121"/>
      <c r="O1552" s="120"/>
      <c r="P1552" s="122"/>
      <c r="Q1552" s="123"/>
      <c r="R1552" s="123"/>
      <c r="S1552" s="123"/>
      <c r="T1552" s="123"/>
    </row>
    <row r="1553" spans="1:20" ht="13.8">
      <c r="A1553" s="118" t="str">
        <f ca="1">IFERROR(__xludf.DUMMYFUNCTION("""COMPUTED_VALUE"""),"R")</f>
        <v>R</v>
      </c>
      <c r="B1553" s="119" t="str">
        <f ca="1">IFERROR(__xludf.DUMMYFUNCTION("""COMPUTED_VALUE"""),"Will Feeney")</f>
        <v>Will Feeney</v>
      </c>
      <c r="C1553" s="118">
        <f ca="1">IFERROR(__xludf.DUMMYFUNCTION("""COMPUTED_VALUE"""),9)</f>
        <v>9</v>
      </c>
      <c r="D1553" s="118" t="str">
        <f ca="1">IFERROR(__xludf.DUMMYFUNCTION("""COMPUTED_VALUE"""),"B")</f>
        <v>B</v>
      </c>
      <c r="E1553" s="118" t="str">
        <f ca="1">IFERROR(__xludf.DUMMYFUNCTION("""COMPUTED_VALUE"""),"F")</f>
        <v>F</v>
      </c>
      <c r="F1553" s="118" t="str">
        <f ca="1">IFERROR(__xludf.DUMMYFUNCTION("""COMPUTED_VALUE"""),"J")</f>
        <v>J</v>
      </c>
      <c r="G1553" s="118">
        <f ca="1">IFERROR(__xludf.DUMMYFUNCTION("""COMPUTED_VALUE"""),5)</f>
        <v>5</v>
      </c>
      <c r="H1553" s="118" t="str">
        <f ca="1">IFERROR(__xludf.DUMMYFUNCTION("""COMPUTED_VALUE"""),"R")</f>
        <v>R</v>
      </c>
      <c r="I1553" s="118">
        <f ca="1">IFERROR(__xludf.DUMMYFUNCTION("""COMPUTED_VALUE"""),5)</f>
        <v>5</v>
      </c>
      <c r="J1553" s="118">
        <f ca="1">IFERROR(__xludf.DUMMYFUNCTION("""COMPUTED_VALUE"""),3)</f>
        <v>3</v>
      </c>
      <c r="K1553" s="120">
        <f ca="1">IFERROR(__xludf.DUMMYFUNCTION("""COMPUTED_VALUE"""),65.8)</f>
        <v>65.8</v>
      </c>
      <c r="L1553" s="121"/>
      <c r="M1553" s="120">
        <f ca="1">IFERROR(__xludf.DUMMYFUNCTION("""COMPUTED_VALUE"""),65.8)</f>
        <v>65.8</v>
      </c>
      <c r="N1553" s="121"/>
      <c r="O1553" s="120"/>
      <c r="P1553" s="122"/>
      <c r="Q1553" s="123"/>
      <c r="R1553" s="123"/>
      <c r="S1553" s="123"/>
      <c r="T1553" s="123"/>
    </row>
    <row r="1554" spans="1:20" ht="13.8">
      <c r="A1554" s="118" t="str">
        <f ca="1">IFERROR(__xludf.DUMMYFUNCTION("""COMPUTED_VALUE"""),"R")</f>
        <v>R</v>
      </c>
      <c r="B1554" s="119" t="str">
        <f ca="1">IFERROR(__xludf.DUMMYFUNCTION("""COMPUTED_VALUE"""),"Yusef Suqi")</f>
        <v>Yusef Suqi</v>
      </c>
      <c r="C1554" s="118">
        <f ca="1">IFERROR(__xludf.DUMMYFUNCTION("""COMPUTED_VALUE"""),10)</f>
        <v>10</v>
      </c>
      <c r="D1554" s="118" t="str">
        <f ca="1">IFERROR(__xludf.DUMMYFUNCTION("""COMPUTED_VALUE"""),"B")</f>
        <v>B</v>
      </c>
      <c r="E1554" s="118" t="str">
        <f ca="1">IFERROR(__xludf.DUMMYFUNCTION("""COMPUTED_VALUE"""),"F")</f>
        <v>F</v>
      </c>
      <c r="F1554" s="118" t="str">
        <f ca="1">IFERROR(__xludf.DUMMYFUNCTION("""COMPUTED_VALUE"""),"J")</f>
        <v>J</v>
      </c>
      <c r="G1554" s="118">
        <f ca="1">IFERROR(__xludf.DUMMYFUNCTION("""COMPUTED_VALUE"""),5)</f>
        <v>5</v>
      </c>
      <c r="H1554" s="118" t="str">
        <f ca="1">IFERROR(__xludf.DUMMYFUNCTION("""COMPUTED_VALUE"""),"R")</f>
        <v>R</v>
      </c>
      <c r="I1554" s="118">
        <f ca="1">IFERROR(__xludf.DUMMYFUNCTION("""COMPUTED_VALUE"""),5)</f>
        <v>5</v>
      </c>
      <c r="J1554" s="118">
        <f ca="1">IFERROR(__xludf.DUMMYFUNCTION("""COMPUTED_VALUE"""),5)</f>
        <v>5</v>
      </c>
      <c r="K1554" s="120">
        <f ca="1">IFERROR(__xludf.DUMMYFUNCTION("""COMPUTED_VALUE"""),57.5)</f>
        <v>57.5</v>
      </c>
      <c r="L1554" s="121"/>
      <c r="M1554" s="120">
        <f ca="1">IFERROR(__xludf.DUMMYFUNCTION("""COMPUTED_VALUE"""),40.5)</f>
        <v>40.5</v>
      </c>
      <c r="N1554" s="121"/>
      <c r="O1554" s="120">
        <f ca="1">IFERROR(__xludf.DUMMYFUNCTION("""COMPUTED_VALUE"""),53.4)</f>
        <v>53.4</v>
      </c>
      <c r="P1554" s="122"/>
      <c r="Q1554" s="123"/>
      <c r="R1554" s="123"/>
      <c r="S1554" s="123"/>
      <c r="T1554" s="123"/>
    </row>
    <row r="1555" spans="1:20" ht="13.8">
      <c r="A1555" s="118" t="str">
        <f ca="1">IFERROR(__xludf.DUMMYFUNCTION("""COMPUTED_VALUE"""),"R")</f>
        <v>R</v>
      </c>
      <c r="B1555" s="119" t="str">
        <f ca="1">IFERROR(__xludf.DUMMYFUNCTION("""COMPUTED_VALUE"""),"Karolina Ramon")</f>
        <v>Karolina Ramon</v>
      </c>
      <c r="C1555" s="118">
        <f ca="1">IFERROR(__xludf.DUMMYFUNCTION("""COMPUTED_VALUE"""),11)</f>
        <v>11</v>
      </c>
      <c r="D1555" s="118" t="str">
        <f ca="1">IFERROR(__xludf.DUMMYFUNCTION("""COMPUTED_VALUE"""),"G")</f>
        <v>G</v>
      </c>
      <c r="E1555" s="118" t="str">
        <f ca="1">IFERROR(__xludf.DUMMYFUNCTION("""COMPUTED_VALUE"""),"J")</f>
        <v>J</v>
      </c>
      <c r="F1555" s="118" t="str">
        <f ca="1">IFERROR(__xludf.DUMMYFUNCTION("""COMPUTED_VALUE"""),"I")</f>
        <v>I</v>
      </c>
      <c r="G1555" s="118">
        <f ca="1">IFERROR(__xludf.DUMMYFUNCTION("""COMPUTED_VALUE"""),5)</f>
        <v>5</v>
      </c>
      <c r="H1555" s="118" t="str">
        <f ca="1">IFERROR(__xludf.DUMMYFUNCTION("""COMPUTED_VALUE"""),"R")</f>
        <v>R</v>
      </c>
      <c r="I1555" s="118">
        <f ca="1">IFERROR(__xludf.DUMMYFUNCTION("""COMPUTED_VALUE"""),6)</f>
        <v>6</v>
      </c>
      <c r="J1555" s="118">
        <f ca="1">IFERROR(__xludf.DUMMYFUNCTION("""COMPUTED_VALUE"""),2)</f>
        <v>2</v>
      </c>
      <c r="K1555" s="120">
        <f ca="1">IFERROR(__xludf.DUMMYFUNCTION("""COMPUTED_VALUE"""),71)</f>
        <v>71</v>
      </c>
      <c r="L1555" s="121"/>
      <c r="M1555" s="120"/>
      <c r="N1555" s="121"/>
      <c r="O1555" s="120"/>
      <c r="P1555" s="122"/>
      <c r="Q1555" s="123"/>
      <c r="R1555" s="123"/>
      <c r="S1555" s="123"/>
      <c r="T1555" s="123"/>
    </row>
    <row r="1556" spans="1:20" ht="13.8">
      <c r="A1556" s="118" t="str">
        <f ca="1">IFERROR(__xludf.DUMMYFUNCTION("""COMPUTED_VALUE"""),"R")</f>
        <v>R</v>
      </c>
      <c r="B1556" s="119" t="str">
        <f ca="1">IFERROR(__xludf.DUMMYFUNCTION("""COMPUTED_VALUE"""),"Leila Suqi")</f>
        <v>Leila Suqi</v>
      </c>
      <c r="C1556" s="118">
        <f ca="1">IFERROR(__xludf.DUMMYFUNCTION("""COMPUTED_VALUE"""),11)</f>
        <v>11</v>
      </c>
      <c r="D1556" s="118" t="str">
        <f ca="1">IFERROR(__xludf.DUMMYFUNCTION("""COMPUTED_VALUE"""),"G")</f>
        <v>G</v>
      </c>
      <c r="E1556" s="118" t="str">
        <f ca="1">IFERROR(__xludf.DUMMYFUNCTION("""COMPUTED_VALUE"""),"J")</f>
        <v>J</v>
      </c>
      <c r="F1556" s="118" t="str">
        <f ca="1">IFERROR(__xludf.DUMMYFUNCTION("""COMPUTED_VALUE"""),"I")</f>
        <v>I</v>
      </c>
      <c r="G1556" s="118">
        <f ca="1">IFERROR(__xludf.DUMMYFUNCTION("""COMPUTED_VALUE"""),5)</f>
        <v>5</v>
      </c>
      <c r="H1556" s="118" t="str">
        <f ca="1">IFERROR(__xludf.DUMMYFUNCTION("""COMPUTED_VALUE"""),"R")</f>
        <v>R</v>
      </c>
      <c r="I1556" s="118">
        <f ca="1">IFERROR(__xludf.DUMMYFUNCTION("""COMPUTED_VALUE"""),6)</f>
        <v>6</v>
      </c>
      <c r="J1556" s="118">
        <f ca="1">IFERROR(__xludf.DUMMYFUNCTION("""COMPUTED_VALUE"""),4)</f>
        <v>4</v>
      </c>
      <c r="K1556" s="120">
        <f ca="1">IFERROR(__xludf.DUMMYFUNCTION("""COMPUTED_VALUE"""),57.15)</f>
        <v>57.15</v>
      </c>
      <c r="L1556" s="121"/>
      <c r="M1556" s="120">
        <f ca="1">IFERROR(__xludf.DUMMYFUNCTION("""COMPUTED_VALUE"""),57.15)</f>
        <v>57.15</v>
      </c>
      <c r="N1556" s="121"/>
      <c r="O1556" s="120"/>
      <c r="P1556" s="122"/>
      <c r="Q1556" s="123"/>
      <c r="R1556" s="123"/>
      <c r="S1556" s="123"/>
      <c r="T1556" s="123"/>
    </row>
    <row r="1557" spans="1:20" ht="13.8">
      <c r="A1557" s="118" t="str">
        <f ca="1">IFERROR(__xludf.DUMMYFUNCTION("""COMPUTED_VALUE"""),"R")</f>
        <v>R</v>
      </c>
      <c r="B1557" s="119" t="str">
        <f ca="1">IFERROR(__xludf.DUMMYFUNCTION("""COMPUTED_VALUE"""),"Lucy Bennett")</f>
        <v>Lucy Bennett</v>
      </c>
      <c r="C1557" s="118">
        <f ca="1">IFERROR(__xludf.DUMMYFUNCTION("""COMPUTED_VALUE"""),12)</f>
        <v>12</v>
      </c>
      <c r="D1557" s="118" t="str">
        <f ca="1">IFERROR(__xludf.DUMMYFUNCTION("""COMPUTED_VALUE"""),"G")</f>
        <v>G</v>
      </c>
      <c r="E1557" s="118" t="str">
        <f ca="1">IFERROR(__xludf.DUMMYFUNCTION("""COMPUTED_VALUE"""),"J")</f>
        <v>J</v>
      </c>
      <c r="F1557" s="118" t="str">
        <f ca="1">IFERROR(__xludf.DUMMYFUNCTION("""COMPUTED_VALUE"""),"I")</f>
        <v>I</v>
      </c>
      <c r="G1557" s="118">
        <f ca="1">IFERROR(__xludf.DUMMYFUNCTION("""COMPUTED_VALUE"""),5)</f>
        <v>5</v>
      </c>
      <c r="H1557" s="118" t="str">
        <f ca="1">IFERROR(__xludf.DUMMYFUNCTION("""COMPUTED_VALUE"""),"R")</f>
        <v>R</v>
      </c>
      <c r="I1557" s="118">
        <f ca="1">IFERROR(__xludf.DUMMYFUNCTION("""COMPUTED_VALUE"""),6)</f>
        <v>6</v>
      </c>
      <c r="J1557" s="118">
        <f ca="1">IFERROR(__xludf.DUMMYFUNCTION("""COMPUTED_VALUE"""),5)</f>
        <v>5</v>
      </c>
      <c r="K1557" s="120">
        <f ca="1">IFERROR(__xludf.DUMMYFUNCTION("""COMPUTED_VALUE"""),100.65)</f>
        <v>100.65</v>
      </c>
      <c r="L1557" s="121"/>
      <c r="M1557" s="120">
        <f ca="1">IFERROR(__xludf.DUMMYFUNCTION("""COMPUTED_VALUE"""),87.3)</f>
        <v>87.3</v>
      </c>
      <c r="N1557" s="121"/>
      <c r="O1557" s="120">
        <f ca="1">IFERROR(__xludf.DUMMYFUNCTION("""COMPUTED_VALUE"""),92.25)</f>
        <v>92.25</v>
      </c>
      <c r="P1557" s="122"/>
      <c r="Q1557" s="123"/>
      <c r="R1557" s="123"/>
      <c r="S1557" s="123"/>
      <c r="T1557" s="123"/>
    </row>
    <row r="1558" spans="1:20" ht="13.8">
      <c r="A1558" s="118" t="str">
        <f ca="1">IFERROR(__xludf.DUMMYFUNCTION("""COMPUTED_VALUE"""),"R")</f>
        <v>R</v>
      </c>
      <c r="B1558" s="119" t="str">
        <f ca="1">IFERROR(__xludf.DUMMYFUNCTION("""COMPUTED_VALUE"""),"Sophia McConnell")</f>
        <v>Sophia McConnell</v>
      </c>
      <c r="C1558" s="118">
        <f ca="1">IFERROR(__xludf.DUMMYFUNCTION("""COMPUTED_VALUE"""),12)</f>
        <v>12</v>
      </c>
      <c r="D1558" s="118" t="str">
        <f ca="1">IFERROR(__xludf.DUMMYFUNCTION("""COMPUTED_VALUE"""),"G")</f>
        <v>G</v>
      </c>
      <c r="E1558" s="118" t="str">
        <f ca="1">IFERROR(__xludf.DUMMYFUNCTION("""COMPUTED_VALUE"""),"J")</f>
        <v>J</v>
      </c>
      <c r="F1558" s="118" t="str">
        <f ca="1">IFERROR(__xludf.DUMMYFUNCTION("""COMPUTED_VALUE"""),"I")</f>
        <v>I</v>
      </c>
      <c r="G1558" s="118">
        <f ca="1">IFERROR(__xludf.DUMMYFUNCTION("""COMPUTED_VALUE"""),5)</f>
        <v>5</v>
      </c>
      <c r="H1558" s="118" t="str">
        <f ca="1">IFERROR(__xludf.DUMMYFUNCTION("""COMPUTED_VALUE"""),"R")</f>
        <v>R</v>
      </c>
      <c r="I1558" s="118">
        <f ca="1">IFERROR(__xludf.DUMMYFUNCTION("""COMPUTED_VALUE"""),6)</f>
        <v>6</v>
      </c>
      <c r="J1558" s="118">
        <f ca="1">IFERROR(__xludf.DUMMYFUNCTION("""COMPUTED_VALUE"""),5)</f>
        <v>5</v>
      </c>
      <c r="K1558" s="120">
        <f ca="1">IFERROR(__xludf.DUMMYFUNCTION("""COMPUTED_VALUE"""),84.55)</f>
        <v>84.55</v>
      </c>
      <c r="L1558" s="121"/>
      <c r="M1558" s="120">
        <f ca="1">IFERROR(__xludf.DUMMYFUNCTION("""COMPUTED_VALUE"""),71.85)</f>
        <v>71.849999999999994</v>
      </c>
      <c r="N1558" s="121"/>
      <c r="O1558" s="120">
        <f ca="1">IFERROR(__xludf.DUMMYFUNCTION("""COMPUTED_VALUE"""),72.05)</f>
        <v>72.05</v>
      </c>
      <c r="P1558" s="122"/>
      <c r="Q1558" s="123"/>
      <c r="R1558" s="123"/>
      <c r="S1558" s="123"/>
      <c r="T1558" s="123"/>
    </row>
    <row r="1559" spans="1:20" ht="13.8">
      <c r="A1559" s="118" t="str">
        <f ca="1">IFERROR(__xludf.DUMMYFUNCTION("""COMPUTED_VALUE"""),"R")</f>
        <v>R</v>
      </c>
      <c r="B1559" s="119" t="str">
        <f ca="1">IFERROR(__xludf.DUMMYFUNCTION("""COMPUTED_VALUE"""),"Vivian Meruvia")</f>
        <v>Vivian Meruvia</v>
      </c>
      <c r="C1559" s="118">
        <f ca="1">IFERROR(__xludf.DUMMYFUNCTION("""COMPUTED_VALUE"""),11)</f>
        <v>11</v>
      </c>
      <c r="D1559" s="118" t="str">
        <f ca="1">IFERROR(__xludf.DUMMYFUNCTION("""COMPUTED_VALUE"""),"G")</f>
        <v>G</v>
      </c>
      <c r="E1559" s="118" t="str">
        <f ca="1">IFERROR(__xludf.DUMMYFUNCTION("""COMPUTED_VALUE"""),"J")</f>
        <v>J</v>
      </c>
      <c r="F1559" s="118" t="str">
        <f ca="1">IFERROR(__xludf.DUMMYFUNCTION("""COMPUTED_VALUE"""),"I")</f>
        <v>I</v>
      </c>
      <c r="G1559" s="118">
        <f ca="1">IFERROR(__xludf.DUMMYFUNCTION("""COMPUTED_VALUE"""),5)</f>
        <v>5</v>
      </c>
      <c r="H1559" s="118" t="str">
        <f ca="1">IFERROR(__xludf.DUMMYFUNCTION("""COMPUTED_VALUE"""),"R")</f>
        <v>R</v>
      </c>
      <c r="I1559" s="118">
        <f ca="1">IFERROR(__xludf.DUMMYFUNCTION("""COMPUTED_VALUE"""),6)</f>
        <v>6</v>
      </c>
      <c r="J1559" s="118">
        <f ca="1">IFERROR(__xludf.DUMMYFUNCTION("""COMPUTED_VALUE"""),3)</f>
        <v>3</v>
      </c>
      <c r="K1559" s="120">
        <f ca="1">IFERROR(__xludf.DUMMYFUNCTION("""COMPUTED_VALUE"""),61.1)</f>
        <v>61.1</v>
      </c>
      <c r="L1559" s="121"/>
      <c r="M1559" s="120"/>
      <c r="N1559" s="121"/>
      <c r="O1559" s="120">
        <f ca="1">IFERROR(__xludf.DUMMYFUNCTION("""COMPUTED_VALUE"""),61.1)</f>
        <v>61.1</v>
      </c>
      <c r="P1559" s="122"/>
      <c r="Q1559" s="123"/>
      <c r="R1559" s="123"/>
      <c r="S1559" s="123"/>
      <c r="T1559" s="123"/>
    </row>
    <row r="1560" spans="1:20" ht="13.8">
      <c r="A1560" s="118" t="str">
        <f ca="1">IFERROR(__xludf.DUMMYFUNCTION("""COMPUTED_VALUE"""),"R")</f>
        <v>R</v>
      </c>
      <c r="B1560" s="119" t="str">
        <f ca="1">IFERROR(__xludf.DUMMYFUNCTION("""COMPUTED_VALUE"""),"Jackson Phung")</f>
        <v>Jackson Phung</v>
      </c>
      <c r="C1560" s="118">
        <f ca="1">IFERROR(__xludf.DUMMYFUNCTION("""COMPUTED_VALUE"""),11)</f>
        <v>11</v>
      </c>
      <c r="D1560" s="118" t="str">
        <f ca="1">IFERROR(__xludf.DUMMYFUNCTION("""COMPUTED_VALUE"""),"B")</f>
        <v>B</v>
      </c>
      <c r="E1560" s="118" t="str">
        <f ca="1">IFERROR(__xludf.DUMMYFUNCTION("""COMPUTED_VALUE"""),"J")</f>
        <v>J</v>
      </c>
      <c r="F1560" s="118" t="str">
        <f ca="1">IFERROR(__xludf.DUMMYFUNCTION("""COMPUTED_VALUE"""),"I")</f>
        <v>I</v>
      </c>
      <c r="G1560" s="118">
        <f ca="1">IFERROR(__xludf.DUMMYFUNCTION("""COMPUTED_VALUE"""),5)</f>
        <v>5</v>
      </c>
      <c r="H1560" s="118" t="str">
        <f ca="1">IFERROR(__xludf.DUMMYFUNCTION("""COMPUTED_VALUE"""),"R")</f>
        <v>R</v>
      </c>
      <c r="I1560" s="118">
        <f ca="1">IFERROR(__xludf.DUMMYFUNCTION("""COMPUTED_VALUE"""),7)</f>
        <v>7</v>
      </c>
      <c r="J1560" s="118">
        <f ca="1">IFERROR(__xludf.DUMMYFUNCTION("""COMPUTED_VALUE"""),5)</f>
        <v>5</v>
      </c>
      <c r="K1560" s="120">
        <f ca="1">IFERROR(__xludf.DUMMYFUNCTION("""COMPUTED_VALUE"""),73.35)</f>
        <v>73.349999999999994</v>
      </c>
      <c r="L1560" s="121"/>
      <c r="M1560" s="120">
        <f ca="1">IFERROR(__xludf.DUMMYFUNCTION("""COMPUTED_VALUE"""),70.95)</f>
        <v>70.95</v>
      </c>
      <c r="N1560" s="121"/>
      <c r="O1560" s="120">
        <f ca="1">IFERROR(__xludf.DUMMYFUNCTION("""COMPUTED_VALUE"""),67.7)</f>
        <v>67.7</v>
      </c>
      <c r="P1560" s="122"/>
      <c r="Q1560" s="123"/>
      <c r="R1560" s="123"/>
      <c r="S1560" s="123"/>
      <c r="T1560" s="123"/>
    </row>
    <row r="1561" spans="1:20" ht="13.8">
      <c r="A1561" s="118" t="str">
        <f ca="1">IFERROR(__xludf.DUMMYFUNCTION("""COMPUTED_VALUE"""),"R")</f>
        <v>R</v>
      </c>
      <c r="B1561" s="119" t="str">
        <f ca="1">IFERROR(__xludf.DUMMYFUNCTION("""COMPUTED_VALUE"""),"Jasper Figley")</f>
        <v>Jasper Figley</v>
      </c>
      <c r="C1561" s="118">
        <f ca="1">IFERROR(__xludf.DUMMYFUNCTION("""COMPUTED_VALUE"""),12)</f>
        <v>12</v>
      </c>
      <c r="D1561" s="118" t="str">
        <f ca="1">IFERROR(__xludf.DUMMYFUNCTION("""COMPUTED_VALUE"""),"B")</f>
        <v>B</v>
      </c>
      <c r="E1561" s="118" t="str">
        <f ca="1">IFERROR(__xludf.DUMMYFUNCTION("""COMPUTED_VALUE"""),"J")</f>
        <v>J</v>
      </c>
      <c r="F1561" s="118" t="str">
        <f ca="1">IFERROR(__xludf.DUMMYFUNCTION("""COMPUTED_VALUE"""),"I")</f>
        <v>I</v>
      </c>
      <c r="G1561" s="118">
        <f ca="1">IFERROR(__xludf.DUMMYFUNCTION("""COMPUTED_VALUE"""),5)</f>
        <v>5</v>
      </c>
      <c r="H1561" s="118" t="str">
        <f ca="1">IFERROR(__xludf.DUMMYFUNCTION("""COMPUTED_VALUE"""),"R")</f>
        <v>R</v>
      </c>
      <c r="I1561" s="118">
        <f ca="1">IFERROR(__xludf.DUMMYFUNCTION("""COMPUTED_VALUE"""),7)</f>
        <v>7</v>
      </c>
      <c r="J1561" s="118">
        <f ca="1">IFERROR(__xludf.DUMMYFUNCTION("""COMPUTED_VALUE"""),5)</f>
        <v>5</v>
      </c>
      <c r="K1561" s="120">
        <f ca="1">IFERROR(__xludf.DUMMYFUNCTION("""COMPUTED_VALUE"""),86)</f>
        <v>86</v>
      </c>
      <c r="L1561" s="121"/>
      <c r="M1561" s="120">
        <f ca="1">IFERROR(__xludf.DUMMYFUNCTION("""COMPUTED_VALUE"""),82.3)</f>
        <v>82.3</v>
      </c>
      <c r="N1561" s="121"/>
      <c r="O1561" s="120">
        <f ca="1">IFERROR(__xludf.DUMMYFUNCTION("""COMPUTED_VALUE"""),84.25)</f>
        <v>84.25</v>
      </c>
      <c r="P1561" s="122"/>
      <c r="Q1561" s="123"/>
      <c r="R1561" s="123"/>
      <c r="S1561" s="123"/>
      <c r="T1561" s="123"/>
    </row>
    <row r="1562" spans="1:20" ht="13.8">
      <c r="A1562" s="118" t="str">
        <f ca="1">IFERROR(__xludf.DUMMYFUNCTION("""COMPUTED_VALUE"""),"R")</f>
        <v>R</v>
      </c>
      <c r="B1562" s="119" t="str">
        <f ca="1">IFERROR(__xludf.DUMMYFUNCTION("""COMPUTED_VALUE"""),"Paul DiCola")</f>
        <v>Paul DiCola</v>
      </c>
      <c r="C1562" s="118">
        <f ca="1">IFERROR(__xludf.DUMMYFUNCTION("""COMPUTED_VALUE"""),12)</f>
        <v>12</v>
      </c>
      <c r="D1562" s="118" t="str">
        <f ca="1">IFERROR(__xludf.DUMMYFUNCTION("""COMPUTED_VALUE"""),"B")</f>
        <v>B</v>
      </c>
      <c r="E1562" s="118" t="str">
        <f ca="1">IFERROR(__xludf.DUMMYFUNCTION("""COMPUTED_VALUE"""),"J")</f>
        <v>J</v>
      </c>
      <c r="F1562" s="118" t="str">
        <f ca="1">IFERROR(__xludf.DUMMYFUNCTION("""COMPUTED_VALUE"""),"I")</f>
        <v>I</v>
      </c>
      <c r="G1562" s="118">
        <f ca="1">IFERROR(__xludf.DUMMYFUNCTION("""COMPUTED_VALUE"""),5)</f>
        <v>5</v>
      </c>
      <c r="H1562" s="118" t="str">
        <f ca="1">IFERROR(__xludf.DUMMYFUNCTION("""COMPUTED_VALUE"""),"R")</f>
        <v>R</v>
      </c>
      <c r="I1562" s="118">
        <f ca="1">IFERROR(__xludf.DUMMYFUNCTION("""COMPUTED_VALUE"""),7)</f>
        <v>7</v>
      </c>
      <c r="J1562" s="118">
        <f ca="1">IFERROR(__xludf.DUMMYFUNCTION("""COMPUTED_VALUE"""),5)</f>
        <v>5</v>
      </c>
      <c r="K1562" s="120">
        <f ca="1">IFERROR(__xludf.DUMMYFUNCTION("""COMPUTED_VALUE"""),82.9)</f>
        <v>82.9</v>
      </c>
      <c r="L1562" s="121"/>
      <c r="M1562" s="120">
        <f ca="1">IFERROR(__xludf.DUMMYFUNCTION("""COMPUTED_VALUE"""),58.15)</f>
        <v>58.15</v>
      </c>
      <c r="N1562" s="121"/>
      <c r="O1562" s="120">
        <f ca="1">IFERROR(__xludf.DUMMYFUNCTION("""COMPUTED_VALUE"""),77.45)</f>
        <v>77.45</v>
      </c>
      <c r="P1562" s="122"/>
      <c r="Q1562" s="123"/>
      <c r="R1562" s="123"/>
      <c r="S1562" s="123"/>
      <c r="T1562" s="123"/>
    </row>
    <row r="1563" spans="1:20" ht="13.8">
      <c r="A1563" s="118" t="str">
        <f ca="1">IFERROR(__xludf.DUMMYFUNCTION("""COMPUTED_VALUE"""),"R")</f>
        <v>R</v>
      </c>
      <c r="B1563" s="119" t="str">
        <f ca="1">IFERROR(__xludf.DUMMYFUNCTION("""COMPUTED_VALUE"""),"Zavier Roberts")</f>
        <v>Zavier Roberts</v>
      </c>
      <c r="C1563" s="118">
        <f ca="1">IFERROR(__xludf.DUMMYFUNCTION("""COMPUTED_VALUE"""),12)</f>
        <v>12</v>
      </c>
      <c r="D1563" s="118" t="str">
        <f ca="1">IFERROR(__xludf.DUMMYFUNCTION("""COMPUTED_VALUE"""),"B")</f>
        <v>B</v>
      </c>
      <c r="E1563" s="118" t="str">
        <f ca="1">IFERROR(__xludf.DUMMYFUNCTION("""COMPUTED_VALUE"""),"J")</f>
        <v>J</v>
      </c>
      <c r="F1563" s="118" t="str">
        <f ca="1">IFERROR(__xludf.DUMMYFUNCTION("""COMPUTED_VALUE"""),"I")</f>
        <v>I</v>
      </c>
      <c r="G1563" s="118">
        <f ca="1">IFERROR(__xludf.DUMMYFUNCTION("""COMPUTED_VALUE"""),5)</f>
        <v>5</v>
      </c>
      <c r="H1563" s="118" t="str">
        <f ca="1">IFERROR(__xludf.DUMMYFUNCTION("""COMPUTED_VALUE"""),"R")</f>
        <v>R</v>
      </c>
      <c r="I1563" s="118">
        <f ca="1">IFERROR(__xludf.DUMMYFUNCTION("""COMPUTED_VALUE"""),7)</f>
        <v>7</v>
      </c>
      <c r="J1563" s="118">
        <f ca="1">IFERROR(__xludf.DUMMYFUNCTION("""COMPUTED_VALUE"""),5)</f>
        <v>5</v>
      </c>
      <c r="K1563" s="120">
        <f ca="1">IFERROR(__xludf.DUMMYFUNCTION("""COMPUTED_VALUE"""),81.95)</f>
        <v>81.95</v>
      </c>
      <c r="L1563" s="121"/>
      <c r="M1563" s="120">
        <f ca="1">IFERROR(__xludf.DUMMYFUNCTION("""COMPUTED_VALUE"""),58.9)</f>
        <v>58.9</v>
      </c>
      <c r="N1563" s="121"/>
      <c r="O1563" s="120">
        <f ca="1">IFERROR(__xludf.DUMMYFUNCTION("""COMPUTED_VALUE"""),80.35)</f>
        <v>80.349999999999994</v>
      </c>
      <c r="P1563" s="122"/>
      <c r="Q1563" s="123"/>
      <c r="R1563" s="123"/>
      <c r="S1563" s="123"/>
      <c r="T1563" s="123"/>
    </row>
    <row r="1564" spans="1:20" ht="13.8">
      <c r="A1564" s="118" t="str">
        <f ca="1">IFERROR(__xludf.DUMMYFUNCTION("""COMPUTED_VALUE"""),"R")</f>
        <v>R</v>
      </c>
      <c r="B1564" s="119" t="str">
        <f ca="1">IFERROR(__xludf.DUMMYFUNCTION("""COMPUTED_VALUE"""),"Delilah Copas")</f>
        <v>Delilah Copas</v>
      </c>
      <c r="C1564" s="118">
        <f ca="1">IFERROR(__xludf.DUMMYFUNCTION("""COMPUTED_VALUE"""),13)</f>
        <v>13</v>
      </c>
      <c r="D1564" s="118" t="str">
        <f ca="1">IFERROR(__xludf.DUMMYFUNCTION("""COMPUTED_VALUE"""),"G")</f>
        <v>G</v>
      </c>
      <c r="E1564" s="118" t="str">
        <f ca="1">IFERROR(__xludf.DUMMYFUNCTION("""COMPUTED_VALUE"""),"I")</f>
        <v>I</v>
      </c>
      <c r="F1564" s="118" t="str">
        <f ca="1">IFERROR(__xludf.DUMMYFUNCTION("""COMPUTED_VALUE"""),"S")</f>
        <v>S</v>
      </c>
      <c r="G1564" s="118">
        <f ca="1">IFERROR(__xludf.DUMMYFUNCTION("""COMPUTED_VALUE"""),5)</f>
        <v>5</v>
      </c>
      <c r="H1564" s="118" t="str">
        <f ca="1">IFERROR(__xludf.DUMMYFUNCTION("""COMPUTED_VALUE"""),"R")</f>
        <v>R</v>
      </c>
      <c r="I1564" s="118">
        <f ca="1">IFERROR(__xludf.DUMMYFUNCTION("""COMPUTED_VALUE"""),8)</f>
        <v>8</v>
      </c>
      <c r="J1564" s="118">
        <f ca="1">IFERROR(__xludf.DUMMYFUNCTION("""COMPUTED_VALUE"""),0)</f>
        <v>0</v>
      </c>
      <c r="K1564" s="120"/>
      <c r="L1564" s="121"/>
      <c r="M1564" s="120"/>
      <c r="N1564" s="121"/>
      <c r="O1564" s="120"/>
      <c r="P1564" s="122"/>
      <c r="Q1564" s="123"/>
      <c r="R1564" s="123"/>
      <c r="S1564" s="123"/>
      <c r="T1564" s="123"/>
    </row>
    <row r="1565" spans="1:20" ht="13.8">
      <c r="A1565" s="118" t="str">
        <f ca="1">IFERROR(__xludf.DUMMYFUNCTION("""COMPUTED_VALUE"""),"R")</f>
        <v>R</v>
      </c>
      <c r="B1565" s="119" t="str">
        <f ca="1">IFERROR(__xludf.DUMMYFUNCTION("""COMPUTED_VALUE"""),"Elsa Constantino")</f>
        <v>Elsa Constantino</v>
      </c>
      <c r="C1565" s="118">
        <f ca="1">IFERROR(__xludf.DUMMYFUNCTION("""COMPUTED_VALUE"""),13)</f>
        <v>13</v>
      </c>
      <c r="D1565" s="118" t="str">
        <f ca="1">IFERROR(__xludf.DUMMYFUNCTION("""COMPUTED_VALUE"""),"G")</f>
        <v>G</v>
      </c>
      <c r="E1565" s="118" t="str">
        <f ca="1">IFERROR(__xludf.DUMMYFUNCTION("""COMPUTED_VALUE"""),"I")</f>
        <v>I</v>
      </c>
      <c r="F1565" s="118" t="str">
        <f ca="1">IFERROR(__xludf.DUMMYFUNCTION("""COMPUTED_VALUE"""),"S")</f>
        <v>S</v>
      </c>
      <c r="G1565" s="118">
        <f ca="1">IFERROR(__xludf.DUMMYFUNCTION("""COMPUTED_VALUE"""),5)</f>
        <v>5</v>
      </c>
      <c r="H1565" s="118" t="str">
        <f ca="1">IFERROR(__xludf.DUMMYFUNCTION("""COMPUTED_VALUE"""),"R")</f>
        <v>R</v>
      </c>
      <c r="I1565" s="118">
        <f ca="1">IFERROR(__xludf.DUMMYFUNCTION("""COMPUTED_VALUE"""),8)</f>
        <v>8</v>
      </c>
      <c r="J1565" s="118">
        <f ca="1">IFERROR(__xludf.DUMMYFUNCTION("""COMPUTED_VALUE"""),4)</f>
        <v>4</v>
      </c>
      <c r="K1565" s="120">
        <f ca="1">IFERROR(__xludf.DUMMYFUNCTION("""COMPUTED_VALUE"""),105.35)</f>
        <v>105.35</v>
      </c>
      <c r="L1565" s="121"/>
      <c r="M1565" s="120"/>
      <c r="N1565" s="121"/>
      <c r="O1565" s="120">
        <f ca="1">IFERROR(__xludf.DUMMYFUNCTION("""COMPUTED_VALUE"""),97.25)</f>
        <v>97.25</v>
      </c>
      <c r="P1565" s="122"/>
      <c r="Q1565" s="123"/>
      <c r="R1565" s="123"/>
      <c r="S1565" s="123"/>
      <c r="T1565" s="123"/>
    </row>
    <row r="1566" spans="1:20" ht="13.8">
      <c r="A1566" s="118" t="str">
        <f ca="1">IFERROR(__xludf.DUMMYFUNCTION("""COMPUTED_VALUE"""),"R")</f>
        <v>R</v>
      </c>
      <c r="B1566" s="119" t="str">
        <f ca="1">IFERROR(__xludf.DUMMYFUNCTION("""COMPUTED_VALUE"""),"Miah Henderson")</f>
        <v>Miah Henderson</v>
      </c>
      <c r="C1566" s="118">
        <f ca="1">IFERROR(__xludf.DUMMYFUNCTION("""COMPUTED_VALUE"""),13)</f>
        <v>13</v>
      </c>
      <c r="D1566" s="118" t="str">
        <f ca="1">IFERROR(__xludf.DUMMYFUNCTION("""COMPUTED_VALUE"""),"G")</f>
        <v>G</v>
      </c>
      <c r="E1566" s="118" t="str">
        <f ca="1">IFERROR(__xludf.DUMMYFUNCTION("""COMPUTED_VALUE"""),"I")</f>
        <v>I</v>
      </c>
      <c r="F1566" s="118" t="str">
        <f ca="1">IFERROR(__xludf.DUMMYFUNCTION("""COMPUTED_VALUE"""),"S")</f>
        <v>S</v>
      </c>
      <c r="G1566" s="118">
        <f ca="1">IFERROR(__xludf.DUMMYFUNCTION("""COMPUTED_VALUE"""),5)</f>
        <v>5</v>
      </c>
      <c r="H1566" s="118" t="str">
        <f ca="1">IFERROR(__xludf.DUMMYFUNCTION("""COMPUTED_VALUE"""),"R")</f>
        <v>R</v>
      </c>
      <c r="I1566" s="118">
        <f ca="1">IFERROR(__xludf.DUMMYFUNCTION("""COMPUTED_VALUE"""),8)</f>
        <v>8</v>
      </c>
      <c r="J1566" s="118">
        <f ca="1">IFERROR(__xludf.DUMMYFUNCTION("""COMPUTED_VALUE"""),3)</f>
        <v>3</v>
      </c>
      <c r="K1566" s="120">
        <f ca="1">IFERROR(__xludf.DUMMYFUNCTION("""COMPUTED_VALUE"""),-154.6)</f>
        <v>-154.6</v>
      </c>
      <c r="L1566" s="121"/>
      <c r="M1566" s="120">
        <f ca="1">IFERROR(__xludf.DUMMYFUNCTION("""COMPUTED_VALUE"""),-174.35)</f>
        <v>-174.35</v>
      </c>
      <c r="N1566" s="121"/>
      <c r="O1566" s="120">
        <f ca="1">IFERROR(__xludf.DUMMYFUNCTION("""COMPUTED_VALUE"""),-154.6)</f>
        <v>-154.6</v>
      </c>
      <c r="P1566" s="122"/>
      <c r="Q1566" s="123"/>
      <c r="R1566" s="123"/>
      <c r="S1566" s="123"/>
      <c r="T1566" s="123"/>
    </row>
    <row r="1567" spans="1:20" ht="13.8">
      <c r="A1567" s="118" t="str">
        <f ca="1">IFERROR(__xludf.DUMMYFUNCTION("""COMPUTED_VALUE"""),"R")</f>
        <v>R</v>
      </c>
      <c r="B1567" s="119" t="str">
        <f ca="1">IFERROR(__xludf.DUMMYFUNCTION("""COMPUTED_VALUE"""),"Sofia DiCola")</f>
        <v>Sofia DiCola</v>
      </c>
      <c r="C1567" s="118">
        <f ca="1">IFERROR(__xludf.DUMMYFUNCTION("""COMPUTED_VALUE"""),14)</f>
        <v>14</v>
      </c>
      <c r="D1567" s="118" t="str">
        <f ca="1">IFERROR(__xludf.DUMMYFUNCTION("""COMPUTED_VALUE"""),"G")</f>
        <v>G</v>
      </c>
      <c r="E1567" s="118" t="str">
        <f ca="1">IFERROR(__xludf.DUMMYFUNCTION("""COMPUTED_VALUE"""),"I")</f>
        <v>I</v>
      </c>
      <c r="F1567" s="118" t="str">
        <f ca="1">IFERROR(__xludf.DUMMYFUNCTION("""COMPUTED_VALUE"""),"S")</f>
        <v>S</v>
      </c>
      <c r="G1567" s="118">
        <f ca="1">IFERROR(__xludf.DUMMYFUNCTION("""COMPUTED_VALUE"""),5)</f>
        <v>5</v>
      </c>
      <c r="H1567" s="118" t="str">
        <f ca="1">IFERROR(__xludf.DUMMYFUNCTION("""COMPUTED_VALUE"""),"R")</f>
        <v>R</v>
      </c>
      <c r="I1567" s="118">
        <f ca="1">IFERROR(__xludf.DUMMYFUNCTION("""COMPUTED_VALUE"""),8)</f>
        <v>8</v>
      </c>
      <c r="J1567" s="118">
        <f ca="1">IFERROR(__xludf.DUMMYFUNCTION("""COMPUTED_VALUE"""),5)</f>
        <v>5</v>
      </c>
      <c r="K1567" s="120">
        <f ca="1">IFERROR(__xludf.DUMMYFUNCTION("""COMPUTED_VALUE"""),136.9)</f>
        <v>136.9</v>
      </c>
      <c r="L1567" s="121"/>
      <c r="M1567" s="120">
        <f ca="1">IFERROR(__xludf.DUMMYFUNCTION("""COMPUTED_VALUE"""),133.7)</f>
        <v>133.69999999999999</v>
      </c>
      <c r="N1567" s="121"/>
      <c r="O1567" s="120">
        <f ca="1">IFERROR(__xludf.DUMMYFUNCTION("""COMPUTED_VALUE"""),116.3)</f>
        <v>116.3</v>
      </c>
      <c r="P1567" s="122"/>
      <c r="Q1567" s="123"/>
      <c r="R1567" s="123"/>
      <c r="S1567" s="123"/>
      <c r="T1567" s="123"/>
    </row>
    <row r="1568" spans="1:20" ht="13.8">
      <c r="A1568" s="118" t="str">
        <f ca="1">IFERROR(__xludf.DUMMYFUNCTION("""COMPUTED_VALUE"""),"R")</f>
        <v>R</v>
      </c>
      <c r="B1568" s="119" t="str">
        <f ca="1">IFERROR(__xludf.DUMMYFUNCTION("""COMPUTED_VALUE"""),"Andrew Bean")</f>
        <v>Andrew Bean</v>
      </c>
      <c r="C1568" s="118">
        <f ca="1">IFERROR(__xludf.DUMMYFUNCTION("""COMPUTED_VALUE"""),14)</f>
        <v>14</v>
      </c>
      <c r="D1568" s="118" t="str">
        <f ca="1">IFERROR(__xludf.DUMMYFUNCTION("""COMPUTED_VALUE"""),"B")</f>
        <v>B</v>
      </c>
      <c r="E1568" s="118" t="str">
        <f ca="1">IFERROR(__xludf.DUMMYFUNCTION("""COMPUTED_VALUE"""),"I")</f>
        <v>I</v>
      </c>
      <c r="F1568" s="118" t="str">
        <f ca="1">IFERROR(__xludf.DUMMYFUNCTION("""COMPUTED_VALUE"""),"S")</f>
        <v>S</v>
      </c>
      <c r="G1568" s="118">
        <f ca="1">IFERROR(__xludf.DUMMYFUNCTION("""COMPUTED_VALUE"""),5)</f>
        <v>5</v>
      </c>
      <c r="H1568" s="118" t="str">
        <f ca="1">IFERROR(__xludf.DUMMYFUNCTION("""COMPUTED_VALUE"""),"R")</f>
        <v>R</v>
      </c>
      <c r="I1568" s="118">
        <f ca="1">IFERROR(__xludf.DUMMYFUNCTION("""COMPUTED_VALUE"""),9)</f>
        <v>9</v>
      </c>
      <c r="J1568" s="118">
        <f ca="1">IFERROR(__xludf.DUMMYFUNCTION("""COMPUTED_VALUE"""),2)</f>
        <v>2</v>
      </c>
      <c r="K1568" s="120">
        <f ca="1">IFERROR(__xludf.DUMMYFUNCTION("""COMPUTED_VALUE"""),97.35)</f>
        <v>97.35</v>
      </c>
      <c r="L1568" s="121"/>
      <c r="M1568" s="120"/>
      <c r="N1568" s="121"/>
      <c r="O1568" s="120"/>
      <c r="P1568" s="122"/>
      <c r="Q1568" s="123"/>
      <c r="R1568" s="123"/>
      <c r="S1568" s="123"/>
      <c r="T1568" s="123"/>
    </row>
    <row r="1569" spans="1:20" ht="13.8">
      <c r="A1569" s="118" t="str">
        <f ca="1">IFERROR(__xludf.DUMMYFUNCTION("""COMPUTED_VALUE"""),"R")</f>
        <v>R</v>
      </c>
      <c r="B1569" s="119" t="str">
        <f ca="1">IFERROR(__xludf.DUMMYFUNCTION("""COMPUTED_VALUE"""),"Caleb Orban")</f>
        <v>Caleb Orban</v>
      </c>
      <c r="C1569" s="118">
        <f ca="1">IFERROR(__xludf.DUMMYFUNCTION("""COMPUTED_VALUE"""),13)</f>
        <v>13</v>
      </c>
      <c r="D1569" s="118" t="str">
        <f ca="1">IFERROR(__xludf.DUMMYFUNCTION("""COMPUTED_VALUE"""),"B")</f>
        <v>B</v>
      </c>
      <c r="E1569" s="118" t="str">
        <f ca="1">IFERROR(__xludf.DUMMYFUNCTION("""COMPUTED_VALUE"""),"I")</f>
        <v>I</v>
      </c>
      <c r="F1569" s="118" t="str">
        <f ca="1">IFERROR(__xludf.DUMMYFUNCTION("""COMPUTED_VALUE"""),"S")</f>
        <v>S</v>
      </c>
      <c r="G1569" s="118">
        <f ca="1">IFERROR(__xludf.DUMMYFUNCTION("""COMPUTED_VALUE"""),5)</f>
        <v>5</v>
      </c>
      <c r="H1569" s="118" t="str">
        <f ca="1">IFERROR(__xludf.DUMMYFUNCTION("""COMPUTED_VALUE"""),"R")</f>
        <v>R</v>
      </c>
      <c r="I1569" s="118">
        <f ca="1">IFERROR(__xludf.DUMMYFUNCTION("""COMPUTED_VALUE"""),9)</f>
        <v>9</v>
      </c>
      <c r="J1569" s="118">
        <f ca="1">IFERROR(__xludf.DUMMYFUNCTION("""COMPUTED_VALUE"""),5)</f>
        <v>5</v>
      </c>
      <c r="K1569" s="120">
        <f ca="1">IFERROR(__xludf.DUMMYFUNCTION("""COMPUTED_VALUE"""),113.7)</f>
        <v>113.7</v>
      </c>
      <c r="L1569" s="121"/>
      <c r="M1569" s="120">
        <f ca="1">IFERROR(__xludf.DUMMYFUNCTION("""COMPUTED_VALUE"""),92.3)</f>
        <v>92.3</v>
      </c>
      <c r="N1569" s="121"/>
      <c r="O1569" s="120">
        <f ca="1">IFERROR(__xludf.DUMMYFUNCTION("""COMPUTED_VALUE"""),82.4)</f>
        <v>82.4</v>
      </c>
      <c r="P1569" s="122"/>
      <c r="Q1569" s="123"/>
      <c r="R1569" s="123"/>
      <c r="S1569" s="123"/>
      <c r="T1569" s="123"/>
    </row>
    <row r="1570" spans="1:20" ht="13.8">
      <c r="A1570" s="118" t="str">
        <f ca="1">IFERROR(__xludf.DUMMYFUNCTION("""COMPUTED_VALUE"""),"R")</f>
        <v>R</v>
      </c>
      <c r="B1570" s="119" t="str">
        <f ca="1">IFERROR(__xludf.DUMMYFUNCTION("""COMPUTED_VALUE"""),"Connor Prunty")</f>
        <v>Connor Prunty</v>
      </c>
      <c r="C1570" s="118">
        <f ca="1">IFERROR(__xludf.DUMMYFUNCTION("""COMPUTED_VALUE"""),13)</f>
        <v>13</v>
      </c>
      <c r="D1570" s="118" t="str">
        <f ca="1">IFERROR(__xludf.DUMMYFUNCTION("""COMPUTED_VALUE"""),"B")</f>
        <v>B</v>
      </c>
      <c r="E1570" s="118" t="str">
        <f ca="1">IFERROR(__xludf.DUMMYFUNCTION("""COMPUTED_VALUE"""),"I")</f>
        <v>I</v>
      </c>
      <c r="F1570" s="118" t="str">
        <f ca="1">IFERROR(__xludf.DUMMYFUNCTION("""COMPUTED_VALUE"""),"S")</f>
        <v>S</v>
      </c>
      <c r="G1570" s="118">
        <f ca="1">IFERROR(__xludf.DUMMYFUNCTION("""COMPUTED_VALUE"""),5)</f>
        <v>5</v>
      </c>
      <c r="H1570" s="118" t="str">
        <f ca="1">IFERROR(__xludf.DUMMYFUNCTION("""COMPUTED_VALUE"""),"R")</f>
        <v>R</v>
      </c>
      <c r="I1570" s="118">
        <f ca="1">IFERROR(__xludf.DUMMYFUNCTION("""COMPUTED_VALUE"""),9)</f>
        <v>9</v>
      </c>
      <c r="J1570" s="118">
        <f ca="1">IFERROR(__xludf.DUMMYFUNCTION("""COMPUTED_VALUE"""),4)</f>
        <v>4</v>
      </c>
      <c r="K1570" s="120">
        <f ca="1">IFERROR(__xludf.DUMMYFUNCTION("""COMPUTED_VALUE"""),102.25)</f>
        <v>102.25</v>
      </c>
      <c r="L1570" s="121"/>
      <c r="M1570" s="120">
        <f ca="1">IFERROR(__xludf.DUMMYFUNCTION("""COMPUTED_VALUE"""),78.4)</f>
        <v>78.400000000000006</v>
      </c>
      <c r="N1570" s="121"/>
      <c r="O1570" s="120">
        <f ca="1">IFERROR(__xludf.DUMMYFUNCTION("""COMPUTED_VALUE"""),93)</f>
        <v>93</v>
      </c>
      <c r="P1570" s="122"/>
      <c r="Q1570" s="123"/>
      <c r="R1570" s="123"/>
      <c r="S1570" s="123"/>
      <c r="T1570" s="123"/>
    </row>
    <row r="1571" spans="1:20" ht="13.8">
      <c r="A1571" s="118" t="str">
        <f ca="1">IFERROR(__xludf.DUMMYFUNCTION("""COMPUTED_VALUE"""),"R")</f>
        <v>R</v>
      </c>
      <c r="B1571" s="119" t="str">
        <f ca="1">IFERROR(__xludf.DUMMYFUNCTION("""COMPUTED_VALUE"""),"Michael Grace")</f>
        <v>Michael Grace</v>
      </c>
      <c r="C1571" s="118">
        <f ca="1">IFERROR(__xludf.DUMMYFUNCTION("""COMPUTED_VALUE"""),13)</f>
        <v>13</v>
      </c>
      <c r="D1571" s="118" t="str">
        <f ca="1">IFERROR(__xludf.DUMMYFUNCTION("""COMPUTED_VALUE"""),"B")</f>
        <v>B</v>
      </c>
      <c r="E1571" s="118" t="str">
        <f ca="1">IFERROR(__xludf.DUMMYFUNCTION("""COMPUTED_VALUE"""),"I")</f>
        <v>I</v>
      </c>
      <c r="F1571" s="118" t="str">
        <f ca="1">IFERROR(__xludf.DUMMYFUNCTION("""COMPUTED_VALUE"""),"S")</f>
        <v>S</v>
      </c>
      <c r="G1571" s="118">
        <f ca="1">IFERROR(__xludf.DUMMYFUNCTION("""COMPUTED_VALUE"""),5)</f>
        <v>5</v>
      </c>
      <c r="H1571" s="118" t="str">
        <f ca="1">IFERROR(__xludf.DUMMYFUNCTION("""COMPUTED_VALUE"""),"R")</f>
        <v>R</v>
      </c>
      <c r="I1571" s="118">
        <f ca="1">IFERROR(__xludf.DUMMYFUNCTION("""COMPUTED_VALUE"""),9)</f>
        <v>9</v>
      </c>
      <c r="J1571" s="118">
        <f ca="1">IFERROR(__xludf.DUMMYFUNCTION("""COMPUTED_VALUE"""),3)</f>
        <v>3</v>
      </c>
      <c r="K1571" s="120">
        <f ca="1">IFERROR(__xludf.DUMMYFUNCTION("""COMPUTED_VALUE"""),121.6)</f>
        <v>121.6</v>
      </c>
      <c r="L1571" s="121"/>
      <c r="M1571" s="120"/>
      <c r="N1571" s="121"/>
      <c r="O1571" s="120"/>
      <c r="P1571" s="122"/>
      <c r="Q1571" s="123"/>
      <c r="R1571" s="123"/>
      <c r="S1571" s="123"/>
      <c r="T1571" s="123"/>
    </row>
    <row r="1572" spans="1:20" ht="13.8">
      <c r="A1572" s="118" t="str">
        <f ca="1">IFERROR(__xludf.DUMMYFUNCTION("""COMPUTED_VALUE"""),"R")</f>
        <v>R</v>
      </c>
      <c r="B1572" s="119" t="str">
        <f ca="1">IFERROR(__xludf.DUMMYFUNCTION("""COMPUTED_VALUE"""),"Jillian Champlin")</f>
        <v>Jillian Champlin</v>
      </c>
      <c r="C1572" s="118">
        <f ca="1">IFERROR(__xludf.DUMMYFUNCTION("""COMPUTED_VALUE"""),18)</f>
        <v>18</v>
      </c>
      <c r="D1572" s="118" t="str">
        <f ca="1">IFERROR(__xludf.DUMMYFUNCTION("""COMPUTED_VALUE"""),"G")</f>
        <v>G</v>
      </c>
      <c r="E1572" s="118" t="str">
        <f ca="1">IFERROR(__xludf.DUMMYFUNCTION("""COMPUTED_VALUE"""),"S")</f>
        <v>S</v>
      </c>
      <c r="F1572" s="118" t="str">
        <f ca="1">IFERROR(__xludf.DUMMYFUNCTION("""COMPUTED_VALUE"""),"S")</f>
        <v>S</v>
      </c>
      <c r="G1572" s="118">
        <f ca="1">IFERROR(__xludf.DUMMYFUNCTION("""COMPUTED_VALUE"""),5)</f>
        <v>5</v>
      </c>
      <c r="H1572" s="118" t="str">
        <f ca="1">IFERROR(__xludf.DUMMYFUNCTION("""COMPUTED_VALUE"""),"R")</f>
        <v>R</v>
      </c>
      <c r="I1572" s="118">
        <f ca="1">IFERROR(__xludf.DUMMYFUNCTION("""COMPUTED_VALUE"""),10)</f>
        <v>10</v>
      </c>
      <c r="J1572" s="118">
        <f ca="1">IFERROR(__xludf.DUMMYFUNCTION("""COMPUTED_VALUE"""),0)</f>
        <v>0</v>
      </c>
      <c r="K1572" s="120"/>
      <c r="L1572" s="121"/>
      <c r="M1572" s="120"/>
      <c r="N1572" s="121"/>
      <c r="O1572" s="120"/>
      <c r="P1572" s="122"/>
      <c r="Q1572" s="123"/>
      <c r="R1572" s="123"/>
      <c r="S1572" s="123"/>
      <c r="T1572" s="123"/>
    </row>
    <row r="1573" spans="1:20" ht="13.8">
      <c r="A1573" s="118" t="str">
        <f ca="1">IFERROR(__xludf.DUMMYFUNCTION("""COMPUTED_VALUE"""),"R")</f>
        <v>R</v>
      </c>
      <c r="B1573" s="119" t="str">
        <f ca="1">IFERROR(__xludf.DUMMYFUNCTION("""COMPUTED_VALUE"""),"Mo Murphy")</f>
        <v>Mo Murphy</v>
      </c>
      <c r="C1573" s="118">
        <f ca="1">IFERROR(__xludf.DUMMYFUNCTION("""COMPUTED_VALUE"""),17)</f>
        <v>17</v>
      </c>
      <c r="D1573" s="118" t="str">
        <f ca="1">IFERROR(__xludf.DUMMYFUNCTION("""COMPUTED_VALUE"""),"G")</f>
        <v>G</v>
      </c>
      <c r="E1573" s="118" t="str">
        <f ca="1">IFERROR(__xludf.DUMMYFUNCTION("""COMPUTED_VALUE"""),"S")</f>
        <v>S</v>
      </c>
      <c r="F1573" s="118" t="str">
        <f ca="1">IFERROR(__xludf.DUMMYFUNCTION("""COMPUTED_VALUE"""),"S")</f>
        <v>S</v>
      </c>
      <c r="G1573" s="118">
        <f ca="1">IFERROR(__xludf.DUMMYFUNCTION("""COMPUTED_VALUE"""),5)</f>
        <v>5</v>
      </c>
      <c r="H1573" s="118" t="str">
        <f ca="1">IFERROR(__xludf.DUMMYFUNCTION("""COMPUTED_VALUE"""),"R")</f>
        <v>R</v>
      </c>
      <c r="I1573" s="118">
        <f ca="1">IFERROR(__xludf.DUMMYFUNCTION("""COMPUTED_VALUE"""),10)</f>
        <v>10</v>
      </c>
      <c r="J1573" s="118">
        <f ca="1">IFERROR(__xludf.DUMMYFUNCTION("""COMPUTED_VALUE"""),5)</f>
        <v>5</v>
      </c>
      <c r="K1573" s="120">
        <f ca="1">IFERROR(__xludf.DUMMYFUNCTION("""COMPUTED_VALUE"""),113.95)</f>
        <v>113.95</v>
      </c>
      <c r="L1573" s="121"/>
      <c r="M1573" s="120">
        <f ca="1">IFERROR(__xludf.DUMMYFUNCTION("""COMPUTED_VALUE"""),113.95)</f>
        <v>113.95</v>
      </c>
      <c r="N1573" s="121"/>
      <c r="O1573" s="120">
        <f ca="1">IFERROR(__xludf.DUMMYFUNCTION("""COMPUTED_VALUE"""),103.95)</f>
        <v>103.95</v>
      </c>
      <c r="P1573" s="122"/>
      <c r="Q1573" s="123"/>
      <c r="R1573" s="123"/>
      <c r="S1573" s="123"/>
      <c r="T1573" s="123"/>
    </row>
    <row r="1574" spans="1:20" ht="13.8">
      <c r="A1574" s="118" t="str">
        <f ca="1">IFERROR(__xludf.DUMMYFUNCTION("""COMPUTED_VALUE"""),"R")</f>
        <v>R</v>
      </c>
      <c r="B1574" s="119" t="str">
        <f ca="1">IFERROR(__xludf.DUMMYFUNCTION("""COMPUTED_VALUE"""),"Cash Riedel")</f>
        <v>Cash Riedel</v>
      </c>
      <c r="C1574" s="118">
        <f ca="1">IFERROR(__xludf.DUMMYFUNCTION("""COMPUTED_VALUE"""),16)</f>
        <v>16</v>
      </c>
      <c r="D1574" s="118" t="str">
        <f ca="1">IFERROR(__xludf.DUMMYFUNCTION("""COMPUTED_VALUE"""),"B")</f>
        <v>B</v>
      </c>
      <c r="E1574" s="118" t="str">
        <f ca="1">IFERROR(__xludf.DUMMYFUNCTION("""COMPUTED_VALUE"""),"S")</f>
        <v>S</v>
      </c>
      <c r="F1574" s="118" t="str">
        <f ca="1">IFERROR(__xludf.DUMMYFUNCTION("""COMPUTED_VALUE"""),"S")</f>
        <v>S</v>
      </c>
      <c r="G1574" s="118">
        <f ca="1">IFERROR(__xludf.DUMMYFUNCTION("""COMPUTED_VALUE"""),5)</f>
        <v>5</v>
      </c>
      <c r="H1574" s="118" t="str">
        <f ca="1">IFERROR(__xludf.DUMMYFUNCTION("""COMPUTED_VALUE"""),"R")</f>
        <v>R</v>
      </c>
      <c r="I1574" s="118">
        <f ca="1">IFERROR(__xludf.DUMMYFUNCTION("""COMPUTED_VALUE"""),11)</f>
        <v>11</v>
      </c>
      <c r="J1574" s="118">
        <f ca="1">IFERROR(__xludf.DUMMYFUNCTION("""COMPUTED_VALUE"""),5)</f>
        <v>5</v>
      </c>
      <c r="K1574" s="120">
        <f ca="1">IFERROR(__xludf.DUMMYFUNCTION("""COMPUTED_VALUE"""),117.55)</f>
        <v>117.55</v>
      </c>
      <c r="L1574" s="121"/>
      <c r="M1574" s="120">
        <f ca="1">IFERROR(__xludf.DUMMYFUNCTION("""COMPUTED_VALUE"""),117.55)</f>
        <v>117.55</v>
      </c>
      <c r="N1574" s="121"/>
      <c r="O1574" s="120">
        <f ca="1">IFERROR(__xludf.DUMMYFUNCTION("""COMPUTED_VALUE"""),112.5)</f>
        <v>112.5</v>
      </c>
      <c r="P1574" s="122"/>
      <c r="Q1574" s="123"/>
      <c r="R1574" s="123"/>
      <c r="S1574" s="123"/>
      <c r="T1574" s="123"/>
    </row>
    <row r="1575" spans="1:20" ht="13.8">
      <c r="A1575" s="118" t="str">
        <f ca="1">IFERROR(__xludf.DUMMYFUNCTION("""COMPUTED_VALUE"""),"R")</f>
        <v>R</v>
      </c>
      <c r="B1575" s="119" t="str">
        <f ca="1">IFERROR(__xludf.DUMMYFUNCTION("""COMPUTED_VALUE"""),"Leo McFadden")</f>
        <v>Leo McFadden</v>
      </c>
      <c r="C1575" s="118">
        <f ca="1">IFERROR(__xludf.DUMMYFUNCTION("""COMPUTED_VALUE"""),16)</f>
        <v>16</v>
      </c>
      <c r="D1575" s="118" t="str">
        <f ca="1">IFERROR(__xludf.DUMMYFUNCTION("""COMPUTED_VALUE"""),"B")</f>
        <v>B</v>
      </c>
      <c r="E1575" s="118" t="str">
        <f ca="1">IFERROR(__xludf.DUMMYFUNCTION("""COMPUTED_VALUE"""),"S")</f>
        <v>S</v>
      </c>
      <c r="F1575" s="118" t="str">
        <f ca="1">IFERROR(__xludf.DUMMYFUNCTION("""COMPUTED_VALUE"""),"S")</f>
        <v>S</v>
      </c>
      <c r="G1575" s="118">
        <f ca="1">IFERROR(__xludf.DUMMYFUNCTION("""COMPUTED_VALUE"""),5)</f>
        <v>5</v>
      </c>
      <c r="H1575" s="118" t="str">
        <f ca="1">IFERROR(__xludf.DUMMYFUNCTION("""COMPUTED_VALUE"""),"R")</f>
        <v>R</v>
      </c>
      <c r="I1575" s="118">
        <f ca="1">IFERROR(__xludf.DUMMYFUNCTION("""COMPUTED_VALUE"""),11)</f>
        <v>11</v>
      </c>
      <c r="J1575" s="118">
        <f ca="1">IFERROR(__xludf.DUMMYFUNCTION("""COMPUTED_VALUE"""),4)</f>
        <v>4</v>
      </c>
      <c r="K1575" s="120">
        <f ca="1">IFERROR(__xludf.DUMMYFUNCTION("""COMPUTED_VALUE"""),147.65)</f>
        <v>147.65</v>
      </c>
      <c r="L1575" s="121"/>
      <c r="M1575" s="120">
        <f ca="1">IFERROR(__xludf.DUMMYFUNCTION("""COMPUTED_VALUE"""),128.75)</f>
        <v>128.75</v>
      </c>
      <c r="N1575" s="121"/>
      <c r="O1575" s="120">
        <f ca="1">IFERROR(__xludf.DUMMYFUNCTION("""COMPUTED_VALUE"""),143.75)</f>
        <v>143.75</v>
      </c>
      <c r="P1575" s="122"/>
      <c r="Q1575" s="123"/>
      <c r="R1575" s="123"/>
      <c r="S1575" s="123"/>
      <c r="T1575" s="123"/>
    </row>
    <row r="1576" spans="1:20" ht="13.8">
      <c r="A1576" s="118" t="str">
        <f ca="1">IFERROR(__xludf.DUMMYFUNCTION("""COMPUTED_VALUE"""),"R")</f>
        <v>R</v>
      </c>
      <c r="B1576" s="119" t="str">
        <f ca="1">IFERROR(__xludf.DUMMYFUNCTION("""COMPUTED_VALUE"""),"Luke Houghton")</f>
        <v>Luke Houghton</v>
      </c>
      <c r="C1576" s="118">
        <f ca="1">IFERROR(__xludf.DUMMYFUNCTION("""COMPUTED_VALUE"""),15)</f>
        <v>15</v>
      </c>
      <c r="D1576" s="118" t="str">
        <f ca="1">IFERROR(__xludf.DUMMYFUNCTION("""COMPUTED_VALUE"""),"B")</f>
        <v>B</v>
      </c>
      <c r="E1576" s="118" t="str">
        <f ca="1">IFERROR(__xludf.DUMMYFUNCTION("""COMPUTED_VALUE"""),"S")</f>
        <v>S</v>
      </c>
      <c r="F1576" s="118" t="str">
        <f ca="1">IFERROR(__xludf.DUMMYFUNCTION("""COMPUTED_VALUE"""),"S")</f>
        <v>S</v>
      </c>
      <c r="G1576" s="118">
        <f ca="1">IFERROR(__xludf.DUMMYFUNCTION("""COMPUTED_VALUE"""),5)</f>
        <v>5</v>
      </c>
      <c r="H1576" s="118" t="str">
        <f ca="1">IFERROR(__xludf.DUMMYFUNCTION("""COMPUTED_VALUE"""),"R")</f>
        <v>R</v>
      </c>
      <c r="I1576" s="118">
        <f ca="1">IFERROR(__xludf.DUMMYFUNCTION("""COMPUTED_VALUE"""),11)</f>
        <v>11</v>
      </c>
      <c r="J1576" s="118">
        <f ca="1">IFERROR(__xludf.DUMMYFUNCTION("""COMPUTED_VALUE"""),5)</f>
        <v>5</v>
      </c>
      <c r="K1576" s="120">
        <f ca="1">IFERROR(__xludf.DUMMYFUNCTION("""COMPUTED_VALUE"""),116.95)</f>
        <v>116.95</v>
      </c>
      <c r="L1576" s="121"/>
      <c r="M1576" s="120">
        <f ca="1">IFERROR(__xludf.DUMMYFUNCTION("""COMPUTED_VALUE"""),116.95)</f>
        <v>116.95</v>
      </c>
      <c r="N1576" s="121"/>
      <c r="O1576" s="120">
        <f ca="1">IFERROR(__xludf.DUMMYFUNCTION("""COMPUTED_VALUE"""),111.25)</f>
        <v>111.25</v>
      </c>
      <c r="P1576" s="122"/>
      <c r="Q1576" s="123"/>
      <c r="R1576" s="123"/>
      <c r="S1576" s="123"/>
      <c r="T1576" s="123"/>
    </row>
    <row r="1577" spans="1:20" ht="13.8">
      <c r="A1577" s="118" t="str">
        <f ca="1">IFERROR(__xludf.DUMMYFUNCTION("""COMPUTED_VALUE"""),"R")</f>
        <v>R</v>
      </c>
      <c r="B1577" s="119" t="str">
        <f ca="1">IFERROR(__xludf.DUMMYFUNCTION("""COMPUTED_VALUE"""),"Max Shaffer")</f>
        <v>Max Shaffer</v>
      </c>
      <c r="C1577" s="118">
        <f ca="1">IFERROR(__xludf.DUMMYFUNCTION("""COMPUTED_VALUE"""),18)</f>
        <v>18</v>
      </c>
      <c r="D1577" s="118" t="str">
        <f ca="1">IFERROR(__xludf.DUMMYFUNCTION("""COMPUTED_VALUE"""),"B")</f>
        <v>B</v>
      </c>
      <c r="E1577" s="118" t="str">
        <f ca="1">IFERROR(__xludf.DUMMYFUNCTION("""COMPUTED_VALUE"""),"S")</f>
        <v>S</v>
      </c>
      <c r="F1577" s="118" t="str">
        <f ca="1">IFERROR(__xludf.DUMMYFUNCTION("""COMPUTED_VALUE"""),"S")</f>
        <v>S</v>
      </c>
      <c r="G1577" s="118">
        <f ca="1">IFERROR(__xludf.DUMMYFUNCTION("""COMPUTED_VALUE"""),5)</f>
        <v>5</v>
      </c>
      <c r="H1577" s="118" t="str">
        <f ca="1">IFERROR(__xludf.DUMMYFUNCTION("""COMPUTED_VALUE"""),"R")</f>
        <v>R</v>
      </c>
      <c r="I1577" s="118">
        <f ca="1">IFERROR(__xludf.DUMMYFUNCTION("""COMPUTED_VALUE"""),11)</f>
        <v>11</v>
      </c>
      <c r="J1577" s="118">
        <f ca="1">IFERROR(__xludf.DUMMYFUNCTION("""COMPUTED_VALUE"""),0)</f>
        <v>0</v>
      </c>
      <c r="K1577" s="120"/>
      <c r="L1577" s="121"/>
      <c r="M1577" s="120"/>
      <c r="N1577" s="121"/>
      <c r="O1577" s="120"/>
      <c r="P1577" s="122"/>
      <c r="Q1577" s="123"/>
      <c r="R1577" s="123"/>
      <c r="S1577" s="123"/>
      <c r="T1577" s="123"/>
    </row>
    <row r="1578" spans="1:20" ht="13.8">
      <c r="A1578" s="118" t="str">
        <f ca="1">IFERROR(__xludf.DUMMYFUNCTION("""COMPUTED_VALUE"""),"RFD")</f>
        <v>RFD</v>
      </c>
      <c r="B1578" s="119" t="str">
        <f ca="1">IFERROR(__xludf.DUMMYFUNCTION("""COMPUTED_VALUE"""),"Iris Williams")</f>
        <v>Iris Williams</v>
      </c>
      <c r="C1578" s="118">
        <f ca="1">IFERROR(__xludf.DUMMYFUNCTION("""COMPUTED_VALUE"""),7)</f>
        <v>7</v>
      </c>
      <c r="D1578" s="118" t="str">
        <f ca="1">IFERROR(__xludf.DUMMYFUNCTION("""COMPUTED_VALUE"""),"G")</f>
        <v>G</v>
      </c>
      <c r="E1578" s="118" t="str">
        <f ca="1">IFERROR(__xludf.DUMMYFUNCTION("""COMPUTED_VALUE"""),"F")</f>
        <v>F</v>
      </c>
      <c r="F1578" s="118" t="str">
        <f ca="1">IFERROR(__xludf.DUMMYFUNCTION("""COMPUTED_VALUE"""),"J")</f>
        <v>J</v>
      </c>
      <c r="G1578" s="118">
        <f ca="1">IFERROR(__xludf.DUMMYFUNCTION("""COMPUTED_VALUE"""),7)</f>
        <v>7</v>
      </c>
      <c r="H1578" s="118" t="str">
        <f ca="1">IFERROR(__xludf.DUMMYFUNCTION("""COMPUTED_VALUE"""),"RFD")</f>
        <v>RFD</v>
      </c>
      <c r="I1578" s="118">
        <f ca="1">IFERROR(__xludf.DUMMYFUNCTION("""COMPUTED_VALUE"""),4)</f>
        <v>4</v>
      </c>
      <c r="J1578" s="118">
        <f ca="1">IFERROR(__xludf.DUMMYFUNCTION("""COMPUTED_VALUE"""),1)</f>
        <v>1</v>
      </c>
      <c r="K1578" s="120"/>
      <c r="L1578" s="121"/>
      <c r="M1578" s="120"/>
      <c r="N1578" s="121"/>
      <c r="O1578" s="120"/>
      <c r="P1578" s="122"/>
      <c r="Q1578" s="123"/>
      <c r="R1578" s="123"/>
      <c r="S1578" s="123"/>
      <c r="T1578" s="123"/>
    </row>
    <row r="1579" spans="1:20" ht="13.8">
      <c r="A1579" s="118" t="str">
        <f ca="1">IFERROR(__xludf.DUMMYFUNCTION("""COMPUTED_VALUE"""),"RFD")</f>
        <v>RFD</v>
      </c>
      <c r="B1579" s="119" t="str">
        <f ca="1">IFERROR(__xludf.DUMMYFUNCTION("""COMPUTED_VALUE"""),"Jayne Argentina")</f>
        <v>Jayne Argentina</v>
      </c>
      <c r="C1579" s="118">
        <f ca="1">IFERROR(__xludf.DUMMYFUNCTION("""COMPUTED_VALUE"""),10)</f>
        <v>10</v>
      </c>
      <c r="D1579" s="118" t="str">
        <f ca="1">IFERROR(__xludf.DUMMYFUNCTION("""COMPUTED_VALUE"""),"G")</f>
        <v>G</v>
      </c>
      <c r="E1579" s="118" t="str">
        <f ca="1">IFERROR(__xludf.DUMMYFUNCTION("""COMPUTED_VALUE"""),"F")</f>
        <v>F</v>
      </c>
      <c r="F1579" s="118" t="str">
        <f ca="1">IFERROR(__xludf.DUMMYFUNCTION("""COMPUTED_VALUE"""),"J")</f>
        <v>J</v>
      </c>
      <c r="G1579" s="118">
        <f ca="1">IFERROR(__xludf.DUMMYFUNCTION("""COMPUTED_VALUE"""),7)</f>
        <v>7</v>
      </c>
      <c r="H1579" s="118" t="str">
        <f ca="1">IFERROR(__xludf.DUMMYFUNCTION("""COMPUTED_VALUE"""),"RFD")</f>
        <v>RFD</v>
      </c>
      <c r="I1579" s="118">
        <f ca="1">IFERROR(__xludf.DUMMYFUNCTION("""COMPUTED_VALUE"""),4)</f>
        <v>4</v>
      </c>
      <c r="J1579" s="118">
        <f ca="1">IFERROR(__xludf.DUMMYFUNCTION("""COMPUTED_VALUE"""),4)</f>
        <v>4</v>
      </c>
      <c r="K1579" s="120">
        <f ca="1">IFERROR(__xludf.DUMMYFUNCTION("""COMPUTED_VALUE"""),64.55)</f>
        <v>64.55</v>
      </c>
      <c r="L1579" s="121"/>
      <c r="M1579" s="120"/>
      <c r="N1579" s="121"/>
      <c r="O1579" s="120">
        <f ca="1">IFERROR(__xludf.DUMMYFUNCTION("""COMPUTED_VALUE"""),49.15)</f>
        <v>49.15</v>
      </c>
      <c r="P1579" s="122"/>
      <c r="Q1579" s="123"/>
      <c r="R1579" s="123"/>
      <c r="S1579" s="123"/>
      <c r="T1579" s="123"/>
    </row>
    <row r="1580" spans="1:20" ht="13.8">
      <c r="A1580" s="118" t="str">
        <f ca="1">IFERROR(__xludf.DUMMYFUNCTION("""COMPUTED_VALUE"""),"RFD")</f>
        <v>RFD</v>
      </c>
      <c r="B1580" s="119" t="str">
        <f ca="1">IFERROR(__xludf.DUMMYFUNCTION("""COMPUTED_VALUE"""),"Kaelyn Farrelly")</f>
        <v>Kaelyn Farrelly</v>
      </c>
      <c r="C1580" s="118">
        <f ca="1">IFERROR(__xludf.DUMMYFUNCTION("""COMPUTED_VALUE"""),10)</f>
        <v>10</v>
      </c>
      <c r="D1580" s="118" t="str">
        <f ca="1">IFERROR(__xludf.DUMMYFUNCTION("""COMPUTED_VALUE"""),"G")</f>
        <v>G</v>
      </c>
      <c r="E1580" s="118" t="str">
        <f ca="1">IFERROR(__xludf.DUMMYFUNCTION("""COMPUTED_VALUE"""),"F")</f>
        <v>F</v>
      </c>
      <c r="F1580" s="118" t="str">
        <f ca="1">IFERROR(__xludf.DUMMYFUNCTION("""COMPUTED_VALUE"""),"J")</f>
        <v>J</v>
      </c>
      <c r="G1580" s="118">
        <f ca="1">IFERROR(__xludf.DUMMYFUNCTION("""COMPUTED_VALUE"""),7)</f>
        <v>7</v>
      </c>
      <c r="H1580" s="118" t="str">
        <f ca="1">IFERROR(__xludf.DUMMYFUNCTION("""COMPUTED_VALUE"""),"RFD")</f>
        <v>RFD</v>
      </c>
      <c r="I1580" s="118">
        <f ca="1">IFERROR(__xludf.DUMMYFUNCTION("""COMPUTED_VALUE"""),4)</f>
        <v>4</v>
      </c>
      <c r="J1580" s="118">
        <f ca="1">IFERROR(__xludf.DUMMYFUNCTION("""COMPUTED_VALUE"""),3)</f>
        <v>3</v>
      </c>
      <c r="K1580" s="120">
        <f ca="1">IFERROR(__xludf.DUMMYFUNCTION("""COMPUTED_VALUE"""),62.15)</f>
        <v>62.15</v>
      </c>
      <c r="L1580" s="121"/>
      <c r="M1580" s="120"/>
      <c r="N1580" s="121"/>
      <c r="O1580" s="120">
        <f ca="1">IFERROR(__xludf.DUMMYFUNCTION("""COMPUTED_VALUE"""),46.3)</f>
        <v>46.3</v>
      </c>
      <c r="P1580" s="122"/>
      <c r="Q1580" s="123"/>
      <c r="R1580" s="123"/>
      <c r="S1580" s="123"/>
      <c r="T1580" s="123"/>
    </row>
    <row r="1581" spans="1:20" ht="13.8">
      <c r="A1581" s="118" t="str">
        <f ca="1">IFERROR(__xludf.DUMMYFUNCTION("""COMPUTED_VALUE"""),"RFD")</f>
        <v>RFD</v>
      </c>
      <c r="B1581" s="119" t="str">
        <f ca="1">IFERROR(__xludf.DUMMYFUNCTION("""COMPUTED_VALUE"""),"Madeleine Stankus")</f>
        <v>Madeleine Stankus</v>
      </c>
      <c r="C1581" s="118">
        <f ca="1">IFERROR(__xludf.DUMMYFUNCTION("""COMPUTED_VALUE"""),8)</f>
        <v>8</v>
      </c>
      <c r="D1581" s="118" t="str">
        <f ca="1">IFERROR(__xludf.DUMMYFUNCTION("""COMPUTED_VALUE"""),"G")</f>
        <v>G</v>
      </c>
      <c r="E1581" s="118" t="str">
        <f ca="1">IFERROR(__xludf.DUMMYFUNCTION("""COMPUTED_VALUE"""),"F")</f>
        <v>F</v>
      </c>
      <c r="F1581" s="118" t="str">
        <f ca="1">IFERROR(__xludf.DUMMYFUNCTION("""COMPUTED_VALUE"""),"J")</f>
        <v>J</v>
      </c>
      <c r="G1581" s="118">
        <f ca="1">IFERROR(__xludf.DUMMYFUNCTION("""COMPUTED_VALUE"""),7)</f>
        <v>7</v>
      </c>
      <c r="H1581" s="118" t="str">
        <f ca="1">IFERROR(__xludf.DUMMYFUNCTION("""COMPUTED_VALUE"""),"RFD")</f>
        <v>RFD</v>
      </c>
      <c r="I1581" s="118">
        <f ca="1">IFERROR(__xludf.DUMMYFUNCTION("""COMPUTED_VALUE"""),4)</f>
        <v>4</v>
      </c>
      <c r="J1581" s="118">
        <f ca="1">IFERROR(__xludf.DUMMYFUNCTION("""COMPUTED_VALUE"""),0)</f>
        <v>0</v>
      </c>
      <c r="K1581" s="120"/>
      <c r="L1581" s="121"/>
      <c r="M1581" s="120"/>
      <c r="N1581" s="121"/>
      <c r="O1581" s="120"/>
      <c r="P1581" s="122"/>
      <c r="Q1581" s="123"/>
      <c r="R1581" s="123"/>
      <c r="S1581" s="123"/>
      <c r="T1581" s="123"/>
    </row>
    <row r="1582" spans="1:20" ht="13.8">
      <c r="A1582" s="118" t="str">
        <f ca="1">IFERROR(__xludf.DUMMYFUNCTION("""COMPUTED_VALUE"""),"RFD")</f>
        <v>RFD</v>
      </c>
      <c r="B1582" s="119" t="str">
        <f ca="1">IFERROR(__xludf.DUMMYFUNCTION("""COMPUTED_VALUE"""),"Maggie Steffen")</f>
        <v>Maggie Steffen</v>
      </c>
      <c r="C1582" s="118">
        <f ca="1">IFERROR(__xludf.DUMMYFUNCTION("""COMPUTED_VALUE"""),8)</f>
        <v>8</v>
      </c>
      <c r="D1582" s="118" t="str">
        <f ca="1">IFERROR(__xludf.DUMMYFUNCTION("""COMPUTED_VALUE"""),"G")</f>
        <v>G</v>
      </c>
      <c r="E1582" s="118" t="str">
        <f ca="1">IFERROR(__xludf.DUMMYFUNCTION("""COMPUTED_VALUE"""),"F")</f>
        <v>F</v>
      </c>
      <c r="F1582" s="118" t="str">
        <f ca="1">IFERROR(__xludf.DUMMYFUNCTION("""COMPUTED_VALUE"""),"J")</f>
        <v>J</v>
      </c>
      <c r="G1582" s="118">
        <f ca="1">IFERROR(__xludf.DUMMYFUNCTION("""COMPUTED_VALUE"""),7)</f>
        <v>7</v>
      </c>
      <c r="H1582" s="118" t="str">
        <f ca="1">IFERROR(__xludf.DUMMYFUNCTION("""COMPUTED_VALUE"""),"RFD")</f>
        <v>RFD</v>
      </c>
      <c r="I1582" s="118">
        <f ca="1">IFERROR(__xludf.DUMMYFUNCTION("""COMPUTED_VALUE"""),4)</f>
        <v>4</v>
      </c>
      <c r="J1582" s="118">
        <f ca="1">IFERROR(__xludf.DUMMYFUNCTION("""COMPUTED_VALUE"""),5)</f>
        <v>5</v>
      </c>
      <c r="K1582" s="120">
        <f ca="1">IFERROR(__xludf.DUMMYFUNCTION("""COMPUTED_VALUE"""),60.85)</f>
        <v>60.85</v>
      </c>
      <c r="L1582" s="121"/>
      <c r="M1582" s="120">
        <f ca="1">IFERROR(__xludf.DUMMYFUNCTION("""COMPUTED_VALUE"""),44.25)</f>
        <v>44.25</v>
      </c>
      <c r="N1582" s="121"/>
      <c r="O1582" s="120">
        <f ca="1">IFERROR(__xludf.DUMMYFUNCTION("""COMPUTED_VALUE"""),36.4)</f>
        <v>36.4</v>
      </c>
      <c r="P1582" s="122"/>
      <c r="Q1582" s="123"/>
      <c r="R1582" s="123"/>
      <c r="S1582" s="123"/>
      <c r="T1582" s="123"/>
    </row>
    <row r="1583" spans="1:20" ht="13.8">
      <c r="A1583" s="118" t="str">
        <f ca="1">IFERROR(__xludf.DUMMYFUNCTION("""COMPUTED_VALUE"""),"RFD")</f>
        <v>RFD</v>
      </c>
      <c r="B1583" s="119" t="str">
        <f ca="1">IFERROR(__xludf.DUMMYFUNCTION("""COMPUTED_VALUE"""),"Rian Farrelly")</f>
        <v>Rian Farrelly</v>
      </c>
      <c r="C1583" s="118">
        <f ca="1">IFERROR(__xludf.DUMMYFUNCTION("""COMPUTED_VALUE"""),9)</f>
        <v>9</v>
      </c>
      <c r="D1583" s="118" t="str">
        <f ca="1">IFERROR(__xludf.DUMMYFUNCTION("""COMPUTED_VALUE"""),"G")</f>
        <v>G</v>
      </c>
      <c r="E1583" s="118" t="str">
        <f ca="1">IFERROR(__xludf.DUMMYFUNCTION("""COMPUTED_VALUE"""),"F")</f>
        <v>F</v>
      </c>
      <c r="F1583" s="118" t="str">
        <f ca="1">IFERROR(__xludf.DUMMYFUNCTION("""COMPUTED_VALUE"""),"J")</f>
        <v>J</v>
      </c>
      <c r="G1583" s="118">
        <f ca="1">IFERROR(__xludf.DUMMYFUNCTION("""COMPUTED_VALUE"""),7)</f>
        <v>7</v>
      </c>
      <c r="H1583" s="118" t="str">
        <f ca="1">IFERROR(__xludf.DUMMYFUNCTION("""COMPUTED_VALUE"""),"RFD")</f>
        <v>RFD</v>
      </c>
      <c r="I1583" s="118">
        <f ca="1">IFERROR(__xludf.DUMMYFUNCTION("""COMPUTED_VALUE"""),4)</f>
        <v>4</v>
      </c>
      <c r="J1583" s="118">
        <f ca="1">IFERROR(__xludf.DUMMYFUNCTION("""COMPUTED_VALUE"""),3)</f>
        <v>3</v>
      </c>
      <c r="K1583" s="120">
        <f ca="1">IFERROR(__xludf.DUMMYFUNCTION("""COMPUTED_VALUE"""),44.05)</f>
        <v>44.05</v>
      </c>
      <c r="L1583" s="121"/>
      <c r="M1583" s="120"/>
      <c r="N1583" s="121"/>
      <c r="O1583" s="120">
        <f ca="1">IFERROR(__xludf.DUMMYFUNCTION("""COMPUTED_VALUE"""),36.7)</f>
        <v>36.700000000000003</v>
      </c>
      <c r="P1583" s="122"/>
      <c r="Q1583" s="123"/>
      <c r="R1583" s="123"/>
      <c r="S1583" s="123"/>
      <c r="T1583" s="123"/>
    </row>
    <row r="1584" spans="1:20" ht="13.8">
      <c r="A1584" s="118" t="str">
        <f ca="1">IFERROR(__xludf.DUMMYFUNCTION("""COMPUTED_VALUE"""),"RFD")</f>
        <v>RFD</v>
      </c>
      <c r="B1584" s="119" t="str">
        <f ca="1">IFERROR(__xludf.DUMMYFUNCTION("""COMPUTED_VALUE"""),"Ruthvi Mamillapalli")</f>
        <v>Ruthvi Mamillapalli</v>
      </c>
      <c r="C1584" s="118">
        <f ca="1">IFERROR(__xludf.DUMMYFUNCTION("""COMPUTED_VALUE"""),9)</f>
        <v>9</v>
      </c>
      <c r="D1584" s="118" t="str">
        <f ca="1">IFERROR(__xludf.DUMMYFUNCTION("""COMPUTED_VALUE"""),"G")</f>
        <v>G</v>
      </c>
      <c r="E1584" s="118" t="str">
        <f ca="1">IFERROR(__xludf.DUMMYFUNCTION("""COMPUTED_VALUE"""),"F")</f>
        <v>F</v>
      </c>
      <c r="F1584" s="118" t="str">
        <f ca="1">IFERROR(__xludf.DUMMYFUNCTION("""COMPUTED_VALUE"""),"J")</f>
        <v>J</v>
      </c>
      <c r="G1584" s="118">
        <f ca="1">IFERROR(__xludf.DUMMYFUNCTION("""COMPUTED_VALUE"""),7)</f>
        <v>7</v>
      </c>
      <c r="H1584" s="118" t="str">
        <f ca="1">IFERROR(__xludf.DUMMYFUNCTION("""COMPUTED_VALUE"""),"RFD")</f>
        <v>RFD</v>
      </c>
      <c r="I1584" s="118">
        <f ca="1">IFERROR(__xludf.DUMMYFUNCTION("""COMPUTED_VALUE"""),4)</f>
        <v>4</v>
      </c>
      <c r="J1584" s="118">
        <f ca="1">IFERROR(__xludf.DUMMYFUNCTION("""COMPUTED_VALUE"""),0)</f>
        <v>0</v>
      </c>
      <c r="K1584" s="120"/>
      <c r="L1584" s="121"/>
      <c r="M1584" s="120"/>
      <c r="N1584" s="121"/>
      <c r="O1584" s="120"/>
      <c r="P1584" s="122"/>
      <c r="Q1584" s="123"/>
      <c r="R1584" s="123"/>
      <c r="S1584" s="123"/>
      <c r="T1584" s="123"/>
    </row>
    <row r="1585" spans="1:20" ht="13.8">
      <c r="A1585" s="118" t="str">
        <f ca="1">IFERROR(__xludf.DUMMYFUNCTION("""COMPUTED_VALUE"""),"RFD")</f>
        <v>RFD</v>
      </c>
      <c r="B1585" s="119" t="str">
        <f ca="1">IFERROR(__xludf.DUMMYFUNCTION("""COMPUTED_VALUE"""),"Stella Lesser")</f>
        <v>Stella Lesser</v>
      </c>
      <c r="C1585" s="118">
        <f ca="1">IFERROR(__xludf.DUMMYFUNCTION("""COMPUTED_VALUE"""),6)</f>
        <v>6</v>
      </c>
      <c r="D1585" s="118" t="str">
        <f ca="1">IFERROR(__xludf.DUMMYFUNCTION("""COMPUTED_VALUE"""),"G")</f>
        <v>G</v>
      </c>
      <c r="E1585" s="118" t="str">
        <f ca="1">IFERROR(__xludf.DUMMYFUNCTION("""COMPUTED_VALUE"""),"F")</f>
        <v>F</v>
      </c>
      <c r="F1585" s="118" t="str">
        <f ca="1">IFERROR(__xludf.DUMMYFUNCTION("""COMPUTED_VALUE"""),"J")</f>
        <v>J</v>
      </c>
      <c r="G1585" s="118">
        <f ca="1">IFERROR(__xludf.DUMMYFUNCTION("""COMPUTED_VALUE"""),7)</f>
        <v>7</v>
      </c>
      <c r="H1585" s="118" t="str">
        <f ca="1">IFERROR(__xludf.DUMMYFUNCTION("""COMPUTED_VALUE"""),"RFD")</f>
        <v>RFD</v>
      </c>
      <c r="I1585" s="118">
        <f ca="1">IFERROR(__xludf.DUMMYFUNCTION("""COMPUTED_VALUE"""),4)</f>
        <v>4</v>
      </c>
      <c r="J1585" s="118">
        <f ca="1">IFERROR(__xludf.DUMMYFUNCTION("""COMPUTED_VALUE"""),0)</f>
        <v>0</v>
      </c>
      <c r="K1585" s="120"/>
      <c r="L1585" s="121"/>
      <c r="M1585" s="120"/>
      <c r="N1585" s="121"/>
      <c r="O1585" s="120"/>
      <c r="P1585" s="122"/>
      <c r="Q1585" s="123"/>
      <c r="R1585" s="123"/>
      <c r="S1585" s="123"/>
      <c r="T1585" s="123"/>
    </row>
    <row r="1586" spans="1:20" ht="13.8">
      <c r="A1586" s="118" t="str">
        <f ca="1">IFERROR(__xludf.DUMMYFUNCTION("""COMPUTED_VALUE"""),"RFD")</f>
        <v>RFD</v>
      </c>
      <c r="B1586" s="119" t="str">
        <f ca="1">IFERROR(__xludf.DUMMYFUNCTION("""COMPUTED_VALUE"""),"Tamar Davitian")</f>
        <v>Tamar Davitian</v>
      </c>
      <c r="C1586" s="118">
        <f ca="1">IFERROR(__xludf.DUMMYFUNCTION("""COMPUTED_VALUE"""),7)</f>
        <v>7</v>
      </c>
      <c r="D1586" s="118" t="str">
        <f ca="1">IFERROR(__xludf.DUMMYFUNCTION("""COMPUTED_VALUE"""),"G")</f>
        <v>G</v>
      </c>
      <c r="E1586" s="118" t="str">
        <f ca="1">IFERROR(__xludf.DUMMYFUNCTION("""COMPUTED_VALUE"""),"F")</f>
        <v>F</v>
      </c>
      <c r="F1586" s="118" t="str">
        <f ca="1">IFERROR(__xludf.DUMMYFUNCTION("""COMPUTED_VALUE"""),"J")</f>
        <v>J</v>
      </c>
      <c r="G1586" s="118">
        <f ca="1">IFERROR(__xludf.DUMMYFUNCTION("""COMPUTED_VALUE"""),7)</f>
        <v>7</v>
      </c>
      <c r="H1586" s="118" t="str">
        <f ca="1">IFERROR(__xludf.DUMMYFUNCTION("""COMPUTED_VALUE"""),"RFD")</f>
        <v>RFD</v>
      </c>
      <c r="I1586" s="118">
        <f ca="1">IFERROR(__xludf.DUMMYFUNCTION("""COMPUTED_VALUE"""),4)</f>
        <v>4</v>
      </c>
      <c r="J1586" s="118">
        <f ca="1">IFERROR(__xludf.DUMMYFUNCTION("""COMPUTED_VALUE"""),3)</f>
        <v>3</v>
      </c>
      <c r="K1586" s="120">
        <f ca="1">IFERROR(__xludf.DUMMYFUNCTION("""COMPUTED_VALUE"""),33.5)</f>
        <v>33.5</v>
      </c>
      <c r="L1586" s="121"/>
      <c r="M1586" s="120">
        <f ca="1">IFERROR(__xludf.DUMMYFUNCTION("""COMPUTED_VALUE"""),33.5)</f>
        <v>33.5</v>
      </c>
      <c r="N1586" s="121"/>
      <c r="O1586" s="120"/>
      <c r="P1586" s="122"/>
      <c r="Q1586" s="123"/>
      <c r="R1586" s="123"/>
      <c r="S1586" s="123"/>
      <c r="T1586" s="123"/>
    </row>
    <row r="1587" spans="1:20" ht="13.8">
      <c r="A1587" s="118" t="str">
        <f ca="1">IFERROR(__xludf.DUMMYFUNCTION("""COMPUTED_VALUE"""),"RFD")</f>
        <v>RFD</v>
      </c>
      <c r="B1587" s="119" t="str">
        <f ca="1">IFERROR(__xludf.DUMMYFUNCTION("""COMPUTED_VALUE"""),"Tyler Tomlinson")</f>
        <v>Tyler Tomlinson</v>
      </c>
      <c r="C1587" s="118">
        <f ca="1">IFERROR(__xludf.DUMMYFUNCTION("""COMPUTED_VALUE"""),7)</f>
        <v>7</v>
      </c>
      <c r="D1587" s="118" t="str">
        <f ca="1">IFERROR(__xludf.DUMMYFUNCTION("""COMPUTED_VALUE"""),"G")</f>
        <v>G</v>
      </c>
      <c r="E1587" s="118" t="str">
        <f ca="1">IFERROR(__xludf.DUMMYFUNCTION("""COMPUTED_VALUE"""),"F")</f>
        <v>F</v>
      </c>
      <c r="F1587" s="118" t="str">
        <f ca="1">IFERROR(__xludf.DUMMYFUNCTION("""COMPUTED_VALUE"""),"J")</f>
        <v>J</v>
      </c>
      <c r="G1587" s="118">
        <f ca="1">IFERROR(__xludf.DUMMYFUNCTION("""COMPUTED_VALUE"""),7)</f>
        <v>7</v>
      </c>
      <c r="H1587" s="118" t="str">
        <f ca="1">IFERROR(__xludf.DUMMYFUNCTION("""COMPUTED_VALUE"""),"RFD")</f>
        <v>RFD</v>
      </c>
      <c r="I1587" s="118">
        <f ca="1">IFERROR(__xludf.DUMMYFUNCTION("""COMPUTED_VALUE"""),4)</f>
        <v>4</v>
      </c>
      <c r="J1587" s="118">
        <f ca="1">IFERROR(__xludf.DUMMYFUNCTION("""COMPUTED_VALUE"""),0)</f>
        <v>0</v>
      </c>
      <c r="K1587" s="120"/>
      <c r="L1587" s="121"/>
      <c r="M1587" s="120"/>
      <c r="N1587" s="121"/>
      <c r="O1587" s="120"/>
      <c r="P1587" s="122"/>
      <c r="Q1587" s="123"/>
      <c r="R1587" s="123"/>
      <c r="S1587" s="123"/>
      <c r="T1587" s="123"/>
    </row>
    <row r="1588" spans="1:20" ht="13.8">
      <c r="A1588" s="118" t="str">
        <f ca="1">IFERROR(__xludf.DUMMYFUNCTION("""COMPUTED_VALUE"""),"RFD")</f>
        <v>RFD</v>
      </c>
      <c r="B1588" s="119" t="str">
        <f ca="1">IFERROR(__xludf.DUMMYFUNCTION("""COMPUTED_VALUE"""),"Victoria Gomes")</f>
        <v>Victoria Gomes</v>
      </c>
      <c r="C1588" s="118">
        <f ca="1">IFERROR(__xludf.DUMMYFUNCTION("""COMPUTED_VALUE"""),8)</f>
        <v>8</v>
      </c>
      <c r="D1588" s="118" t="str">
        <f ca="1">IFERROR(__xludf.DUMMYFUNCTION("""COMPUTED_VALUE"""),"G")</f>
        <v>G</v>
      </c>
      <c r="E1588" s="118" t="str">
        <f ca="1">IFERROR(__xludf.DUMMYFUNCTION("""COMPUTED_VALUE"""),"F")</f>
        <v>F</v>
      </c>
      <c r="F1588" s="118" t="str">
        <f ca="1">IFERROR(__xludf.DUMMYFUNCTION("""COMPUTED_VALUE"""),"J")</f>
        <v>J</v>
      </c>
      <c r="G1588" s="118">
        <f ca="1">IFERROR(__xludf.DUMMYFUNCTION("""COMPUTED_VALUE"""),7)</f>
        <v>7</v>
      </c>
      <c r="H1588" s="118" t="str">
        <f ca="1">IFERROR(__xludf.DUMMYFUNCTION("""COMPUTED_VALUE"""),"RFD")</f>
        <v>RFD</v>
      </c>
      <c r="I1588" s="118">
        <f ca="1">IFERROR(__xludf.DUMMYFUNCTION("""COMPUTED_VALUE"""),4)</f>
        <v>4</v>
      </c>
      <c r="J1588" s="118">
        <f ca="1">IFERROR(__xludf.DUMMYFUNCTION("""COMPUTED_VALUE"""),5)</f>
        <v>5</v>
      </c>
      <c r="K1588" s="120">
        <f ca="1">IFERROR(__xludf.DUMMYFUNCTION("""COMPUTED_VALUE"""),41.4)</f>
        <v>41.4</v>
      </c>
      <c r="L1588" s="121"/>
      <c r="M1588" s="120">
        <f ca="1">IFERROR(__xludf.DUMMYFUNCTION("""COMPUTED_VALUE"""),39.85)</f>
        <v>39.85</v>
      </c>
      <c r="N1588" s="121"/>
      <c r="O1588" s="120">
        <f ca="1">IFERROR(__xludf.DUMMYFUNCTION("""COMPUTED_VALUE"""),40.35)</f>
        <v>40.35</v>
      </c>
      <c r="P1588" s="122"/>
      <c r="Q1588" s="123"/>
      <c r="R1588" s="123"/>
      <c r="S1588" s="123"/>
      <c r="T1588" s="123"/>
    </row>
    <row r="1589" spans="1:20" ht="13.8">
      <c r="A1589" s="118" t="str">
        <f ca="1">IFERROR(__xludf.DUMMYFUNCTION("""COMPUTED_VALUE"""),"RFD")</f>
        <v>RFD</v>
      </c>
      <c r="B1589" s="119" t="str">
        <f ca="1">IFERROR(__xludf.DUMMYFUNCTION("""COMPUTED_VALUE"""),"Austin Brooks")</f>
        <v>Austin Brooks</v>
      </c>
      <c r="C1589" s="118">
        <f ca="1">IFERROR(__xludf.DUMMYFUNCTION("""COMPUTED_VALUE"""),9)</f>
        <v>9</v>
      </c>
      <c r="D1589" s="118" t="str">
        <f ca="1">IFERROR(__xludf.DUMMYFUNCTION("""COMPUTED_VALUE"""),"B")</f>
        <v>B</v>
      </c>
      <c r="E1589" s="118" t="str">
        <f ca="1">IFERROR(__xludf.DUMMYFUNCTION("""COMPUTED_VALUE"""),"F")</f>
        <v>F</v>
      </c>
      <c r="F1589" s="118" t="str">
        <f ca="1">IFERROR(__xludf.DUMMYFUNCTION("""COMPUTED_VALUE"""),"J")</f>
        <v>J</v>
      </c>
      <c r="G1589" s="118">
        <f ca="1">IFERROR(__xludf.DUMMYFUNCTION("""COMPUTED_VALUE"""),7)</f>
        <v>7</v>
      </c>
      <c r="H1589" s="118" t="str">
        <f ca="1">IFERROR(__xludf.DUMMYFUNCTION("""COMPUTED_VALUE"""),"RFD")</f>
        <v>RFD</v>
      </c>
      <c r="I1589" s="118">
        <f ca="1">IFERROR(__xludf.DUMMYFUNCTION("""COMPUTED_VALUE"""),5)</f>
        <v>5</v>
      </c>
      <c r="J1589" s="118">
        <f ca="1">IFERROR(__xludf.DUMMYFUNCTION("""COMPUTED_VALUE"""),5)</f>
        <v>5</v>
      </c>
      <c r="K1589" s="120">
        <f ca="1">IFERROR(__xludf.DUMMYFUNCTION("""COMPUTED_VALUE"""),63.2)</f>
        <v>63.2</v>
      </c>
      <c r="L1589" s="121"/>
      <c r="M1589" s="120">
        <f ca="1">IFERROR(__xludf.DUMMYFUNCTION("""COMPUTED_VALUE"""),46.7)</f>
        <v>46.7</v>
      </c>
      <c r="N1589" s="121"/>
      <c r="O1589" s="120">
        <f ca="1">IFERROR(__xludf.DUMMYFUNCTION("""COMPUTED_VALUE"""),46.1)</f>
        <v>46.1</v>
      </c>
      <c r="P1589" s="122"/>
      <c r="Q1589" s="123"/>
      <c r="R1589" s="123"/>
      <c r="S1589" s="123"/>
      <c r="T1589" s="123"/>
    </row>
    <row r="1590" spans="1:20" ht="13.8">
      <c r="A1590" s="118" t="str">
        <f ca="1">IFERROR(__xludf.DUMMYFUNCTION("""COMPUTED_VALUE"""),"RFD")</f>
        <v>RFD</v>
      </c>
      <c r="B1590" s="119" t="str">
        <f ca="1">IFERROR(__xludf.DUMMYFUNCTION("""COMPUTED_VALUE"""),"Colby Steffen")</f>
        <v>Colby Steffen</v>
      </c>
      <c r="C1590" s="118">
        <f ca="1">IFERROR(__xludf.DUMMYFUNCTION("""COMPUTED_VALUE"""),9)</f>
        <v>9</v>
      </c>
      <c r="D1590" s="118" t="str">
        <f ca="1">IFERROR(__xludf.DUMMYFUNCTION("""COMPUTED_VALUE"""),"B")</f>
        <v>B</v>
      </c>
      <c r="E1590" s="118" t="str">
        <f ca="1">IFERROR(__xludf.DUMMYFUNCTION("""COMPUTED_VALUE"""),"F")</f>
        <v>F</v>
      </c>
      <c r="F1590" s="118" t="str">
        <f ca="1">IFERROR(__xludf.DUMMYFUNCTION("""COMPUTED_VALUE"""),"J")</f>
        <v>J</v>
      </c>
      <c r="G1590" s="118">
        <f ca="1">IFERROR(__xludf.DUMMYFUNCTION("""COMPUTED_VALUE"""),7)</f>
        <v>7</v>
      </c>
      <c r="H1590" s="118" t="str">
        <f ca="1">IFERROR(__xludf.DUMMYFUNCTION("""COMPUTED_VALUE"""),"RFD")</f>
        <v>RFD</v>
      </c>
      <c r="I1590" s="118">
        <f ca="1">IFERROR(__xludf.DUMMYFUNCTION("""COMPUTED_VALUE"""),5)</f>
        <v>5</v>
      </c>
      <c r="J1590" s="118">
        <f ca="1">IFERROR(__xludf.DUMMYFUNCTION("""COMPUTED_VALUE"""),5)</f>
        <v>5</v>
      </c>
      <c r="K1590" s="120">
        <f ca="1">IFERROR(__xludf.DUMMYFUNCTION("""COMPUTED_VALUE"""),55)</f>
        <v>55</v>
      </c>
      <c r="L1590" s="121"/>
      <c r="M1590" s="120">
        <f ca="1">IFERROR(__xludf.DUMMYFUNCTION("""COMPUTED_VALUE"""),53.25)</f>
        <v>53.25</v>
      </c>
      <c r="N1590" s="121"/>
      <c r="O1590" s="120">
        <f ca="1">IFERROR(__xludf.DUMMYFUNCTION("""COMPUTED_VALUE"""),42.75)</f>
        <v>42.75</v>
      </c>
      <c r="P1590" s="122"/>
      <c r="Q1590" s="123"/>
      <c r="R1590" s="123"/>
      <c r="S1590" s="123"/>
      <c r="T1590" s="123"/>
    </row>
    <row r="1591" spans="1:20" ht="13.8">
      <c r="A1591" s="118" t="str">
        <f ca="1">IFERROR(__xludf.DUMMYFUNCTION("""COMPUTED_VALUE"""),"RFD")</f>
        <v>RFD</v>
      </c>
      <c r="B1591" s="119" t="str">
        <f ca="1">IFERROR(__xludf.DUMMYFUNCTION("""COMPUTED_VALUE"""),"Cole Fegan")</f>
        <v>Cole Fegan</v>
      </c>
      <c r="C1591" s="118">
        <f ca="1">IFERROR(__xludf.DUMMYFUNCTION("""COMPUTED_VALUE"""),10)</f>
        <v>10</v>
      </c>
      <c r="D1591" s="118" t="str">
        <f ca="1">IFERROR(__xludf.DUMMYFUNCTION("""COMPUTED_VALUE"""),"B")</f>
        <v>B</v>
      </c>
      <c r="E1591" s="118" t="str">
        <f ca="1">IFERROR(__xludf.DUMMYFUNCTION("""COMPUTED_VALUE"""),"F")</f>
        <v>F</v>
      </c>
      <c r="F1591" s="118" t="str">
        <f ca="1">IFERROR(__xludf.DUMMYFUNCTION("""COMPUTED_VALUE"""),"J")</f>
        <v>J</v>
      </c>
      <c r="G1591" s="118">
        <f ca="1">IFERROR(__xludf.DUMMYFUNCTION("""COMPUTED_VALUE"""),7)</f>
        <v>7</v>
      </c>
      <c r="H1591" s="118" t="str">
        <f ca="1">IFERROR(__xludf.DUMMYFUNCTION("""COMPUTED_VALUE"""),"RFD")</f>
        <v>RFD</v>
      </c>
      <c r="I1591" s="118">
        <f ca="1">IFERROR(__xludf.DUMMYFUNCTION("""COMPUTED_VALUE"""),5)</f>
        <v>5</v>
      </c>
      <c r="J1591" s="118">
        <f ca="1">IFERROR(__xludf.DUMMYFUNCTION("""COMPUTED_VALUE"""),3)</f>
        <v>3</v>
      </c>
      <c r="K1591" s="120">
        <f ca="1">IFERROR(__xludf.DUMMYFUNCTION("""COMPUTED_VALUE"""),64.7)</f>
        <v>64.7</v>
      </c>
      <c r="L1591" s="121"/>
      <c r="M1591" s="120"/>
      <c r="N1591" s="121"/>
      <c r="O1591" s="120"/>
      <c r="P1591" s="122"/>
      <c r="Q1591" s="123"/>
      <c r="R1591" s="123"/>
      <c r="S1591" s="123"/>
      <c r="T1591" s="123"/>
    </row>
    <row r="1592" spans="1:20" ht="13.8">
      <c r="A1592" s="118" t="str">
        <f ca="1">IFERROR(__xludf.DUMMYFUNCTION("""COMPUTED_VALUE"""),"RFD")</f>
        <v>RFD</v>
      </c>
      <c r="B1592" s="119" t="str">
        <f ca="1">IFERROR(__xludf.DUMMYFUNCTION("""COMPUTED_VALUE"""),"James Shrader")</f>
        <v>James Shrader</v>
      </c>
      <c r="C1592" s="118">
        <f ca="1">IFERROR(__xludf.DUMMYFUNCTION("""COMPUTED_VALUE"""),10)</f>
        <v>10</v>
      </c>
      <c r="D1592" s="118" t="str">
        <f ca="1">IFERROR(__xludf.DUMMYFUNCTION("""COMPUTED_VALUE"""),"B")</f>
        <v>B</v>
      </c>
      <c r="E1592" s="118" t="str">
        <f ca="1">IFERROR(__xludf.DUMMYFUNCTION("""COMPUTED_VALUE"""),"F")</f>
        <v>F</v>
      </c>
      <c r="F1592" s="118" t="str">
        <f ca="1">IFERROR(__xludf.DUMMYFUNCTION("""COMPUTED_VALUE"""),"J")</f>
        <v>J</v>
      </c>
      <c r="G1592" s="118">
        <f ca="1">IFERROR(__xludf.DUMMYFUNCTION("""COMPUTED_VALUE"""),7)</f>
        <v>7</v>
      </c>
      <c r="H1592" s="118" t="str">
        <f ca="1">IFERROR(__xludf.DUMMYFUNCTION("""COMPUTED_VALUE"""),"RFD")</f>
        <v>RFD</v>
      </c>
      <c r="I1592" s="118">
        <f ca="1">IFERROR(__xludf.DUMMYFUNCTION("""COMPUTED_VALUE"""),5)</f>
        <v>5</v>
      </c>
      <c r="J1592" s="118">
        <f ca="1">IFERROR(__xludf.DUMMYFUNCTION("""COMPUTED_VALUE"""),0)</f>
        <v>0</v>
      </c>
      <c r="K1592" s="120"/>
      <c r="L1592" s="121"/>
      <c r="M1592" s="120"/>
      <c r="N1592" s="121"/>
      <c r="O1592" s="120"/>
      <c r="P1592" s="122"/>
      <c r="Q1592" s="123"/>
      <c r="R1592" s="123"/>
      <c r="S1592" s="123"/>
      <c r="T1592" s="123"/>
    </row>
    <row r="1593" spans="1:20" ht="13.8">
      <c r="A1593" s="118" t="str">
        <f ca="1">IFERROR(__xludf.DUMMYFUNCTION("""COMPUTED_VALUE"""),"RFD")</f>
        <v>RFD</v>
      </c>
      <c r="B1593" s="119" t="str">
        <f ca="1">IFERROR(__xludf.DUMMYFUNCTION("""COMPUTED_VALUE"""),"Levi Lesser")</f>
        <v>Levi Lesser</v>
      </c>
      <c r="C1593" s="118">
        <f ca="1">IFERROR(__xludf.DUMMYFUNCTION("""COMPUTED_VALUE"""),9)</f>
        <v>9</v>
      </c>
      <c r="D1593" s="118" t="str">
        <f ca="1">IFERROR(__xludf.DUMMYFUNCTION("""COMPUTED_VALUE"""),"B")</f>
        <v>B</v>
      </c>
      <c r="E1593" s="118" t="str">
        <f ca="1">IFERROR(__xludf.DUMMYFUNCTION("""COMPUTED_VALUE"""),"F")</f>
        <v>F</v>
      </c>
      <c r="F1593" s="118" t="str">
        <f ca="1">IFERROR(__xludf.DUMMYFUNCTION("""COMPUTED_VALUE"""),"J")</f>
        <v>J</v>
      </c>
      <c r="G1593" s="118">
        <f ca="1">IFERROR(__xludf.DUMMYFUNCTION("""COMPUTED_VALUE"""),7)</f>
        <v>7</v>
      </c>
      <c r="H1593" s="118" t="str">
        <f ca="1">IFERROR(__xludf.DUMMYFUNCTION("""COMPUTED_VALUE"""),"RFD")</f>
        <v>RFD</v>
      </c>
      <c r="I1593" s="118">
        <f ca="1">IFERROR(__xludf.DUMMYFUNCTION("""COMPUTED_VALUE"""),5)</f>
        <v>5</v>
      </c>
      <c r="J1593" s="118">
        <f ca="1">IFERROR(__xludf.DUMMYFUNCTION("""COMPUTED_VALUE"""),3)</f>
        <v>3</v>
      </c>
      <c r="K1593" s="120">
        <f ca="1">IFERROR(__xludf.DUMMYFUNCTION("""COMPUTED_VALUE"""),59.6)</f>
        <v>59.6</v>
      </c>
      <c r="L1593" s="121"/>
      <c r="M1593" s="120"/>
      <c r="N1593" s="121"/>
      <c r="O1593" s="120">
        <f ca="1">IFERROR(__xludf.DUMMYFUNCTION("""COMPUTED_VALUE"""),35.55)</f>
        <v>35.549999999999997</v>
      </c>
      <c r="P1593" s="122"/>
      <c r="Q1593" s="123"/>
      <c r="R1593" s="123"/>
      <c r="S1593" s="123"/>
      <c r="T1593" s="123"/>
    </row>
    <row r="1594" spans="1:20" ht="13.8">
      <c r="A1594" s="118" t="str">
        <f ca="1">IFERROR(__xludf.DUMMYFUNCTION("""COMPUTED_VALUE"""),"RFD")</f>
        <v>RFD</v>
      </c>
      <c r="B1594" s="119" t="str">
        <f ca="1">IFERROR(__xludf.DUMMYFUNCTION("""COMPUTED_VALUE"""),"Max Robinett")</f>
        <v>Max Robinett</v>
      </c>
      <c r="C1594" s="118">
        <f ca="1">IFERROR(__xludf.DUMMYFUNCTION("""COMPUTED_VALUE"""),8)</f>
        <v>8</v>
      </c>
      <c r="D1594" s="118" t="str">
        <f ca="1">IFERROR(__xludf.DUMMYFUNCTION("""COMPUTED_VALUE"""),"B")</f>
        <v>B</v>
      </c>
      <c r="E1594" s="118" t="str">
        <f ca="1">IFERROR(__xludf.DUMMYFUNCTION("""COMPUTED_VALUE"""),"F")</f>
        <v>F</v>
      </c>
      <c r="F1594" s="118" t="str">
        <f ca="1">IFERROR(__xludf.DUMMYFUNCTION("""COMPUTED_VALUE"""),"J")</f>
        <v>J</v>
      </c>
      <c r="G1594" s="118">
        <f ca="1">IFERROR(__xludf.DUMMYFUNCTION("""COMPUTED_VALUE"""),7)</f>
        <v>7</v>
      </c>
      <c r="H1594" s="118" t="str">
        <f ca="1">IFERROR(__xludf.DUMMYFUNCTION("""COMPUTED_VALUE"""),"RFD")</f>
        <v>RFD</v>
      </c>
      <c r="I1594" s="118">
        <f ca="1">IFERROR(__xludf.DUMMYFUNCTION("""COMPUTED_VALUE"""),5)</f>
        <v>5</v>
      </c>
      <c r="J1594" s="118">
        <f ca="1">IFERROR(__xludf.DUMMYFUNCTION("""COMPUTED_VALUE"""),4)</f>
        <v>4</v>
      </c>
      <c r="K1594" s="120">
        <f ca="1">IFERROR(__xludf.DUMMYFUNCTION("""COMPUTED_VALUE"""),57)</f>
        <v>57</v>
      </c>
      <c r="L1594" s="121"/>
      <c r="M1594" s="120">
        <f ca="1">IFERROR(__xludf.DUMMYFUNCTION("""COMPUTED_VALUE"""),40.35)</f>
        <v>40.35</v>
      </c>
      <c r="N1594" s="121"/>
      <c r="O1594" s="120">
        <f ca="1">IFERROR(__xludf.DUMMYFUNCTION("""COMPUTED_VALUE"""),34.55)</f>
        <v>34.549999999999997</v>
      </c>
      <c r="P1594" s="122"/>
      <c r="Q1594" s="123"/>
      <c r="R1594" s="123"/>
      <c r="S1594" s="123"/>
      <c r="T1594" s="123"/>
    </row>
    <row r="1595" spans="1:20" ht="13.8">
      <c r="A1595" s="118" t="str">
        <f ca="1">IFERROR(__xludf.DUMMYFUNCTION("""COMPUTED_VALUE"""),"RFD")</f>
        <v>RFD</v>
      </c>
      <c r="B1595" s="119" t="str">
        <f ca="1">IFERROR(__xludf.DUMMYFUNCTION("""COMPUTED_VALUE"""),"Sam Stankus")</f>
        <v>Sam Stankus</v>
      </c>
      <c r="C1595" s="118">
        <f ca="1">IFERROR(__xludf.DUMMYFUNCTION("""COMPUTED_VALUE"""),9)</f>
        <v>9</v>
      </c>
      <c r="D1595" s="118" t="str">
        <f ca="1">IFERROR(__xludf.DUMMYFUNCTION("""COMPUTED_VALUE"""),"B")</f>
        <v>B</v>
      </c>
      <c r="E1595" s="118" t="str">
        <f ca="1">IFERROR(__xludf.DUMMYFUNCTION("""COMPUTED_VALUE"""),"F")</f>
        <v>F</v>
      </c>
      <c r="F1595" s="118" t="str">
        <f ca="1">IFERROR(__xludf.DUMMYFUNCTION("""COMPUTED_VALUE"""),"J")</f>
        <v>J</v>
      </c>
      <c r="G1595" s="118">
        <f ca="1">IFERROR(__xludf.DUMMYFUNCTION("""COMPUTED_VALUE"""),7)</f>
        <v>7</v>
      </c>
      <c r="H1595" s="118" t="str">
        <f ca="1">IFERROR(__xludf.DUMMYFUNCTION("""COMPUTED_VALUE"""),"RFD")</f>
        <v>RFD</v>
      </c>
      <c r="I1595" s="118">
        <f ca="1">IFERROR(__xludf.DUMMYFUNCTION("""COMPUTED_VALUE"""),5)</f>
        <v>5</v>
      </c>
      <c r="J1595" s="118">
        <f ca="1">IFERROR(__xludf.DUMMYFUNCTION("""COMPUTED_VALUE"""),0)</f>
        <v>0</v>
      </c>
      <c r="K1595" s="120"/>
      <c r="L1595" s="121"/>
      <c r="M1595" s="120"/>
      <c r="N1595" s="121"/>
      <c r="O1595" s="120"/>
      <c r="P1595" s="122"/>
      <c r="Q1595" s="123"/>
      <c r="R1595" s="123"/>
      <c r="S1595" s="123"/>
      <c r="T1595" s="123"/>
    </row>
    <row r="1596" spans="1:20" ht="13.8">
      <c r="A1596" s="118" t="str">
        <f ca="1">IFERROR(__xludf.DUMMYFUNCTION("""COMPUTED_VALUE"""),"RFD")</f>
        <v>RFD</v>
      </c>
      <c r="B1596" s="119" t="str">
        <f ca="1">IFERROR(__xludf.DUMMYFUNCTION("""COMPUTED_VALUE"""),"Acadia Taylor")</f>
        <v>Acadia Taylor</v>
      </c>
      <c r="C1596" s="118">
        <f ca="1">IFERROR(__xludf.DUMMYFUNCTION("""COMPUTED_VALUE"""),11)</f>
        <v>11</v>
      </c>
      <c r="D1596" s="118" t="str">
        <f ca="1">IFERROR(__xludf.DUMMYFUNCTION("""COMPUTED_VALUE"""),"G")</f>
        <v>G</v>
      </c>
      <c r="E1596" s="118" t="str">
        <f ca="1">IFERROR(__xludf.DUMMYFUNCTION("""COMPUTED_VALUE"""),"J")</f>
        <v>J</v>
      </c>
      <c r="F1596" s="118" t="str">
        <f ca="1">IFERROR(__xludf.DUMMYFUNCTION("""COMPUTED_VALUE"""),"I")</f>
        <v>I</v>
      </c>
      <c r="G1596" s="118">
        <f ca="1">IFERROR(__xludf.DUMMYFUNCTION("""COMPUTED_VALUE"""),7)</f>
        <v>7</v>
      </c>
      <c r="H1596" s="118" t="str">
        <f ca="1">IFERROR(__xludf.DUMMYFUNCTION("""COMPUTED_VALUE"""),"RFD")</f>
        <v>RFD</v>
      </c>
      <c r="I1596" s="118">
        <f ca="1">IFERROR(__xludf.DUMMYFUNCTION("""COMPUTED_VALUE"""),6)</f>
        <v>6</v>
      </c>
      <c r="J1596" s="118">
        <f ca="1">IFERROR(__xludf.DUMMYFUNCTION("""COMPUTED_VALUE"""),4)</f>
        <v>4</v>
      </c>
      <c r="K1596" s="120">
        <f ca="1">IFERROR(__xludf.DUMMYFUNCTION("""COMPUTED_VALUE"""),93.9)</f>
        <v>93.9</v>
      </c>
      <c r="L1596" s="121"/>
      <c r="M1596" s="120">
        <f ca="1">IFERROR(__xludf.DUMMYFUNCTION("""COMPUTED_VALUE"""),84.35)</f>
        <v>84.35</v>
      </c>
      <c r="N1596" s="121"/>
      <c r="O1596" s="120">
        <f ca="1">IFERROR(__xludf.DUMMYFUNCTION("""COMPUTED_VALUE"""),72.55)</f>
        <v>72.55</v>
      </c>
      <c r="P1596" s="122"/>
      <c r="Q1596" s="123"/>
      <c r="R1596" s="123"/>
      <c r="S1596" s="123"/>
      <c r="T1596" s="123"/>
    </row>
    <row r="1597" spans="1:20" ht="13.8">
      <c r="A1597" s="118" t="str">
        <f ca="1">IFERROR(__xludf.DUMMYFUNCTION("""COMPUTED_VALUE"""),"RFD")</f>
        <v>RFD</v>
      </c>
      <c r="B1597" s="119" t="str">
        <f ca="1">IFERROR(__xludf.DUMMYFUNCTION("""COMPUTED_VALUE"""),"Daniel Pinto")</f>
        <v>Daniel Pinto</v>
      </c>
      <c r="C1597" s="118">
        <f ca="1">IFERROR(__xludf.DUMMYFUNCTION("""COMPUTED_VALUE"""),12)</f>
        <v>12</v>
      </c>
      <c r="D1597" s="118" t="str">
        <f ca="1">IFERROR(__xludf.DUMMYFUNCTION("""COMPUTED_VALUE"""),"B")</f>
        <v>B</v>
      </c>
      <c r="E1597" s="118" t="str">
        <f ca="1">IFERROR(__xludf.DUMMYFUNCTION("""COMPUTED_VALUE"""),"J")</f>
        <v>J</v>
      </c>
      <c r="F1597" s="118" t="str">
        <f ca="1">IFERROR(__xludf.DUMMYFUNCTION("""COMPUTED_VALUE"""),"I")</f>
        <v>I</v>
      </c>
      <c r="G1597" s="118">
        <f ca="1">IFERROR(__xludf.DUMMYFUNCTION("""COMPUTED_VALUE"""),7)</f>
        <v>7</v>
      </c>
      <c r="H1597" s="118" t="str">
        <f ca="1">IFERROR(__xludf.DUMMYFUNCTION("""COMPUTED_VALUE"""),"RFD")</f>
        <v>RFD</v>
      </c>
      <c r="I1597" s="118">
        <f ca="1">IFERROR(__xludf.DUMMYFUNCTION("""COMPUTED_VALUE"""),7)</f>
        <v>7</v>
      </c>
      <c r="J1597" s="118">
        <f ca="1">IFERROR(__xludf.DUMMYFUNCTION("""COMPUTED_VALUE"""),0)</f>
        <v>0</v>
      </c>
      <c r="K1597" s="120"/>
      <c r="L1597" s="121"/>
      <c r="M1597" s="120"/>
      <c r="N1597" s="121"/>
      <c r="O1597" s="120"/>
      <c r="P1597" s="122"/>
      <c r="Q1597" s="123"/>
      <c r="R1597" s="123"/>
      <c r="S1597" s="123"/>
      <c r="T1597" s="123"/>
    </row>
    <row r="1598" spans="1:20" ht="13.8">
      <c r="A1598" s="118" t="str">
        <f ca="1">IFERROR(__xludf.DUMMYFUNCTION("""COMPUTED_VALUE"""),"RFD")</f>
        <v>RFD</v>
      </c>
      <c r="B1598" s="119" t="str">
        <f ca="1">IFERROR(__xludf.DUMMYFUNCTION("""COMPUTED_VALUE"""),"Kamran Martin")</f>
        <v>Kamran Martin</v>
      </c>
      <c r="C1598" s="118">
        <f ca="1">IFERROR(__xludf.DUMMYFUNCTION("""COMPUTED_VALUE"""),11)</f>
        <v>11</v>
      </c>
      <c r="D1598" s="118" t="str">
        <f ca="1">IFERROR(__xludf.DUMMYFUNCTION("""COMPUTED_VALUE"""),"B")</f>
        <v>B</v>
      </c>
      <c r="E1598" s="118" t="str">
        <f ca="1">IFERROR(__xludf.DUMMYFUNCTION("""COMPUTED_VALUE"""),"J")</f>
        <v>J</v>
      </c>
      <c r="F1598" s="118" t="str">
        <f ca="1">IFERROR(__xludf.DUMMYFUNCTION("""COMPUTED_VALUE"""),"I")</f>
        <v>I</v>
      </c>
      <c r="G1598" s="118">
        <f ca="1">IFERROR(__xludf.DUMMYFUNCTION("""COMPUTED_VALUE"""),7)</f>
        <v>7</v>
      </c>
      <c r="H1598" s="118" t="str">
        <f ca="1">IFERROR(__xludf.DUMMYFUNCTION("""COMPUTED_VALUE"""),"RFD")</f>
        <v>RFD</v>
      </c>
      <c r="I1598" s="118">
        <f ca="1">IFERROR(__xludf.DUMMYFUNCTION("""COMPUTED_VALUE"""),7)</f>
        <v>7</v>
      </c>
      <c r="J1598" s="118">
        <f ca="1">IFERROR(__xludf.DUMMYFUNCTION("""COMPUTED_VALUE"""),0)</f>
        <v>0</v>
      </c>
      <c r="K1598" s="120"/>
      <c r="L1598" s="121"/>
      <c r="M1598" s="120"/>
      <c r="N1598" s="121"/>
      <c r="O1598" s="120"/>
      <c r="P1598" s="122"/>
      <c r="Q1598" s="123"/>
      <c r="R1598" s="123"/>
      <c r="S1598" s="123"/>
      <c r="T1598" s="123"/>
    </row>
    <row r="1599" spans="1:20" ht="13.8">
      <c r="A1599" s="118" t="str">
        <f ca="1">IFERROR(__xludf.DUMMYFUNCTION("""COMPUTED_VALUE"""),"RFD")</f>
        <v>RFD</v>
      </c>
      <c r="B1599" s="119" t="str">
        <f ca="1">IFERROR(__xludf.DUMMYFUNCTION("""COMPUTED_VALUE"""),"Michael Commette")</f>
        <v>Michael Commette</v>
      </c>
      <c r="C1599" s="118">
        <f ca="1">IFERROR(__xludf.DUMMYFUNCTION("""COMPUTED_VALUE"""),12)</f>
        <v>12</v>
      </c>
      <c r="D1599" s="118" t="str">
        <f ca="1">IFERROR(__xludf.DUMMYFUNCTION("""COMPUTED_VALUE"""),"B")</f>
        <v>B</v>
      </c>
      <c r="E1599" s="118" t="str">
        <f ca="1">IFERROR(__xludf.DUMMYFUNCTION("""COMPUTED_VALUE"""),"J")</f>
        <v>J</v>
      </c>
      <c r="F1599" s="118" t="str">
        <f ca="1">IFERROR(__xludf.DUMMYFUNCTION("""COMPUTED_VALUE"""),"I")</f>
        <v>I</v>
      </c>
      <c r="G1599" s="118">
        <f ca="1">IFERROR(__xludf.DUMMYFUNCTION("""COMPUTED_VALUE"""),7)</f>
        <v>7</v>
      </c>
      <c r="H1599" s="118" t="str">
        <f ca="1">IFERROR(__xludf.DUMMYFUNCTION("""COMPUTED_VALUE"""),"RFD")</f>
        <v>RFD</v>
      </c>
      <c r="I1599" s="118">
        <f ca="1">IFERROR(__xludf.DUMMYFUNCTION("""COMPUTED_VALUE"""),7)</f>
        <v>7</v>
      </c>
      <c r="J1599" s="118">
        <f ca="1">IFERROR(__xludf.DUMMYFUNCTION("""COMPUTED_VALUE"""),4)</f>
        <v>4</v>
      </c>
      <c r="K1599" s="120">
        <f ca="1">IFERROR(__xludf.DUMMYFUNCTION("""COMPUTED_VALUE"""),88.75)</f>
        <v>88.75</v>
      </c>
      <c r="L1599" s="121"/>
      <c r="M1599" s="120">
        <f ca="1">IFERROR(__xludf.DUMMYFUNCTION("""COMPUTED_VALUE"""),74.75)</f>
        <v>74.75</v>
      </c>
      <c r="N1599" s="121"/>
      <c r="O1599" s="120">
        <f ca="1">IFERROR(__xludf.DUMMYFUNCTION("""COMPUTED_VALUE"""),66.3)</f>
        <v>66.3</v>
      </c>
      <c r="P1599" s="122"/>
      <c r="Q1599" s="123"/>
      <c r="R1599" s="123"/>
      <c r="S1599" s="123"/>
      <c r="T1599" s="123"/>
    </row>
    <row r="1600" spans="1:20" ht="13.8">
      <c r="A1600" s="118" t="str">
        <f ca="1">IFERROR(__xludf.DUMMYFUNCTION("""COMPUTED_VALUE"""),"RFD")</f>
        <v>RFD</v>
      </c>
      <c r="B1600" s="119" t="str">
        <f ca="1">IFERROR(__xludf.DUMMYFUNCTION("""COMPUTED_VALUE"""),"Srihan Bubuk")</f>
        <v>Srihan Bubuk</v>
      </c>
      <c r="C1600" s="118">
        <f ca="1">IFERROR(__xludf.DUMMYFUNCTION("""COMPUTED_VALUE"""),12)</f>
        <v>12</v>
      </c>
      <c r="D1600" s="118" t="str">
        <f ca="1">IFERROR(__xludf.DUMMYFUNCTION("""COMPUTED_VALUE"""),"B")</f>
        <v>B</v>
      </c>
      <c r="E1600" s="118" t="str">
        <f ca="1">IFERROR(__xludf.DUMMYFUNCTION("""COMPUTED_VALUE"""),"J")</f>
        <v>J</v>
      </c>
      <c r="F1600" s="118" t="str">
        <f ca="1">IFERROR(__xludf.DUMMYFUNCTION("""COMPUTED_VALUE"""),"I")</f>
        <v>I</v>
      </c>
      <c r="G1600" s="118">
        <f ca="1">IFERROR(__xludf.DUMMYFUNCTION("""COMPUTED_VALUE"""),7)</f>
        <v>7</v>
      </c>
      <c r="H1600" s="118" t="str">
        <f ca="1">IFERROR(__xludf.DUMMYFUNCTION("""COMPUTED_VALUE"""),"RFD")</f>
        <v>RFD</v>
      </c>
      <c r="I1600" s="118">
        <f ca="1">IFERROR(__xludf.DUMMYFUNCTION("""COMPUTED_VALUE"""),7)</f>
        <v>7</v>
      </c>
      <c r="J1600" s="118">
        <f ca="1">IFERROR(__xludf.DUMMYFUNCTION("""COMPUTED_VALUE"""),0)</f>
        <v>0</v>
      </c>
      <c r="K1600" s="120"/>
      <c r="L1600" s="121"/>
      <c r="M1600" s="120"/>
      <c r="N1600" s="121"/>
      <c r="O1600" s="120"/>
      <c r="P1600" s="122"/>
      <c r="Q1600" s="123"/>
      <c r="R1600" s="123"/>
      <c r="S1600" s="123"/>
      <c r="T1600" s="123"/>
    </row>
    <row r="1601" spans="1:20" ht="13.8">
      <c r="A1601" s="118" t="str">
        <f ca="1">IFERROR(__xludf.DUMMYFUNCTION("""COMPUTED_VALUE"""),"RFD")</f>
        <v>RFD</v>
      </c>
      <c r="B1601" s="119" t="str">
        <f ca="1">IFERROR(__xludf.DUMMYFUNCTION("""COMPUTED_VALUE"""),"Zach Lesser")</f>
        <v>Zach Lesser</v>
      </c>
      <c r="C1601" s="118">
        <f ca="1">IFERROR(__xludf.DUMMYFUNCTION("""COMPUTED_VALUE"""),12)</f>
        <v>12</v>
      </c>
      <c r="D1601" s="118" t="str">
        <f ca="1">IFERROR(__xludf.DUMMYFUNCTION("""COMPUTED_VALUE"""),"B")</f>
        <v>B</v>
      </c>
      <c r="E1601" s="118" t="str">
        <f ca="1">IFERROR(__xludf.DUMMYFUNCTION("""COMPUTED_VALUE"""),"J")</f>
        <v>J</v>
      </c>
      <c r="F1601" s="118" t="str">
        <f ca="1">IFERROR(__xludf.DUMMYFUNCTION("""COMPUTED_VALUE"""),"I")</f>
        <v>I</v>
      </c>
      <c r="G1601" s="118">
        <f ca="1">IFERROR(__xludf.DUMMYFUNCTION("""COMPUTED_VALUE"""),7)</f>
        <v>7</v>
      </c>
      <c r="H1601" s="118" t="str">
        <f ca="1">IFERROR(__xludf.DUMMYFUNCTION("""COMPUTED_VALUE"""),"RFD")</f>
        <v>RFD</v>
      </c>
      <c r="I1601" s="118">
        <f ca="1">IFERROR(__xludf.DUMMYFUNCTION("""COMPUTED_VALUE"""),7)</f>
        <v>7</v>
      </c>
      <c r="J1601" s="118">
        <f ca="1">IFERROR(__xludf.DUMMYFUNCTION("""COMPUTED_VALUE"""),5)</f>
        <v>5</v>
      </c>
      <c r="K1601" s="120">
        <f ca="1">IFERROR(__xludf.DUMMYFUNCTION("""COMPUTED_VALUE"""),74.4)</f>
        <v>74.400000000000006</v>
      </c>
      <c r="L1601" s="121"/>
      <c r="M1601" s="120">
        <f ca="1">IFERROR(__xludf.DUMMYFUNCTION("""COMPUTED_VALUE"""),74.2)</f>
        <v>74.2</v>
      </c>
      <c r="N1601" s="121"/>
      <c r="O1601" s="120">
        <f ca="1">IFERROR(__xludf.DUMMYFUNCTION("""COMPUTED_VALUE"""),68.15)</f>
        <v>68.150000000000006</v>
      </c>
      <c r="P1601" s="122"/>
      <c r="Q1601" s="123"/>
      <c r="R1601" s="123"/>
      <c r="S1601" s="123"/>
      <c r="T1601" s="123"/>
    </row>
    <row r="1602" spans="1:20" ht="13.8">
      <c r="A1602" s="118" t="str">
        <f ca="1">IFERROR(__xludf.DUMMYFUNCTION("""COMPUTED_VALUE"""),"RFD")</f>
        <v>RFD</v>
      </c>
      <c r="B1602" s="119" t="str">
        <f ca="1">IFERROR(__xludf.DUMMYFUNCTION("""COMPUTED_VALUE"""),"Kathryn Fegan")</f>
        <v>Kathryn Fegan</v>
      </c>
      <c r="C1602" s="118">
        <f ca="1">IFERROR(__xludf.DUMMYFUNCTION("""COMPUTED_VALUE"""),13)</f>
        <v>13</v>
      </c>
      <c r="D1602" s="118" t="str">
        <f ca="1">IFERROR(__xludf.DUMMYFUNCTION("""COMPUTED_VALUE"""),"G")</f>
        <v>G</v>
      </c>
      <c r="E1602" s="118" t="str">
        <f ca="1">IFERROR(__xludf.DUMMYFUNCTION("""COMPUTED_VALUE"""),"I")</f>
        <v>I</v>
      </c>
      <c r="F1602" s="118" t="str">
        <f ca="1">IFERROR(__xludf.DUMMYFUNCTION("""COMPUTED_VALUE"""),"S")</f>
        <v>S</v>
      </c>
      <c r="G1602" s="118">
        <f ca="1">IFERROR(__xludf.DUMMYFUNCTION("""COMPUTED_VALUE"""),7)</f>
        <v>7</v>
      </c>
      <c r="H1602" s="118" t="str">
        <f ca="1">IFERROR(__xludf.DUMMYFUNCTION("""COMPUTED_VALUE"""),"RFD")</f>
        <v>RFD</v>
      </c>
      <c r="I1602" s="118">
        <f ca="1">IFERROR(__xludf.DUMMYFUNCTION("""COMPUTED_VALUE"""),8)</f>
        <v>8</v>
      </c>
      <c r="J1602" s="118">
        <f ca="1">IFERROR(__xludf.DUMMYFUNCTION("""COMPUTED_VALUE"""),5)</f>
        <v>5</v>
      </c>
      <c r="K1602" s="120">
        <f ca="1">IFERROR(__xludf.DUMMYFUNCTION("""COMPUTED_VALUE"""),119.65)</f>
        <v>119.65</v>
      </c>
      <c r="L1602" s="121"/>
      <c r="M1602" s="120">
        <f ca="1">IFERROR(__xludf.DUMMYFUNCTION("""COMPUTED_VALUE"""),107.1)</f>
        <v>107.1</v>
      </c>
      <c r="N1602" s="121"/>
      <c r="O1602" s="120">
        <f ca="1">IFERROR(__xludf.DUMMYFUNCTION("""COMPUTED_VALUE"""),115.05)</f>
        <v>115.05</v>
      </c>
      <c r="P1602" s="122"/>
      <c r="Q1602" s="123"/>
      <c r="R1602" s="123"/>
      <c r="S1602" s="123"/>
      <c r="T1602" s="123"/>
    </row>
    <row r="1603" spans="1:20" ht="13.8">
      <c r="A1603" s="118" t="str">
        <f ca="1">IFERROR(__xludf.DUMMYFUNCTION("""COMPUTED_VALUE"""),"RFD")</f>
        <v>RFD</v>
      </c>
      <c r="B1603" s="119" t="str">
        <f ca="1">IFERROR(__xludf.DUMMYFUNCTION("""COMPUTED_VALUE"""),"Teny Davitian")</f>
        <v>Teny Davitian</v>
      </c>
      <c r="C1603" s="118">
        <f ca="1">IFERROR(__xludf.DUMMYFUNCTION("""COMPUTED_VALUE"""),13)</f>
        <v>13</v>
      </c>
      <c r="D1603" s="118" t="str">
        <f ca="1">IFERROR(__xludf.DUMMYFUNCTION("""COMPUTED_VALUE"""),"G")</f>
        <v>G</v>
      </c>
      <c r="E1603" s="118" t="str">
        <f ca="1">IFERROR(__xludf.DUMMYFUNCTION("""COMPUTED_VALUE"""),"I")</f>
        <v>I</v>
      </c>
      <c r="F1603" s="118" t="str">
        <f ca="1">IFERROR(__xludf.DUMMYFUNCTION("""COMPUTED_VALUE"""),"S")</f>
        <v>S</v>
      </c>
      <c r="G1603" s="118">
        <f ca="1">IFERROR(__xludf.DUMMYFUNCTION("""COMPUTED_VALUE"""),7)</f>
        <v>7</v>
      </c>
      <c r="H1603" s="118" t="str">
        <f ca="1">IFERROR(__xludf.DUMMYFUNCTION("""COMPUTED_VALUE"""),"RFD")</f>
        <v>RFD</v>
      </c>
      <c r="I1603" s="118">
        <f ca="1">IFERROR(__xludf.DUMMYFUNCTION("""COMPUTED_VALUE"""),8)</f>
        <v>8</v>
      </c>
      <c r="J1603" s="118">
        <f ca="1">IFERROR(__xludf.DUMMYFUNCTION("""COMPUTED_VALUE"""),4)</f>
        <v>4</v>
      </c>
      <c r="K1603" s="120">
        <f ca="1">IFERROR(__xludf.DUMMYFUNCTION("""COMPUTED_VALUE"""),110.7)</f>
        <v>110.7</v>
      </c>
      <c r="L1603" s="121"/>
      <c r="M1603" s="120">
        <f ca="1">IFERROR(__xludf.DUMMYFUNCTION("""COMPUTED_VALUE"""),110.1)</f>
        <v>110.1</v>
      </c>
      <c r="N1603" s="121"/>
      <c r="O1603" s="120">
        <f ca="1">IFERROR(__xludf.DUMMYFUNCTION("""COMPUTED_VALUE"""),87.1)</f>
        <v>87.1</v>
      </c>
      <c r="P1603" s="122"/>
      <c r="Q1603" s="123"/>
      <c r="R1603" s="123"/>
      <c r="S1603" s="123"/>
      <c r="T1603" s="123"/>
    </row>
    <row r="1604" spans="1:20" ht="13.8">
      <c r="A1604" s="118" t="str">
        <f ca="1">IFERROR(__xludf.DUMMYFUNCTION("""COMPUTED_VALUE"""),"RFD")</f>
        <v>RFD</v>
      </c>
      <c r="B1604" s="119" t="str">
        <f ca="1">IFERROR(__xludf.DUMMYFUNCTION("""COMPUTED_VALUE"""),"Bradyn Brooks")</f>
        <v>Bradyn Brooks</v>
      </c>
      <c r="C1604" s="118">
        <f ca="1">IFERROR(__xludf.DUMMYFUNCTION("""COMPUTED_VALUE"""),14)</f>
        <v>14</v>
      </c>
      <c r="D1604" s="118" t="str">
        <f ca="1">IFERROR(__xludf.DUMMYFUNCTION("""COMPUTED_VALUE"""),"B")</f>
        <v>B</v>
      </c>
      <c r="E1604" s="118" t="str">
        <f ca="1">IFERROR(__xludf.DUMMYFUNCTION("""COMPUTED_VALUE"""),"I")</f>
        <v>I</v>
      </c>
      <c r="F1604" s="118" t="str">
        <f ca="1">IFERROR(__xludf.DUMMYFUNCTION("""COMPUTED_VALUE"""),"S")</f>
        <v>S</v>
      </c>
      <c r="G1604" s="118">
        <f ca="1">IFERROR(__xludf.DUMMYFUNCTION("""COMPUTED_VALUE"""),7)</f>
        <v>7</v>
      </c>
      <c r="H1604" s="118" t="str">
        <f ca="1">IFERROR(__xludf.DUMMYFUNCTION("""COMPUTED_VALUE"""),"RFD")</f>
        <v>RFD</v>
      </c>
      <c r="I1604" s="118">
        <f ca="1">IFERROR(__xludf.DUMMYFUNCTION("""COMPUTED_VALUE"""),9)</f>
        <v>9</v>
      </c>
      <c r="J1604" s="118">
        <f ca="1">IFERROR(__xludf.DUMMYFUNCTION("""COMPUTED_VALUE"""),5)</f>
        <v>5</v>
      </c>
      <c r="K1604" s="120">
        <f ca="1">IFERROR(__xludf.DUMMYFUNCTION("""COMPUTED_VALUE"""),110.25)</f>
        <v>110.25</v>
      </c>
      <c r="L1604" s="121"/>
      <c r="M1604" s="120">
        <f ca="1">IFERROR(__xludf.DUMMYFUNCTION("""COMPUTED_VALUE"""),88.4)</f>
        <v>88.4</v>
      </c>
      <c r="N1604" s="121"/>
      <c r="O1604" s="120">
        <f ca="1">IFERROR(__xludf.DUMMYFUNCTION("""COMPUTED_VALUE"""),95.75)</f>
        <v>95.75</v>
      </c>
      <c r="P1604" s="122"/>
      <c r="Q1604" s="123"/>
      <c r="R1604" s="123"/>
      <c r="S1604" s="123"/>
      <c r="T1604" s="123"/>
    </row>
    <row r="1605" spans="1:20" ht="13.8">
      <c r="A1605" s="118" t="str">
        <f ca="1">IFERROR(__xludf.DUMMYFUNCTION("""COMPUTED_VALUE"""),"RFD")</f>
        <v>RFD</v>
      </c>
      <c r="B1605" s="119" t="str">
        <f ca="1">IFERROR(__xludf.DUMMYFUNCTION("""COMPUTED_VALUE"""),"Henry Quillen")</f>
        <v>Henry Quillen</v>
      </c>
      <c r="C1605" s="118">
        <f ca="1">IFERROR(__xludf.DUMMYFUNCTION("""COMPUTED_VALUE"""),13)</f>
        <v>13</v>
      </c>
      <c r="D1605" s="118" t="str">
        <f ca="1">IFERROR(__xludf.DUMMYFUNCTION("""COMPUTED_VALUE"""),"B")</f>
        <v>B</v>
      </c>
      <c r="E1605" s="118" t="str">
        <f ca="1">IFERROR(__xludf.DUMMYFUNCTION("""COMPUTED_VALUE"""),"I")</f>
        <v>I</v>
      </c>
      <c r="F1605" s="118" t="str">
        <f ca="1">IFERROR(__xludf.DUMMYFUNCTION("""COMPUTED_VALUE"""),"S")</f>
        <v>S</v>
      </c>
      <c r="G1605" s="118">
        <f ca="1">IFERROR(__xludf.DUMMYFUNCTION("""COMPUTED_VALUE"""),7)</f>
        <v>7</v>
      </c>
      <c r="H1605" s="118" t="str">
        <f ca="1">IFERROR(__xludf.DUMMYFUNCTION("""COMPUTED_VALUE"""),"RFD")</f>
        <v>RFD</v>
      </c>
      <c r="I1605" s="118">
        <f ca="1">IFERROR(__xludf.DUMMYFUNCTION("""COMPUTED_VALUE"""),9)</f>
        <v>9</v>
      </c>
      <c r="J1605" s="118">
        <f ca="1">IFERROR(__xludf.DUMMYFUNCTION("""COMPUTED_VALUE"""),3)</f>
        <v>3</v>
      </c>
      <c r="K1605" s="120">
        <f ca="1">IFERROR(__xludf.DUMMYFUNCTION("""COMPUTED_VALUE"""),97.45)</f>
        <v>97.45</v>
      </c>
      <c r="L1605" s="121"/>
      <c r="M1605" s="120"/>
      <c r="N1605" s="121"/>
      <c r="O1605" s="120">
        <f ca="1">IFERROR(__xludf.DUMMYFUNCTION("""COMPUTED_VALUE"""),90.85)</f>
        <v>90.85</v>
      </c>
      <c r="P1605" s="122"/>
      <c r="Q1605" s="123"/>
      <c r="R1605" s="123"/>
      <c r="S1605" s="123"/>
      <c r="T1605" s="123"/>
    </row>
    <row r="1606" spans="1:20" ht="13.8">
      <c r="A1606" s="118" t="str">
        <f ca="1">IFERROR(__xludf.DUMMYFUNCTION("""COMPUTED_VALUE"""),"RFD")</f>
        <v>RFD</v>
      </c>
      <c r="B1606" s="119" t="str">
        <f ca="1">IFERROR(__xludf.DUMMYFUNCTION("""COMPUTED_VALUE"""),"Adelaide Frank")</f>
        <v>Adelaide Frank</v>
      </c>
      <c r="C1606" s="118">
        <f ca="1">IFERROR(__xludf.DUMMYFUNCTION("""COMPUTED_VALUE"""),16)</f>
        <v>16</v>
      </c>
      <c r="D1606" s="118" t="str">
        <f ca="1">IFERROR(__xludf.DUMMYFUNCTION("""COMPUTED_VALUE"""),"G")</f>
        <v>G</v>
      </c>
      <c r="E1606" s="118" t="str">
        <f ca="1">IFERROR(__xludf.DUMMYFUNCTION("""COMPUTED_VALUE"""),"S")</f>
        <v>S</v>
      </c>
      <c r="F1606" s="118" t="str">
        <f ca="1">IFERROR(__xludf.DUMMYFUNCTION("""COMPUTED_VALUE"""),"S")</f>
        <v>S</v>
      </c>
      <c r="G1606" s="118">
        <f ca="1">IFERROR(__xludf.DUMMYFUNCTION("""COMPUTED_VALUE"""),7)</f>
        <v>7</v>
      </c>
      <c r="H1606" s="118" t="str">
        <f ca="1">IFERROR(__xludf.DUMMYFUNCTION("""COMPUTED_VALUE"""),"RFD")</f>
        <v>RFD</v>
      </c>
      <c r="I1606" s="118">
        <f ca="1">IFERROR(__xludf.DUMMYFUNCTION("""COMPUTED_VALUE"""),10)</f>
        <v>10</v>
      </c>
      <c r="J1606" s="118">
        <f ca="1">IFERROR(__xludf.DUMMYFUNCTION("""COMPUTED_VALUE"""),5)</f>
        <v>5</v>
      </c>
      <c r="K1606" s="120">
        <f ca="1">IFERROR(__xludf.DUMMYFUNCTION("""COMPUTED_VALUE"""),119.6)</f>
        <v>119.6</v>
      </c>
      <c r="L1606" s="121"/>
      <c r="M1606" s="120">
        <f ca="1">IFERROR(__xludf.DUMMYFUNCTION("""COMPUTED_VALUE"""),104.8)</f>
        <v>104.8</v>
      </c>
      <c r="N1606" s="121"/>
      <c r="O1606" s="120">
        <f ca="1">IFERROR(__xludf.DUMMYFUNCTION("""COMPUTED_VALUE"""),108.25)</f>
        <v>108.25</v>
      </c>
      <c r="P1606" s="122"/>
      <c r="Q1606" s="123"/>
      <c r="R1606" s="123"/>
      <c r="S1606" s="123"/>
      <c r="T1606" s="123"/>
    </row>
    <row r="1607" spans="1:20" ht="13.8">
      <c r="A1607" s="118" t="str">
        <f ca="1">IFERROR(__xludf.DUMMYFUNCTION("""COMPUTED_VALUE"""),"RFD")</f>
        <v>RFD</v>
      </c>
      <c r="B1607" s="119" t="str">
        <f ca="1">IFERROR(__xludf.DUMMYFUNCTION("""COMPUTED_VALUE"""),"Heather Calderon")</f>
        <v>Heather Calderon</v>
      </c>
      <c r="C1607" s="118">
        <f ca="1">IFERROR(__xludf.DUMMYFUNCTION("""COMPUTED_VALUE"""),18)</f>
        <v>18</v>
      </c>
      <c r="D1607" s="118" t="str">
        <f ca="1">IFERROR(__xludf.DUMMYFUNCTION("""COMPUTED_VALUE"""),"G")</f>
        <v>G</v>
      </c>
      <c r="E1607" s="118" t="str">
        <f ca="1">IFERROR(__xludf.DUMMYFUNCTION("""COMPUTED_VALUE"""),"S")</f>
        <v>S</v>
      </c>
      <c r="F1607" s="118" t="str">
        <f ca="1">IFERROR(__xludf.DUMMYFUNCTION("""COMPUTED_VALUE"""),"S")</f>
        <v>S</v>
      </c>
      <c r="G1607" s="118">
        <f ca="1">IFERROR(__xludf.DUMMYFUNCTION("""COMPUTED_VALUE"""),7)</f>
        <v>7</v>
      </c>
      <c r="H1607" s="118" t="str">
        <f ca="1">IFERROR(__xludf.DUMMYFUNCTION("""COMPUTED_VALUE"""),"RFD")</f>
        <v>RFD</v>
      </c>
      <c r="I1607" s="118">
        <f ca="1">IFERROR(__xludf.DUMMYFUNCTION("""COMPUTED_VALUE"""),10)</f>
        <v>10</v>
      </c>
      <c r="J1607" s="118">
        <f ca="1">IFERROR(__xludf.DUMMYFUNCTION("""COMPUTED_VALUE"""),4)</f>
        <v>4</v>
      </c>
      <c r="K1607" s="120">
        <f ca="1">IFERROR(__xludf.DUMMYFUNCTION("""COMPUTED_VALUE"""),165.9)</f>
        <v>165.9</v>
      </c>
      <c r="L1607" s="121"/>
      <c r="M1607" s="120"/>
      <c r="N1607" s="121"/>
      <c r="O1607" s="120">
        <f ca="1">IFERROR(__xludf.DUMMYFUNCTION("""COMPUTED_VALUE"""),138.05)</f>
        <v>138.05000000000001</v>
      </c>
      <c r="P1607" s="122"/>
      <c r="Q1607" s="123"/>
      <c r="R1607" s="123"/>
      <c r="S1607" s="123"/>
      <c r="T1607" s="123"/>
    </row>
    <row r="1608" spans="1:20" ht="13.8">
      <c r="A1608" s="118" t="str">
        <f ca="1">IFERROR(__xludf.DUMMYFUNCTION("""COMPUTED_VALUE"""),"RFD")</f>
        <v>RFD</v>
      </c>
      <c r="B1608" s="119" t="str">
        <f ca="1">IFERROR(__xludf.DUMMYFUNCTION("""COMPUTED_VALUE"""),"Taityn Speier")</f>
        <v>Taityn Speier</v>
      </c>
      <c r="C1608" s="118">
        <f ca="1">IFERROR(__xludf.DUMMYFUNCTION("""COMPUTED_VALUE"""),18)</f>
        <v>18</v>
      </c>
      <c r="D1608" s="118" t="str">
        <f ca="1">IFERROR(__xludf.DUMMYFUNCTION("""COMPUTED_VALUE"""),"G")</f>
        <v>G</v>
      </c>
      <c r="E1608" s="118" t="str">
        <f ca="1">IFERROR(__xludf.DUMMYFUNCTION("""COMPUTED_VALUE"""),"S")</f>
        <v>S</v>
      </c>
      <c r="F1608" s="118" t="str">
        <f ca="1">IFERROR(__xludf.DUMMYFUNCTION("""COMPUTED_VALUE"""),"S")</f>
        <v>S</v>
      </c>
      <c r="G1608" s="118">
        <f ca="1">IFERROR(__xludf.DUMMYFUNCTION("""COMPUTED_VALUE"""),7)</f>
        <v>7</v>
      </c>
      <c r="H1608" s="118" t="str">
        <f ca="1">IFERROR(__xludf.DUMMYFUNCTION("""COMPUTED_VALUE"""),"RFD")</f>
        <v>RFD</v>
      </c>
      <c r="I1608" s="118">
        <f ca="1">IFERROR(__xludf.DUMMYFUNCTION("""COMPUTED_VALUE"""),10)</f>
        <v>10</v>
      </c>
      <c r="J1608" s="118">
        <f ca="1">IFERROR(__xludf.DUMMYFUNCTION("""COMPUTED_VALUE"""),4)</f>
        <v>4</v>
      </c>
      <c r="K1608" s="120">
        <f ca="1">IFERROR(__xludf.DUMMYFUNCTION("""COMPUTED_VALUE"""),200.35)</f>
        <v>200.35</v>
      </c>
      <c r="L1608" s="121"/>
      <c r="M1608" s="120"/>
      <c r="N1608" s="121"/>
      <c r="O1608" s="120">
        <f ca="1">IFERROR(__xludf.DUMMYFUNCTION("""COMPUTED_VALUE"""),175.95)</f>
        <v>175.95</v>
      </c>
      <c r="P1608" s="122"/>
      <c r="Q1608" s="123"/>
      <c r="R1608" s="123"/>
      <c r="S1608" s="123"/>
      <c r="T1608" s="123"/>
    </row>
    <row r="1609" spans="1:20" ht="13.8">
      <c r="A1609" s="118" t="str">
        <f ca="1">IFERROR(__xludf.DUMMYFUNCTION("""COMPUTED_VALUE"""),"RFD")</f>
        <v>RFD</v>
      </c>
      <c r="B1609" s="119" t="str">
        <f ca="1">IFERROR(__xludf.DUMMYFUNCTION("""COMPUTED_VALUE"""),"Griffin Brown")</f>
        <v>Griffin Brown</v>
      </c>
      <c r="C1609" s="118">
        <f ca="1">IFERROR(__xludf.DUMMYFUNCTION("""COMPUTED_VALUE"""),18)</f>
        <v>18</v>
      </c>
      <c r="D1609" s="118" t="str">
        <f ca="1">IFERROR(__xludf.DUMMYFUNCTION("""COMPUTED_VALUE"""),"B")</f>
        <v>B</v>
      </c>
      <c r="E1609" s="118" t="str">
        <f ca="1">IFERROR(__xludf.DUMMYFUNCTION("""COMPUTED_VALUE"""),"S")</f>
        <v>S</v>
      </c>
      <c r="F1609" s="118" t="str">
        <f ca="1">IFERROR(__xludf.DUMMYFUNCTION("""COMPUTED_VALUE"""),"S")</f>
        <v>S</v>
      </c>
      <c r="G1609" s="118">
        <f ca="1">IFERROR(__xludf.DUMMYFUNCTION("""COMPUTED_VALUE"""),7)</f>
        <v>7</v>
      </c>
      <c r="H1609" s="118" t="str">
        <f ca="1">IFERROR(__xludf.DUMMYFUNCTION("""COMPUTED_VALUE"""),"RFD")</f>
        <v>RFD</v>
      </c>
      <c r="I1609" s="118">
        <f ca="1">IFERROR(__xludf.DUMMYFUNCTION("""COMPUTED_VALUE"""),11)</f>
        <v>11</v>
      </c>
      <c r="J1609" s="118">
        <f ca="1">IFERROR(__xludf.DUMMYFUNCTION("""COMPUTED_VALUE"""),1)</f>
        <v>1</v>
      </c>
      <c r="K1609" s="120">
        <f ca="1">IFERROR(__xludf.DUMMYFUNCTION("""COMPUTED_VALUE"""),190.5)</f>
        <v>190.5</v>
      </c>
      <c r="L1609" s="121"/>
      <c r="M1609" s="120"/>
      <c r="N1609" s="121"/>
      <c r="O1609" s="120"/>
      <c r="P1609" s="122"/>
      <c r="Q1609" s="123"/>
      <c r="R1609" s="123"/>
      <c r="S1609" s="123"/>
      <c r="T1609" s="123"/>
    </row>
    <row r="1610" spans="1:20" ht="13.8">
      <c r="A1610" s="118" t="str">
        <f ca="1">IFERROR(__xludf.DUMMYFUNCTION("""COMPUTED_VALUE"""),"RFD")</f>
        <v>RFD</v>
      </c>
      <c r="B1610" s="119" t="str">
        <f ca="1">IFERROR(__xludf.DUMMYFUNCTION("""COMPUTED_VALUE"""),"John Burns")</f>
        <v>John Burns</v>
      </c>
      <c r="C1610" s="118">
        <f ca="1">IFERROR(__xludf.DUMMYFUNCTION("""COMPUTED_VALUE"""),15)</f>
        <v>15</v>
      </c>
      <c r="D1610" s="118" t="str">
        <f ca="1">IFERROR(__xludf.DUMMYFUNCTION("""COMPUTED_VALUE"""),"B")</f>
        <v>B</v>
      </c>
      <c r="E1610" s="118" t="str">
        <f ca="1">IFERROR(__xludf.DUMMYFUNCTION("""COMPUTED_VALUE"""),"S")</f>
        <v>S</v>
      </c>
      <c r="F1610" s="118" t="str">
        <f ca="1">IFERROR(__xludf.DUMMYFUNCTION("""COMPUTED_VALUE"""),"S")</f>
        <v>S</v>
      </c>
      <c r="G1610" s="118">
        <f ca="1">IFERROR(__xludf.DUMMYFUNCTION("""COMPUTED_VALUE"""),7)</f>
        <v>7</v>
      </c>
      <c r="H1610" s="118" t="str">
        <f ca="1">IFERROR(__xludf.DUMMYFUNCTION("""COMPUTED_VALUE"""),"RFD")</f>
        <v>RFD</v>
      </c>
      <c r="I1610" s="118">
        <f ca="1">IFERROR(__xludf.DUMMYFUNCTION("""COMPUTED_VALUE"""),11)</f>
        <v>11</v>
      </c>
      <c r="J1610" s="118">
        <f ca="1">IFERROR(__xludf.DUMMYFUNCTION("""COMPUTED_VALUE"""),5)</f>
        <v>5</v>
      </c>
      <c r="K1610" s="120">
        <f ca="1">IFERROR(__xludf.DUMMYFUNCTION("""COMPUTED_VALUE"""),132.75)</f>
        <v>132.75</v>
      </c>
      <c r="L1610" s="121"/>
      <c r="M1610" s="120">
        <f ca="1">IFERROR(__xludf.DUMMYFUNCTION("""COMPUTED_VALUE"""),116.4)</f>
        <v>116.4</v>
      </c>
      <c r="N1610" s="121"/>
      <c r="O1610" s="120">
        <f ca="1">IFERROR(__xludf.DUMMYFUNCTION("""COMPUTED_VALUE"""),104.2)</f>
        <v>104.2</v>
      </c>
      <c r="P1610" s="122"/>
      <c r="Q1610" s="123"/>
      <c r="R1610" s="123"/>
      <c r="S1610" s="123"/>
      <c r="T1610" s="123"/>
    </row>
    <row r="1611" spans="1:20" ht="13.8">
      <c r="A1611" s="118" t="str">
        <f ca="1">IFERROR(__xludf.DUMMYFUNCTION("""COMPUTED_VALUE"""),"RFD")</f>
        <v>RFD</v>
      </c>
      <c r="B1611" s="119" t="str">
        <f ca="1">IFERROR(__xludf.DUMMYFUNCTION("""COMPUTED_VALUE"""),"Wyatt Fegan")</f>
        <v>Wyatt Fegan</v>
      </c>
      <c r="C1611" s="118">
        <f ca="1">IFERROR(__xludf.DUMMYFUNCTION("""COMPUTED_VALUE"""),15)</f>
        <v>15</v>
      </c>
      <c r="D1611" s="118" t="str">
        <f ca="1">IFERROR(__xludf.DUMMYFUNCTION("""COMPUTED_VALUE"""),"B")</f>
        <v>B</v>
      </c>
      <c r="E1611" s="118" t="str">
        <f ca="1">IFERROR(__xludf.DUMMYFUNCTION("""COMPUTED_VALUE"""),"S")</f>
        <v>S</v>
      </c>
      <c r="F1611" s="118" t="str">
        <f ca="1">IFERROR(__xludf.DUMMYFUNCTION("""COMPUTED_VALUE"""),"S")</f>
        <v>S</v>
      </c>
      <c r="G1611" s="118">
        <f ca="1">IFERROR(__xludf.DUMMYFUNCTION("""COMPUTED_VALUE"""),7)</f>
        <v>7</v>
      </c>
      <c r="H1611" s="118" t="str">
        <f ca="1">IFERROR(__xludf.DUMMYFUNCTION("""COMPUTED_VALUE"""),"RFD")</f>
        <v>RFD</v>
      </c>
      <c r="I1611" s="118">
        <f ca="1">IFERROR(__xludf.DUMMYFUNCTION("""COMPUTED_VALUE"""),11)</f>
        <v>11</v>
      </c>
      <c r="J1611" s="118">
        <f ca="1">IFERROR(__xludf.DUMMYFUNCTION("""COMPUTED_VALUE"""),2)</f>
        <v>2</v>
      </c>
      <c r="K1611" s="120">
        <f ca="1">IFERROR(__xludf.DUMMYFUNCTION("""COMPUTED_VALUE"""),142.9)</f>
        <v>142.9</v>
      </c>
      <c r="L1611" s="121"/>
      <c r="M1611" s="120"/>
      <c r="N1611" s="121"/>
      <c r="O1611" s="120"/>
      <c r="P1611" s="122"/>
      <c r="Q1611" s="123"/>
      <c r="R1611" s="123"/>
      <c r="S1611" s="123"/>
      <c r="T1611" s="123"/>
    </row>
    <row r="1612" spans="1:20" ht="13.8">
      <c r="A1612" s="118" t="str">
        <f ca="1">IFERROR(__xludf.DUMMYFUNCTION("""COMPUTED_VALUE"""),"RH")</f>
        <v>RH</v>
      </c>
      <c r="B1612" s="119" t="str">
        <f ca="1">IFERROR(__xludf.DUMMYFUNCTION("""COMPUTED_VALUE"""),"Chloe Marshall")</f>
        <v>Chloe Marshall</v>
      </c>
      <c r="C1612" s="118">
        <f ca="1">IFERROR(__xludf.DUMMYFUNCTION("""COMPUTED_VALUE"""),10)</f>
        <v>10</v>
      </c>
      <c r="D1612" s="118" t="str">
        <f ca="1">IFERROR(__xludf.DUMMYFUNCTION("""COMPUTED_VALUE"""),"G")</f>
        <v>G</v>
      </c>
      <c r="E1612" s="118" t="str">
        <f ca="1">IFERROR(__xludf.DUMMYFUNCTION("""COMPUTED_VALUE"""),"F")</f>
        <v>F</v>
      </c>
      <c r="F1612" s="118" t="str">
        <f ca="1">IFERROR(__xludf.DUMMYFUNCTION("""COMPUTED_VALUE"""),"J")</f>
        <v>J</v>
      </c>
      <c r="G1612" s="118">
        <f ca="1">IFERROR(__xludf.DUMMYFUNCTION("""COMPUTED_VALUE"""),2)</f>
        <v>2</v>
      </c>
      <c r="H1612" s="118" t="str">
        <f ca="1">IFERROR(__xludf.DUMMYFUNCTION("""COMPUTED_VALUE"""),"RH")</f>
        <v>RH</v>
      </c>
      <c r="I1612" s="118">
        <f ca="1">IFERROR(__xludf.DUMMYFUNCTION("""COMPUTED_VALUE"""),4)</f>
        <v>4</v>
      </c>
      <c r="J1612" s="118">
        <f ca="1">IFERROR(__xludf.DUMMYFUNCTION("""COMPUTED_VALUE"""),1)</f>
        <v>1</v>
      </c>
      <c r="K1612" s="120">
        <f ca="1">IFERROR(__xludf.DUMMYFUNCTION("""COMPUTED_VALUE"""),30.15)</f>
        <v>30.15</v>
      </c>
      <c r="L1612" s="121"/>
      <c r="M1612" s="120"/>
      <c r="N1612" s="121"/>
      <c r="O1612" s="120"/>
      <c r="P1612" s="122"/>
      <c r="Q1612" s="123"/>
      <c r="R1612" s="123"/>
      <c r="S1612" s="123"/>
      <c r="T1612" s="123"/>
    </row>
    <row r="1613" spans="1:20" ht="13.8">
      <c r="A1613" s="118" t="str">
        <f ca="1">IFERROR(__xludf.DUMMYFUNCTION("""COMPUTED_VALUE"""),"RH")</f>
        <v>RH</v>
      </c>
      <c r="B1613" s="119" t="str">
        <f ca="1">IFERROR(__xludf.DUMMYFUNCTION("""COMPUTED_VALUE"""),"Claire Flanagan")</f>
        <v>Claire Flanagan</v>
      </c>
      <c r="C1613" s="118">
        <f ca="1">IFERROR(__xludf.DUMMYFUNCTION("""COMPUTED_VALUE"""),10)</f>
        <v>10</v>
      </c>
      <c r="D1613" s="118" t="str">
        <f ca="1">IFERROR(__xludf.DUMMYFUNCTION("""COMPUTED_VALUE"""),"G")</f>
        <v>G</v>
      </c>
      <c r="E1613" s="118" t="str">
        <f ca="1">IFERROR(__xludf.DUMMYFUNCTION("""COMPUTED_VALUE"""),"F")</f>
        <v>F</v>
      </c>
      <c r="F1613" s="118" t="str">
        <f ca="1">IFERROR(__xludf.DUMMYFUNCTION("""COMPUTED_VALUE"""),"J")</f>
        <v>J</v>
      </c>
      <c r="G1613" s="118">
        <f ca="1">IFERROR(__xludf.DUMMYFUNCTION("""COMPUTED_VALUE"""),2)</f>
        <v>2</v>
      </c>
      <c r="H1613" s="118" t="str">
        <f ca="1">IFERROR(__xludf.DUMMYFUNCTION("""COMPUTED_VALUE"""),"RH")</f>
        <v>RH</v>
      </c>
      <c r="I1613" s="118">
        <f ca="1">IFERROR(__xludf.DUMMYFUNCTION("""COMPUTED_VALUE"""),4)</f>
        <v>4</v>
      </c>
      <c r="J1613" s="118">
        <f ca="1">IFERROR(__xludf.DUMMYFUNCTION("""COMPUTED_VALUE"""),4)</f>
        <v>4</v>
      </c>
      <c r="K1613" s="120">
        <f ca="1">IFERROR(__xludf.DUMMYFUNCTION("""COMPUTED_VALUE"""),72.35)</f>
        <v>72.349999999999994</v>
      </c>
      <c r="L1613" s="121"/>
      <c r="M1613" s="120"/>
      <c r="N1613" s="121"/>
      <c r="O1613" s="120">
        <f ca="1">IFERROR(__xludf.DUMMYFUNCTION("""COMPUTED_VALUE"""),67.35)</f>
        <v>67.349999999999994</v>
      </c>
      <c r="P1613" s="122"/>
      <c r="Q1613" s="123"/>
      <c r="R1613" s="123"/>
      <c r="S1613" s="123"/>
      <c r="T1613" s="123"/>
    </row>
    <row r="1614" spans="1:20" ht="13.8">
      <c r="A1614" s="118" t="str">
        <f ca="1">IFERROR(__xludf.DUMMYFUNCTION("""COMPUTED_VALUE"""),"RH")</f>
        <v>RH</v>
      </c>
      <c r="B1614" s="119" t="str">
        <f ca="1">IFERROR(__xludf.DUMMYFUNCTION("""COMPUTED_VALUE"""),"Cora Plowman")</f>
        <v>Cora Plowman</v>
      </c>
      <c r="C1614" s="118">
        <f ca="1">IFERROR(__xludf.DUMMYFUNCTION("""COMPUTED_VALUE"""),9)</f>
        <v>9</v>
      </c>
      <c r="D1614" s="118" t="str">
        <f ca="1">IFERROR(__xludf.DUMMYFUNCTION("""COMPUTED_VALUE"""),"G")</f>
        <v>G</v>
      </c>
      <c r="E1614" s="118" t="str">
        <f ca="1">IFERROR(__xludf.DUMMYFUNCTION("""COMPUTED_VALUE"""),"F")</f>
        <v>F</v>
      </c>
      <c r="F1614" s="118" t="str">
        <f ca="1">IFERROR(__xludf.DUMMYFUNCTION("""COMPUTED_VALUE"""),"J")</f>
        <v>J</v>
      </c>
      <c r="G1614" s="118">
        <f ca="1">IFERROR(__xludf.DUMMYFUNCTION("""COMPUTED_VALUE"""),2)</f>
        <v>2</v>
      </c>
      <c r="H1614" s="118" t="str">
        <f ca="1">IFERROR(__xludf.DUMMYFUNCTION("""COMPUTED_VALUE"""),"RH")</f>
        <v>RH</v>
      </c>
      <c r="I1614" s="118">
        <f ca="1">IFERROR(__xludf.DUMMYFUNCTION("""COMPUTED_VALUE"""),4)</f>
        <v>4</v>
      </c>
      <c r="J1614" s="118">
        <f ca="1">IFERROR(__xludf.DUMMYFUNCTION("""COMPUTED_VALUE"""),0)</f>
        <v>0</v>
      </c>
      <c r="K1614" s="120"/>
      <c r="L1614" s="121"/>
      <c r="M1614" s="120"/>
      <c r="N1614" s="121"/>
      <c r="O1614" s="120"/>
      <c r="P1614" s="122"/>
      <c r="Q1614" s="123"/>
      <c r="R1614" s="123"/>
      <c r="S1614" s="123"/>
      <c r="T1614" s="123"/>
    </row>
    <row r="1615" spans="1:20" ht="13.8">
      <c r="A1615" s="118" t="str">
        <f ca="1">IFERROR(__xludf.DUMMYFUNCTION("""COMPUTED_VALUE"""),"RH")</f>
        <v>RH</v>
      </c>
      <c r="B1615" s="119" t="str">
        <f ca="1">IFERROR(__xludf.DUMMYFUNCTION("""COMPUTED_VALUE"""),"Evie Lynch")</f>
        <v>Evie Lynch</v>
      </c>
      <c r="C1615" s="118">
        <f ca="1">IFERROR(__xludf.DUMMYFUNCTION("""COMPUTED_VALUE"""),8)</f>
        <v>8</v>
      </c>
      <c r="D1615" s="118" t="str">
        <f ca="1">IFERROR(__xludf.DUMMYFUNCTION("""COMPUTED_VALUE"""),"G")</f>
        <v>G</v>
      </c>
      <c r="E1615" s="118" t="str">
        <f ca="1">IFERROR(__xludf.DUMMYFUNCTION("""COMPUTED_VALUE"""),"F")</f>
        <v>F</v>
      </c>
      <c r="F1615" s="118" t="str">
        <f ca="1">IFERROR(__xludf.DUMMYFUNCTION("""COMPUTED_VALUE"""),"J")</f>
        <v>J</v>
      </c>
      <c r="G1615" s="118">
        <f ca="1">IFERROR(__xludf.DUMMYFUNCTION("""COMPUTED_VALUE"""),2)</f>
        <v>2</v>
      </c>
      <c r="H1615" s="118" t="str">
        <f ca="1">IFERROR(__xludf.DUMMYFUNCTION("""COMPUTED_VALUE"""),"RH")</f>
        <v>RH</v>
      </c>
      <c r="I1615" s="118">
        <f ca="1">IFERROR(__xludf.DUMMYFUNCTION("""COMPUTED_VALUE"""),4)</f>
        <v>4</v>
      </c>
      <c r="J1615" s="118">
        <f ca="1">IFERROR(__xludf.DUMMYFUNCTION("""COMPUTED_VALUE"""),2)</f>
        <v>2</v>
      </c>
      <c r="K1615" s="120">
        <f ca="1">IFERROR(__xludf.DUMMYFUNCTION("""COMPUTED_VALUE"""),53.85)</f>
        <v>53.85</v>
      </c>
      <c r="L1615" s="121"/>
      <c r="M1615" s="120"/>
      <c r="N1615" s="121"/>
      <c r="O1615" s="120"/>
      <c r="P1615" s="122"/>
      <c r="Q1615" s="123"/>
      <c r="R1615" s="123"/>
      <c r="S1615" s="123"/>
      <c r="T1615" s="123"/>
    </row>
    <row r="1616" spans="1:20" ht="13.8">
      <c r="A1616" s="118" t="str">
        <f ca="1">IFERROR(__xludf.DUMMYFUNCTION("""COMPUTED_VALUE"""),"RH")</f>
        <v>RH</v>
      </c>
      <c r="B1616" s="119" t="str">
        <f ca="1">IFERROR(__xludf.DUMMYFUNCTION("""COMPUTED_VALUE"""),"Gabby Koclanes")</f>
        <v>Gabby Koclanes</v>
      </c>
      <c r="C1616" s="118">
        <f ca="1">IFERROR(__xludf.DUMMYFUNCTION("""COMPUTED_VALUE"""),10)</f>
        <v>10</v>
      </c>
      <c r="D1616" s="118" t="str">
        <f ca="1">IFERROR(__xludf.DUMMYFUNCTION("""COMPUTED_VALUE"""),"G")</f>
        <v>G</v>
      </c>
      <c r="E1616" s="118" t="str">
        <f ca="1">IFERROR(__xludf.DUMMYFUNCTION("""COMPUTED_VALUE"""),"F")</f>
        <v>F</v>
      </c>
      <c r="F1616" s="118" t="str">
        <f ca="1">IFERROR(__xludf.DUMMYFUNCTION("""COMPUTED_VALUE"""),"J")</f>
        <v>J</v>
      </c>
      <c r="G1616" s="118">
        <f ca="1">IFERROR(__xludf.DUMMYFUNCTION("""COMPUTED_VALUE"""),2)</f>
        <v>2</v>
      </c>
      <c r="H1616" s="118" t="str">
        <f ca="1">IFERROR(__xludf.DUMMYFUNCTION("""COMPUTED_VALUE"""),"RH")</f>
        <v>RH</v>
      </c>
      <c r="I1616" s="118">
        <f ca="1">IFERROR(__xludf.DUMMYFUNCTION("""COMPUTED_VALUE"""),4)</f>
        <v>4</v>
      </c>
      <c r="J1616" s="118">
        <f ca="1">IFERROR(__xludf.DUMMYFUNCTION("""COMPUTED_VALUE"""),0)</f>
        <v>0</v>
      </c>
      <c r="K1616" s="120"/>
      <c r="L1616" s="121"/>
      <c r="M1616" s="120"/>
      <c r="N1616" s="121"/>
      <c r="O1616" s="120"/>
      <c r="P1616" s="122"/>
      <c r="Q1616" s="123"/>
      <c r="R1616" s="123"/>
      <c r="S1616" s="123"/>
      <c r="T1616" s="123"/>
    </row>
    <row r="1617" spans="1:20" ht="13.8">
      <c r="A1617" s="118" t="str">
        <f ca="1">IFERROR(__xludf.DUMMYFUNCTION("""COMPUTED_VALUE"""),"RH")</f>
        <v>RH</v>
      </c>
      <c r="B1617" s="119" t="str">
        <f ca="1">IFERROR(__xludf.DUMMYFUNCTION("""COMPUTED_VALUE"""),"Hannah DeLong")</f>
        <v>Hannah DeLong</v>
      </c>
      <c r="C1617" s="118">
        <f ca="1">IFERROR(__xludf.DUMMYFUNCTION("""COMPUTED_VALUE"""),7)</f>
        <v>7</v>
      </c>
      <c r="D1617" s="118" t="str">
        <f ca="1">IFERROR(__xludf.DUMMYFUNCTION("""COMPUTED_VALUE"""),"G")</f>
        <v>G</v>
      </c>
      <c r="E1617" s="118" t="str">
        <f ca="1">IFERROR(__xludf.DUMMYFUNCTION("""COMPUTED_VALUE"""),"F")</f>
        <v>F</v>
      </c>
      <c r="F1617" s="118" t="str">
        <f ca="1">IFERROR(__xludf.DUMMYFUNCTION("""COMPUTED_VALUE"""),"J")</f>
        <v>J</v>
      </c>
      <c r="G1617" s="118">
        <f ca="1">IFERROR(__xludf.DUMMYFUNCTION("""COMPUTED_VALUE"""),2)</f>
        <v>2</v>
      </c>
      <c r="H1617" s="118" t="str">
        <f ca="1">IFERROR(__xludf.DUMMYFUNCTION("""COMPUTED_VALUE"""),"RH")</f>
        <v>RH</v>
      </c>
      <c r="I1617" s="118">
        <f ca="1">IFERROR(__xludf.DUMMYFUNCTION("""COMPUTED_VALUE"""),4)</f>
        <v>4</v>
      </c>
      <c r="J1617" s="118">
        <f ca="1">IFERROR(__xludf.DUMMYFUNCTION("""COMPUTED_VALUE"""),2)</f>
        <v>2</v>
      </c>
      <c r="K1617" s="120">
        <f ca="1">IFERROR(__xludf.DUMMYFUNCTION("""COMPUTED_VALUE"""),40.1)</f>
        <v>40.1</v>
      </c>
      <c r="L1617" s="121"/>
      <c r="M1617" s="120"/>
      <c r="N1617" s="121"/>
      <c r="O1617" s="120">
        <f ca="1">IFERROR(__xludf.DUMMYFUNCTION("""COMPUTED_VALUE"""),40.1)</f>
        <v>40.1</v>
      </c>
      <c r="P1617" s="122"/>
      <c r="Q1617" s="123"/>
      <c r="R1617" s="123"/>
      <c r="S1617" s="123"/>
      <c r="T1617" s="123"/>
    </row>
    <row r="1618" spans="1:20" ht="13.8">
      <c r="A1618" s="118" t="str">
        <f ca="1">IFERROR(__xludf.DUMMYFUNCTION("""COMPUTED_VALUE"""),"RH")</f>
        <v>RH</v>
      </c>
      <c r="B1618" s="119" t="str">
        <f ca="1">IFERROR(__xludf.DUMMYFUNCTION("""COMPUTED_VALUE"""),"Lillian Miller")</f>
        <v>Lillian Miller</v>
      </c>
      <c r="C1618" s="118">
        <f ca="1">IFERROR(__xludf.DUMMYFUNCTION("""COMPUTED_VALUE"""),6)</f>
        <v>6</v>
      </c>
      <c r="D1618" s="118" t="str">
        <f ca="1">IFERROR(__xludf.DUMMYFUNCTION("""COMPUTED_VALUE"""),"G")</f>
        <v>G</v>
      </c>
      <c r="E1618" s="118" t="str">
        <f ca="1">IFERROR(__xludf.DUMMYFUNCTION("""COMPUTED_VALUE"""),"F")</f>
        <v>F</v>
      </c>
      <c r="F1618" s="118" t="str">
        <f ca="1">IFERROR(__xludf.DUMMYFUNCTION("""COMPUTED_VALUE"""),"J")</f>
        <v>J</v>
      </c>
      <c r="G1618" s="118">
        <f ca="1">IFERROR(__xludf.DUMMYFUNCTION("""COMPUTED_VALUE"""),2)</f>
        <v>2</v>
      </c>
      <c r="H1618" s="118" t="str">
        <f ca="1">IFERROR(__xludf.DUMMYFUNCTION("""COMPUTED_VALUE"""),"RH")</f>
        <v>RH</v>
      </c>
      <c r="I1618" s="118">
        <f ca="1">IFERROR(__xludf.DUMMYFUNCTION("""COMPUTED_VALUE"""),4)</f>
        <v>4</v>
      </c>
      <c r="J1618" s="118">
        <f ca="1">IFERROR(__xludf.DUMMYFUNCTION("""COMPUTED_VALUE"""),1)</f>
        <v>1</v>
      </c>
      <c r="K1618" s="120">
        <f ca="1">IFERROR(__xludf.DUMMYFUNCTION("""COMPUTED_VALUE"""),20.5)</f>
        <v>20.5</v>
      </c>
      <c r="L1618" s="121"/>
      <c r="M1618" s="120">
        <f ca="1">IFERROR(__xludf.DUMMYFUNCTION("""COMPUTED_VALUE"""),20.5)</f>
        <v>20.5</v>
      </c>
      <c r="N1618" s="121"/>
      <c r="O1618" s="120"/>
      <c r="P1618" s="122"/>
      <c r="Q1618" s="123"/>
      <c r="R1618" s="123"/>
      <c r="S1618" s="123"/>
      <c r="T1618" s="123"/>
    </row>
    <row r="1619" spans="1:20" ht="13.8">
      <c r="A1619" s="118" t="str">
        <f ca="1">IFERROR(__xludf.DUMMYFUNCTION("""COMPUTED_VALUE"""),"RH")</f>
        <v>RH</v>
      </c>
      <c r="B1619" s="119" t="str">
        <f ca="1">IFERROR(__xludf.DUMMYFUNCTION("""COMPUTED_VALUE"""),"Lily Boger")</f>
        <v>Lily Boger</v>
      </c>
      <c r="C1619" s="118">
        <f ca="1">IFERROR(__xludf.DUMMYFUNCTION("""COMPUTED_VALUE"""),10)</f>
        <v>10</v>
      </c>
      <c r="D1619" s="118" t="str">
        <f ca="1">IFERROR(__xludf.DUMMYFUNCTION("""COMPUTED_VALUE"""),"G")</f>
        <v>G</v>
      </c>
      <c r="E1619" s="118" t="str">
        <f ca="1">IFERROR(__xludf.DUMMYFUNCTION("""COMPUTED_VALUE"""),"F")</f>
        <v>F</v>
      </c>
      <c r="F1619" s="118" t="str">
        <f ca="1">IFERROR(__xludf.DUMMYFUNCTION("""COMPUTED_VALUE"""),"J")</f>
        <v>J</v>
      </c>
      <c r="G1619" s="118">
        <f ca="1">IFERROR(__xludf.DUMMYFUNCTION("""COMPUTED_VALUE"""),2)</f>
        <v>2</v>
      </c>
      <c r="H1619" s="118" t="str">
        <f ca="1">IFERROR(__xludf.DUMMYFUNCTION("""COMPUTED_VALUE"""),"RH")</f>
        <v>RH</v>
      </c>
      <c r="I1619" s="118">
        <f ca="1">IFERROR(__xludf.DUMMYFUNCTION("""COMPUTED_VALUE"""),4)</f>
        <v>4</v>
      </c>
      <c r="J1619" s="118">
        <f ca="1">IFERROR(__xludf.DUMMYFUNCTION("""COMPUTED_VALUE"""),3)</f>
        <v>3</v>
      </c>
      <c r="K1619" s="120">
        <f ca="1">IFERROR(__xludf.DUMMYFUNCTION("""COMPUTED_VALUE"""),53.95)</f>
        <v>53.95</v>
      </c>
      <c r="L1619" s="121"/>
      <c r="M1619" s="120">
        <f ca="1">IFERROR(__xludf.DUMMYFUNCTION("""COMPUTED_VALUE"""),53.7)</f>
        <v>53.7</v>
      </c>
      <c r="N1619" s="121"/>
      <c r="O1619" s="120"/>
      <c r="P1619" s="122"/>
      <c r="Q1619" s="123"/>
      <c r="R1619" s="123"/>
      <c r="S1619" s="123"/>
      <c r="T1619" s="123"/>
    </row>
    <row r="1620" spans="1:20" ht="13.8">
      <c r="A1620" s="118" t="str">
        <f ca="1">IFERROR(__xludf.DUMMYFUNCTION("""COMPUTED_VALUE"""),"RH")</f>
        <v>RH</v>
      </c>
      <c r="B1620" s="119" t="str">
        <f ca="1">IFERROR(__xludf.DUMMYFUNCTION("""COMPUTED_VALUE"""),"Mara Fontanesi")</f>
        <v>Mara Fontanesi</v>
      </c>
      <c r="C1620" s="118">
        <f ca="1">IFERROR(__xludf.DUMMYFUNCTION("""COMPUTED_VALUE"""),6)</f>
        <v>6</v>
      </c>
      <c r="D1620" s="118" t="str">
        <f ca="1">IFERROR(__xludf.DUMMYFUNCTION("""COMPUTED_VALUE"""),"G")</f>
        <v>G</v>
      </c>
      <c r="E1620" s="118" t="str">
        <f ca="1">IFERROR(__xludf.DUMMYFUNCTION("""COMPUTED_VALUE"""),"F")</f>
        <v>F</v>
      </c>
      <c r="F1620" s="118" t="str">
        <f ca="1">IFERROR(__xludf.DUMMYFUNCTION("""COMPUTED_VALUE"""),"J")</f>
        <v>J</v>
      </c>
      <c r="G1620" s="118">
        <f ca="1">IFERROR(__xludf.DUMMYFUNCTION("""COMPUTED_VALUE"""),2)</f>
        <v>2</v>
      </c>
      <c r="H1620" s="118" t="str">
        <f ca="1">IFERROR(__xludf.DUMMYFUNCTION("""COMPUTED_VALUE"""),"RH")</f>
        <v>RH</v>
      </c>
      <c r="I1620" s="118">
        <f ca="1">IFERROR(__xludf.DUMMYFUNCTION("""COMPUTED_VALUE"""),4)</f>
        <v>4</v>
      </c>
      <c r="J1620" s="118">
        <f ca="1">IFERROR(__xludf.DUMMYFUNCTION("""COMPUTED_VALUE"""),0)</f>
        <v>0</v>
      </c>
      <c r="K1620" s="120"/>
      <c r="L1620" s="121"/>
      <c r="M1620" s="120"/>
      <c r="N1620" s="121"/>
      <c r="O1620" s="120"/>
      <c r="P1620" s="122"/>
      <c r="Q1620" s="123"/>
      <c r="R1620" s="123"/>
      <c r="S1620" s="123"/>
      <c r="T1620" s="123"/>
    </row>
    <row r="1621" spans="1:20" ht="13.8">
      <c r="A1621" s="118" t="str">
        <f ca="1">IFERROR(__xludf.DUMMYFUNCTION("""COMPUTED_VALUE"""),"RH")</f>
        <v>RH</v>
      </c>
      <c r="B1621" s="119" t="str">
        <f ca="1">IFERROR(__xludf.DUMMYFUNCTION("""COMPUTED_VALUE"""),"Megan Hurt")</f>
        <v>Megan Hurt</v>
      </c>
      <c r="C1621" s="118">
        <f ca="1">IFERROR(__xludf.DUMMYFUNCTION("""COMPUTED_VALUE"""),10)</f>
        <v>10</v>
      </c>
      <c r="D1621" s="118" t="str">
        <f ca="1">IFERROR(__xludf.DUMMYFUNCTION("""COMPUTED_VALUE"""),"G")</f>
        <v>G</v>
      </c>
      <c r="E1621" s="118" t="str">
        <f ca="1">IFERROR(__xludf.DUMMYFUNCTION("""COMPUTED_VALUE"""),"F")</f>
        <v>F</v>
      </c>
      <c r="F1621" s="118" t="str">
        <f ca="1">IFERROR(__xludf.DUMMYFUNCTION("""COMPUTED_VALUE"""),"J")</f>
        <v>J</v>
      </c>
      <c r="G1621" s="118">
        <f ca="1">IFERROR(__xludf.DUMMYFUNCTION("""COMPUTED_VALUE"""),2)</f>
        <v>2</v>
      </c>
      <c r="H1621" s="118" t="str">
        <f ca="1">IFERROR(__xludf.DUMMYFUNCTION("""COMPUTED_VALUE"""),"RH")</f>
        <v>RH</v>
      </c>
      <c r="I1621" s="118">
        <f ca="1">IFERROR(__xludf.DUMMYFUNCTION("""COMPUTED_VALUE"""),4)</f>
        <v>4</v>
      </c>
      <c r="J1621" s="118">
        <f ca="1">IFERROR(__xludf.DUMMYFUNCTION("""COMPUTED_VALUE"""),3)</f>
        <v>3</v>
      </c>
      <c r="K1621" s="120">
        <f ca="1">IFERROR(__xludf.DUMMYFUNCTION("""COMPUTED_VALUE"""),40)</f>
        <v>40</v>
      </c>
      <c r="L1621" s="121"/>
      <c r="M1621" s="120">
        <f ca="1">IFERROR(__xludf.DUMMYFUNCTION("""COMPUTED_VALUE"""),36.45)</f>
        <v>36.450000000000003</v>
      </c>
      <c r="N1621" s="121"/>
      <c r="O1621" s="120">
        <f ca="1">IFERROR(__xludf.DUMMYFUNCTION("""COMPUTED_VALUE"""),40)</f>
        <v>40</v>
      </c>
      <c r="P1621" s="122"/>
      <c r="Q1621" s="123"/>
      <c r="R1621" s="123"/>
      <c r="S1621" s="123"/>
      <c r="T1621" s="123"/>
    </row>
    <row r="1622" spans="1:20" ht="13.8">
      <c r="A1622" s="118" t="str">
        <f ca="1">IFERROR(__xludf.DUMMYFUNCTION("""COMPUTED_VALUE"""),"RH")</f>
        <v>RH</v>
      </c>
      <c r="B1622" s="119" t="str">
        <f ca="1">IFERROR(__xludf.DUMMYFUNCTION("""COMPUTED_VALUE"""),"Scout Freeman")</f>
        <v>Scout Freeman</v>
      </c>
      <c r="C1622" s="118">
        <f ca="1">IFERROR(__xludf.DUMMYFUNCTION("""COMPUTED_VALUE"""),9)</f>
        <v>9</v>
      </c>
      <c r="D1622" s="118" t="str">
        <f ca="1">IFERROR(__xludf.DUMMYFUNCTION("""COMPUTED_VALUE"""),"G")</f>
        <v>G</v>
      </c>
      <c r="E1622" s="118" t="str">
        <f ca="1">IFERROR(__xludf.DUMMYFUNCTION("""COMPUTED_VALUE"""),"F")</f>
        <v>F</v>
      </c>
      <c r="F1622" s="118" t="str">
        <f ca="1">IFERROR(__xludf.DUMMYFUNCTION("""COMPUTED_VALUE"""),"J")</f>
        <v>J</v>
      </c>
      <c r="G1622" s="118">
        <f ca="1">IFERROR(__xludf.DUMMYFUNCTION("""COMPUTED_VALUE"""),2)</f>
        <v>2</v>
      </c>
      <c r="H1622" s="118" t="str">
        <f ca="1">IFERROR(__xludf.DUMMYFUNCTION("""COMPUTED_VALUE"""),"RH")</f>
        <v>RH</v>
      </c>
      <c r="I1622" s="118">
        <f ca="1">IFERROR(__xludf.DUMMYFUNCTION("""COMPUTED_VALUE"""),4)</f>
        <v>4</v>
      </c>
      <c r="J1622" s="118">
        <f ca="1">IFERROR(__xludf.DUMMYFUNCTION("""COMPUTED_VALUE"""),4)</f>
        <v>4</v>
      </c>
      <c r="K1622" s="120">
        <f ca="1">IFERROR(__xludf.DUMMYFUNCTION("""COMPUTED_VALUE"""),52.8)</f>
        <v>52.8</v>
      </c>
      <c r="L1622" s="121"/>
      <c r="M1622" s="120">
        <f ca="1">IFERROR(__xludf.DUMMYFUNCTION("""COMPUTED_VALUE"""),49.4)</f>
        <v>49.4</v>
      </c>
      <c r="N1622" s="121"/>
      <c r="O1622" s="120">
        <f ca="1">IFERROR(__xludf.DUMMYFUNCTION("""COMPUTED_VALUE"""),50.55)</f>
        <v>50.55</v>
      </c>
      <c r="P1622" s="122"/>
      <c r="Q1622" s="123"/>
      <c r="R1622" s="123"/>
      <c r="S1622" s="123"/>
      <c r="T1622" s="123"/>
    </row>
    <row r="1623" spans="1:20" ht="13.8">
      <c r="A1623" s="118" t="str">
        <f ca="1">IFERROR(__xludf.DUMMYFUNCTION("""COMPUTED_VALUE"""),"RH")</f>
        <v>RH</v>
      </c>
      <c r="B1623" s="119" t="str">
        <f ca="1">IFERROR(__xludf.DUMMYFUNCTION("""COMPUTED_VALUE"""),"Sienna Nelson")</f>
        <v>Sienna Nelson</v>
      </c>
      <c r="C1623" s="118">
        <f ca="1">IFERROR(__xludf.DUMMYFUNCTION("""COMPUTED_VALUE"""),9)</f>
        <v>9</v>
      </c>
      <c r="D1623" s="118" t="str">
        <f ca="1">IFERROR(__xludf.DUMMYFUNCTION("""COMPUTED_VALUE"""),"G")</f>
        <v>G</v>
      </c>
      <c r="E1623" s="118" t="str">
        <f ca="1">IFERROR(__xludf.DUMMYFUNCTION("""COMPUTED_VALUE"""),"F")</f>
        <v>F</v>
      </c>
      <c r="F1623" s="118" t="str">
        <f ca="1">IFERROR(__xludf.DUMMYFUNCTION("""COMPUTED_VALUE"""),"J")</f>
        <v>J</v>
      </c>
      <c r="G1623" s="118">
        <f ca="1">IFERROR(__xludf.DUMMYFUNCTION("""COMPUTED_VALUE"""),2)</f>
        <v>2</v>
      </c>
      <c r="H1623" s="118" t="str">
        <f ca="1">IFERROR(__xludf.DUMMYFUNCTION("""COMPUTED_VALUE"""),"RH")</f>
        <v>RH</v>
      </c>
      <c r="I1623" s="118">
        <f ca="1">IFERROR(__xludf.DUMMYFUNCTION("""COMPUTED_VALUE"""),4)</f>
        <v>4</v>
      </c>
      <c r="J1623" s="118">
        <f ca="1">IFERROR(__xludf.DUMMYFUNCTION("""COMPUTED_VALUE"""),5)</f>
        <v>5</v>
      </c>
      <c r="K1623" s="120">
        <f ca="1">IFERROR(__xludf.DUMMYFUNCTION("""COMPUTED_VALUE"""),44.35)</f>
        <v>44.35</v>
      </c>
      <c r="L1623" s="121"/>
      <c r="M1623" s="120">
        <f ca="1">IFERROR(__xludf.DUMMYFUNCTION("""COMPUTED_VALUE"""),42.3)</f>
        <v>42.3</v>
      </c>
      <c r="N1623" s="121"/>
      <c r="O1623" s="120">
        <f ca="1">IFERROR(__xludf.DUMMYFUNCTION("""COMPUTED_VALUE"""),37.8)</f>
        <v>37.799999999999997</v>
      </c>
      <c r="P1623" s="122"/>
      <c r="Q1623" s="123"/>
      <c r="R1623" s="123"/>
      <c r="S1623" s="123"/>
      <c r="T1623" s="123"/>
    </row>
    <row r="1624" spans="1:20" ht="13.8">
      <c r="A1624" s="118" t="str">
        <f ca="1">IFERROR(__xludf.DUMMYFUNCTION("""COMPUTED_VALUE"""),"RH")</f>
        <v>RH</v>
      </c>
      <c r="B1624" s="119" t="str">
        <f ca="1">IFERROR(__xludf.DUMMYFUNCTION("""COMPUTED_VALUE"""),"Stella Boger")</f>
        <v>Stella Boger</v>
      </c>
      <c r="C1624" s="118">
        <f ca="1">IFERROR(__xludf.DUMMYFUNCTION("""COMPUTED_VALUE"""),7)</f>
        <v>7</v>
      </c>
      <c r="D1624" s="118" t="str">
        <f ca="1">IFERROR(__xludf.DUMMYFUNCTION("""COMPUTED_VALUE"""),"G")</f>
        <v>G</v>
      </c>
      <c r="E1624" s="118" t="str">
        <f ca="1">IFERROR(__xludf.DUMMYFUNCTION("""COMPUTED_VALUE"""),"F")</f>
        <v>F</v>
      </c>
      <c r="F1624" s="118" t="str">
        <f ca="1">IFERROR(__xludf.DUMMYFUNCTION("""COMPUTED_VALUE"""),"J")</f>
        <v>J</v>
      </c>
      <c r="G1624" s="118">
        <f ca="1">IFERROR(__xludf.DUMMYFUNCTION("""COMPUTED_VALUE"""),2)</f>
        <v>2</v>
      </c>
      <c r="H1624" s="118" t="str">
        <f ca="1">IFERROR(__xludf.DUMMYFUNCTION("""COMPUTED_VALUE"""),"RH")</f>
        <v>RH</v>
      </c>
      <c r="I1624" s="118">
        <f ca="1">IFERROR(__xludf.DUMMYFUNCTION("""COMPUTED_VALUE"""),4)</f>
        <v>4</v>
      </c>
      <c r="J1624" s="118">
        <f ca="1">IFERROR(__xludf.DUMMYFUNCTION("""COMPUTED_VALUE"""),3)</f>
        <v>3</v>
      </c>
      <c r="K1624" s="120">
        <f ca="1">IFERROR(__xludf.DUMMYFUNCTION("""COMPUTED_VALUE"""),26.15)</f>
        <v>26.15</v>
      </c>
      <c r="L1624" s="121"/>
      <c r="M1624" s="120">
        <f ca="1">IFERROR(__xludf.DUMMYFUNCTION("""COMPUTED_VALUE"""),20.5)</f>
        <v>20.5</v>
      </c>
      <c r="N1624" s="121"/>
      <c r="O1624" s="120"/>
      <c r="P1624" s="122"/>
      <c r="Q1624" s="123"/>
      <c r="R1624" s="123"/>
      <c r="S1624" s="123"/>
      <c r="T1624" s="123"/>
    </row>
    <row r="1625" spans="1:20" ht="13.8">
      <c r="A1625" s="118" t="str">
        <f ca="1">IFERROR(__xludf.DUMMYFUNCTION("""COMPUTED_VALUE"""),"RH")</f>
        <v>RH</v>
      </c>
      <c r="B1625" s="119" t="str">
        <f ca="1">IFERROR(__xludf.DUMMYFUNCTION("""COMPUTED_VALUE"""),"Ari Yarmolovich")</f>
        <v>Ari Yarmolovich</v>
      </c>
      <c r="C1625" s="118">
        <f ca="1">IFERROR(__xludf.DUMMYFUNCTION("""COMPUTED_VALUE"""),6)</f>
        <v>6</v>
      </c>
      <c r="D1625" s="118" t="str">
        <f ca="1">IFERROR(__xludf.DUMMYFUNCTION("""COMPUTED_VALUE"""),"B")</f>
        <v>B</v>
      </c>
      <c r="E1625" s="118" t="str">
        <f ca="1">IFERROR(__xludf.DUMMYFUNCTION("""COMPUTED_VALUE"""),"F")</f>
        <v>F</v>
      </c>
      <c r="F1625" s="118" t="str">
        <f ca="1">IFERROR(__xludf.DUMMYFUNCTION("""COMPUTED_VALUE"""),"J")</f>
        <v>J</v>
      </c>
      <c r="G1625" s="118">
        <f ca="1">IFERROR(__xludf.DUMMYFUNCTION("""COMPUTED_VALUE"""),2)</f>
        <v>2</v>
      </c>
      <c r="H1625" s="118" t="str">
        <f ca="1">IFERROR(__xludf.DUMMYFUNCTION("""COMPUTED_VALUE"""),"RH")</f>
        <v>RH</v>
      </c>
      <c r="I1625" s="118">
        <f ca="1">IFERROR(__xludf.DUMMYFUNCTION("""COMPUTED_VALUE"""),5)</f>
        <v>5</v>
      </c>
      <c r="J1625" s="118">
        <f ca="1">IFERROR(__xludf.DUMMYFUNCTION("""COMPUTED_VALUE"""),0)</f>
        <v>0</v>
      </c>
      <c r="K1625" s="120"/>
      <c r="L1625" s="121"/>
      <c r="M1625" s="120"/>
      <c r="N1625" s="121"/>
      <c r="O1625" s="120"/>
      <c r="P1625" s="122"/>
      <c r="Q1625" s="123"/>
      <c r="R1625" s="123"/>
      <c r="S1625" s="123"/>
      <c r="T1625" s="123"/>
    </row>
    <row r="1626" spans="1:20" ht="13.8">
      <c r="A1626" s="118" t="str">
        <f ca="1">IFERROR(__xludf.DUMMYFUNCTION("""COMPUTED_VALUE"""),"RH")</f>
        <v>RH</v>
      </c>
      <c r="B1626" s="119" t="str">
        <f ca="1">IFERROR(__xludf.DUMMYFUNCTION("""COMPUTED_VALUE"""),"Benny DeLong")</f>
        <v>Benny DeLong</v>
      </c>
      <c r="C1626" s="118">
        <f ca="1">IFERROR(__xludf.DUMMYFUNCTION("""COMPUTED_VALUE"""),5)</f>
        <v>5</v>
      </c>
      <c r="D1626" s="118" t="str">
        <f ca="1">IFERROR(__xludf.DUMMYFUNCTION("""COMPUTED_VALUE"""),"B")</f>
        <v>B</v>
      </c>
      <c r="E1626" s="118" t="str">
        <f ca="1">IFERROR(__xludf.DUMMYFUNCTION("""COMPUTED_VALUE"""),"F")</f>
        <v>F</v>
      </c>
      <c r="F1626" s="118" t="str">
        <f ca="1">IFERROR(__xludf.DUMMYFUNCTION("""COMPUTED_VALUE"""),"J")</f>
        <v>J</v>
      </c>
      <c r="G1626" s="118">
        <f ca="1">IFERROR(__xludf.DUMMYFUNCTION("""COMPUTED_VALUE"""),2)</f>
        <v>2</v>
      </c>
      <c r="H1626" s="118" t="str">
        <f ca="1">IFERROR(__xludf.DUMMYFUNCTION("""COMPUTED_VALUE"""),"RH")</f>
        <v>RH</v>
      </c>
      <c r="I1626" s="118">
        <f ca="1">IFERROR(__xludf.DUMMYFUNCTION("""COMPUTED_VALUE"""),5)</f>
        <v>5</v>
      </c>
      <c r="J1626" s="118">
        <f ca="1">IFERROR(__xludf.DUMMYFUNCTION("""COMPUTED_VALUE"""),0)</f>
        <v>0</v>
      </c>
      <c r="K1626" s="120"/>
      <c r="L1626" s="121"/>
      <c r="M1626" s="120"/>
      <c r="N1626" s="121"/>
      <c r="O1626" s="120"/>
      <c r="P1626" s="122"/>
      <c r="Q1626" s="123"/>
      <c r="R1626" s="123"/>
      <c r="S1626" s="123"/>
      <c r="T1626" s="123"/>
    </row>
    <row r="1627" spans="1:20" ht="13.8">
      <c r="A1627" s="118" t="str">
        <f ca="1">IFERROR(__xludf.DUMMYFUNCTION("""COMPUTED_VALUE"""),"RH")</f>
        <v>RH</v>
      </c>
      <c r="B1627" s="119" t="str">
        <f ca="1">IFERROR(__xludf.DUMMYFUNCTION("""COMPUTED_VALUE"""),"Brodie Kuehne")</f>
        <v>Brodie Kuehne</v>
      </c>
      <c r="C1627" s="118">
        <f ca="1">IFERROR(__xludf.DUMMYFUNCTION("""COMPUTED_VALUE"""),10)</f>
        <v>10</v>
      </c>
      <c r="D1627" s="118" t="str">
        <f ca="1">IFERROR(__xludf.DUMMYFUNCTION("""COMPUTED_VALUE"""),"B")</f>
        <v>B</v>
      </c>
      <c r="E1627" s="118" t="str">
        <f ca="1">IFERROR(__xludf.DUMMYFUNCTION("""COMPUTED_VALUE"""),"F")</f>
        <v>F</v>
      </c>
      <c r="F1627" s="118" t="str">
        <f ca="1">IFERROR(__xludf.DUMMYFUNCTION("""COMPUTED_VALUE"""),"J")</f>
        <v>J</v>
      </c>
      <c r="G1627" s="118">
        <f ca="1">IFERROR(__xludf.DUMMYFUNCTION("""COMPUTED_VALUE"""),2)</f>
        <v>2</v>
      </c>
      <c r="H1627" s="118" t="str">
        <f ca="1">IFERROR(__xludf.DUMMYFUNCTION("""COMPUTED_VALUE"""),"RH")</f>
        <v>RH</v>
      </c>
      <c r="I1627" s="118">
        <f ca="1">IFERROR(__xludf.DUMMYFUNCTION("""COMPUTED_VALUE"""),5)</f>
        <v>5</v>
      </c>
      <c r="J1627" s="118">
        <f ca="1">IFERROR(__xludf.DUMMYFUNCTION("""COMPUTED_VALUE"""),4)</f>
        <v>4</v>
      </c>
      <c r="K1627" s="120">
        <f ca="1">IFERROR(__xludf.DUMMYFUNCTION("""COMPUTED_VALUE"""),57.6)</f>
        <v>57.6</v>
      </c>
      <c r="L1627" s="121"/>
      <c r="M1627" s="120"/>
      <c r="N1627" s="121"/>
      <c r="O1627" s="120">
        <f ca="1">IFERROR(__xludf.DUMMYFUNCTION("""COMPUTED_VALUE"""),49.95)</f>
        <v>49.95</v>
      </c>
      <c r="P1627" s="122"/>
      <c r="Q1627" s="123"/>
      <c r="R1627" s="123"/>
      <c r="S1627" s="123"/>
      <c r="T1627" s="123"/>
    </row>
    <row r="1628" spans="1:20" ht="13.8">
      <c r="A1628" s="118" t="str">
        <f ca="1">IFERROR(__xludf.DUMMYFUNCTION("""COMPUTED_VALUE"""),"RH")</f>
        <v>RH</v>
      </c>
      <c r="B1628" s="119" t="str">
        <f ca="1">IFERROR(__xludf.DUMMYFUNCTION("""COMPUTED_VALUE"""),"Brycen Kwak")</f>
        <v>Brycen Kwak</v>
      </c>
      <c r="C1628" s="118">
        <f ca="1">IFERROR(__xludf.DUMMYFUNCTION("""COMPUTED_VALUE"""),9)</f>
        <v>9</v>
      </c>
      <c r="D1628" s="118" t="str">
        <f ca="1">IFERROR(__xludf.DUMMYFUNCTION("""COMPUTED_VALUE"""),"B")</f>
        <v>B</v>
      </c>
      <c r="E1628" s="118" t="str">
        <f ca="1">IFERROR(__xludf.DUMMYFUNCTION("""COMPUTED_VALUE"""),"F")</f>
        <v>F</v>
      </c>
      <c r="F1628" s="118" t="str">
        <f ca="1">IFERROR(__xludf.DUMMYFUNCTION("""COMPUTED_VALUE"""),"J")</f>
        <v>J</v>
      </c>
      <c r="G1628" s="118">
        <f ca="1">IFERROR(__xludf.DUMMYFUNCTION("""COMPUTED_VALUE"""),2)</f>
        <v>2</v>
      </c>
      <c r="H1628" s="118" t="str">
        <f ca="1">IFERROR(__xludf.DUMMYFUNCTION("""COMPUTED_VALUE"""),"RH")</f>
        <v>RH</v>
      </c>
      <c r="I1628" s="118">
        <f ca="1">IFERROR(__xludf.DUMMYFUNCTION("""COMPUTED_VALUE"""),5)</f>
        <v>5</v>
      </c>
      <c r="J1628" s="118">
        <f ca="1">IFERROR(__xludf.DUMMYFUNCTION("""COMPUTED_VALUE"""),1)</f>
        <v>1</v>
      </c>
      <c r="K1628" s="120">
        <f ca="1">IFERROR(__xludf.DUMMYFUNCTION("""COMPUTED_VALUE"""),32.65)</f>
        <v>32.65</v>
      </c>
      <c r="L1628" s="121"/>
      <c r="M1628" s="120"/>
      <c r="N1628" s="121"/>
      <c r="O1628" s="120"/>
      <c r="P1628" s="122"/>
      <c r="Q1628" s="123"/>
      <c r="R1628" s="123"/>
      <c r="S1628" s="123"/>
      <c r="T1628" s="123"/>
    </row>
    <row r="1629" spans="1:20" ht="13.8">
      <c r="A1629" s="118" t="str">
        <f ca="1">IFERROR(__xludf.DUMMYFUNCTION("""COMPUTED_VALUE"""),"RH")</f>
        <v>RH</v>
      </c>
      <c r="B1629" s="119" t="str">
        <f ca="1">IFERROR(__xludf.DUMMYFUNCTION("""COMPUTED_VALUE"""),"Connor Martinez")</f>
        <v>Connor Martinez</v>
      </c>
      <c r="C1629" s="118">
        <f ca="1">IFERROR(__xludf.DUMMYFUNCTION("""COMPUTED_VALUE"""),9)</f>
        <v>9</v>
      </c>
      <c r="D1629" s="118" t="str">
        <f ca="1">IFERROR(__xludf.DUMMYFUNCTION("""COMPUTED_VALUE"""),"B")</f>
        <v>B</v>
      </c>
      <c r="E1629" s="118" t="str">
        <f ca="1">IFERROR(__xludf.DUMMYFUNCTION("""COMPUTED_VALUE"""),"F")</f>
        <v>F</v>
      </c>
      <c r="F1629" s="118" t="str">
        <f ca="1">IFERROR(__xludf.DUMMYFUNCTION("""COMPUTED_VALUE"""),"J")</f>
        <v>J</v>
      </c>
      <c r="G1629" s="118">
        <f ca="1">IFERROR(__xludf.DUMMYFUNCTION("""COMPUTED_VALUE"""),2)</f>
        <v>2</v>
      </c>
      <c r="H1629" s="118" t="str">
        <f ca="1">IFERROR(__xludf.DUMMYFUNCTION("""COMPUTED_VALUE"""),"RH")</f>
        <v>RH</v>
      </c>
      <c r="I1629" s="118">
        <f ca="1">IFERROR(__xludf.DUMMYFUNCTION("""COMPUTED_VALUE"""),5)</f>
        <v>5</v>
      </c>
      <c r="J1629" s="118">
        <f ca="1">IFERROR(__xludf.DUMMYFUNCTION("""COMPUTED_VALUE"""),3)</f>
        <v>3</v>
      </c>
      <c r="K1629" s="120">
        <f ca="1">IFERROR(__xludf.DUMMYFUNCTION("""COMPUTED_VALUE"""),39.15)</f>
        <v>39.15</v>
      </c>
      <c r="L1629" s="121"/>
      <c r="M1629" s="120">
        <f ca="1">IFERROR(__xludf.DUMMYFUNCTION("""COMPUTED_VALUE"""),29.65)</f>
        <v>29.65</v>
      </c>
      <c r="N1629" s="121"/>
      <c r="O1629" s="120"/>
      <c r="P1629" s="122"/>
      <c r="Q1629" s="123"/>
      <c r="R1629" s="123"/>
      <c r="S1629" s="123"/>
      <c r="T1629" s="123"/>
    </row>
    <row r="1630" spans="1:20" ht="13.8">
      <c r="A1630" s="118" t="str">
        <f ca="1">IFERROR(__xludf.DUMMYFUNCTION("""COMPUTED_VALUE"""),"RH")</f>
        <v>RH</v>
      </c>
      <c r="B1630" s="119" t="str">
        <f ca="1">IFERROR(__xludf.DUMMYFUNCTION("""COMPUTED_VALUE"""),"Eli DeLong")</f>
        <v>Eli DeLong</v>
      </c>
      <c r="C1630" s="118">
        <f ca="1">IFERROR(__xludf.DUMMYFUNCTION("""COMPUTED_VALUE"""),10)</f>
        <v>10</v>
      </c>
      <c r="D1630" s="118" t="str">
        <f ca="1">IFERROR(__xludf.DUMMYFUNCTION("""COMPUTED_VALUE"""),"B")</f>
        <v>B</v>
      </c>
      <c r="E1630" s="118" t="str">
        <f ca="1">IFERROR(__xludf.DUMMYFUNCTION("""COMPUTED_VALUE"""),"F")</f>
        <v>F</v>
      </c>
      <c r="F1630" s="118" t="str">
        <f ca="1">IFERROR(__xludf.DUMMYFUNCTION("""COMPUTED_VALUE"""),"J")</f>
        <v>J</v>
      </c>
      <c r="G1630" s="118">
        <f ca="1">IFERROR(__xludf.DUMMYFUNCTION("""COMPUTED_VALUE"""),2)</f>
        <v>2</v>
      </c>
      <c r="H1630" s="118" t="str">
        <f ca="1">IFERROR(__xludf.DUMMYFUNCTION("""COMPUTED_VALUE"""),"RH")</f>
        <v>RH</v>
      </c>
      <c r="I1630" s="118">
        <f ca="1">IFERROR(__xludf.DUMMYFUNCTION("""COMPUTED_VALUE"""),5)</f>
        <v>5</v>
      </c>
      <c r="J1630" s="118">
        <f ca="1">IFERROR(__xludf.DUMMYFUNCTION("""COMPUTED_VALUE"""),3)</f>
        <v>3</v>
      </c>
      <c r="K1630" s="120">
        <f ca="1">IFERROR(__xludf.DUMMYFUNCTION("""COMPUTED_VALUE"""),40.35)</f>
        <v>40.35</v>
      </c>
      <c r="L1630" s="121"/>
      <c r="M1630" s="120">
        <f ca="1">IFERROR(__xludf.DUMMYFUNCTION("""COMPUTED_VALUE"""),24.65)</f>
        <v>24.65</v>
      </c>
      <c r="N1630" s="121"/>
      <c r="O1630" s="120">
        <f ca="1">IFERROR(__xludf.DUMMYFUNCTION("""COMPUTED_VALUE"""),40.35)</f>
        <v>40.35</v>
      </c>
      <c r="P1630" s="122"/>
      <c r="Q1630" s="123"/>
      <c r="R1630" s="123"/>
      <c r="S1630" s="123"/>
      <c r="T1630" s="123"/>
    </row>
    <row r="1631" spans="1:20" ht="13.8">
      <c r="A1631" s="118" t="str">
        <f ca="1">IFERROR(__xludf.DUMMYFUNCTION("""COMPUTED_VALUE"""),"RH")</f>
        <v>RH</v>
      </c>
      <c r="B1631" s="119" t="str">
        <f ca="1">IFERROR(__xludf.DUMMYFUNCTION("""COMPUTED_VALUE"""),"Ellis Hodum")</f>
        <v>Ellis Hodum</v>
      </c>
      <c r="C1631" s="118">
        <f ca="1">IFERROR(__xludf.DUMMYFUNCTION("""COMPUTED_VALUE"""),7)</f>
        <v>7</v>
      </c>
      <c r="D1631" s="118" t="str">
        <f ca="1">IFERROR(__xludf.DUMMYFUNCTION("""COMPUTED_VALUE"""),"B")</f>
        <v>B</v>
      </c>
      <c r="E1631" s="118" t="str">
        <f ca="1">IFERROR(__xludf.DUMMYFUNCTION("""COMPUTED_VALUE"""),"F")</f>
        <v>F</v>
      </c>
      <c r="F1631" s="118" t="str">
        <f ca="1">IFERROR(__xludf.DUMMYFUNCTION("""COMPUTED_VALUE"""),"J")</f>
        <v>J</v>
      </c>
      <c r="G1631" s="118">
        <f ca="1">IFERROR(__xludf.DUMMYFUNCTION("""COMPUTED_VALUE"""),2)</f>
        <v>2</v>
      </c>
      <c r="H1631" s="118" t="str">
        <f ca="1">IFERROR(__xludf.DUMMYFUNCTION("""COMPUTED_VALUE"""),"RH")</f>
        <v>RH</v>
      </c>
      <c r="I1631" s="118">
        <f ca="1">IFERROR(__xludf.DUMMYFUNCTION("""COMPUTED_VALUE"""),5)</f>
        <v>5</v>
      </c>
      <c r="J1631" s="118">
        <f ca="1">IFERROR(__xludf.DUMMYFUNCTION("""COMPUTED_VALUE"""),0)</f>
        <v>0</v>
      </c>
      <c r="K1631" s="120"/>
      <c r="L1631" s="121"/>
      <c r="M1631" s="120"/>
      <c r="N1631" s="121"/>
      <c r="O1631" s="120"/>
      <c r="P1631" s="122"/>
      <c r="Q1631" s="123"/>
      <c r="R1631" s="123"/>
      <c r="S1631" s="123"/>
      <c r="T1631" s="123"/>
    </row>
    <row r="1632" spans="1:20" ht="13.8">
      <c r="A1632" s="118" t="str">
        <f ca="1">IFERROR(__xludf.DUMMYFUNCTION("""COMPUTED_VALUE"""),"RH")</f>
        <v>RH</v>
      </c>
      <c r="B1632" s="119" t="str">
        <f ca="1">IFERROR(__xludf.DUMMYFUNCTION("""COMPUTED_VALUE"""),"Harrison Kwak")</f>
        <v>Harrison Kwak</v>
      </c>
      <c r="C1632" s="118">
        <f ca="1">IFERROR(__xludf.DUMMYFUNCTION("""COMPUTED_VALUE"""),6)</f>
        <v>6</v>
      </c>
      <c r="D1632" s="118" t="str">
        <f ca="1">IFERROR(__xludf.DUMMYFUNCTION("""COMPUTED_VALUE"""),"b")</f>
        <v>b</v>
      </c>
      <c r="E1632" s="118" t="str">
        <f ca="1">IFERROR(__xludf.DUMMYFUNCTION("""COMPUTED_VALUE"""),"F")</f>
        <v>F</v>
      </c>
      <c r="F1632" s="118" t="str">
        <f ca="1">IFERROR(__xludf.DUMMYFUNCTION("""COMPUTED_VALUE"""),"J")</f>
        <v>J</v>
      </c>
      <c r="G1632" s="118">
        <f ca="1">IFERROR(__xludf.DUMMYFUNCTION("""COMPUTED_VALUE"""),2)</f>
        <v>2</v>
      </c>
      <c r="H1632" s="118" t="str">
        <f ca="1">IFERROR(__xludf.DUMMYFUNCTION("""COMPUTED_VALUE"""),"RH")</f>
        <v>RH</v>
      </c>
      <c r="I1632" s="118">
        <f ca="1">IFERROR(__xludf.DUMMYFUNCTION("""COMPUTED_VALUE"""),5)</f>
        <v>5</v>
      </c>
      <c r="J1632" s="118">
        <f ca="1">IFERROR(__xludf.DUMMYFUNCTION("""COMPUTED_VALUE"""),1)</f>
        <v>1</v>
      </c>
      <c r="K1632" s="120">
        <f ca="1">IFERROR(__xludf.DUMMYFUNCTION("""COMPUTED_VALUE"""),27.95)</f>
        <v>27.95</v>
      </c>
      <c r="L1632" s="121"/>
      <c r="M1632" s="120"/>
      <c r="N1632" s="121"/>
      <c r="O1632" s="120"/>
      <c r="P1632" s="122"/>
      <c r="Q1632" s="123"/>
      <c r="R1632" s="123"/>
      <c r="S1632" s="123"/>
      <c r="T1632" s="123"/>
    </row>
    <row r="1633" spans="1:20" ht="13.8">
      <c r="A1633" s="118" t="str">
        <f ca="1">IFERROR(__xludf.DUMMYFUNCTION("""COMPUTED_VALUE"""),"RH")</f>
        <v>RH</v>
      </c>
      <c r="B1633" s="119" t="str">
        <f ca="1">IFERROR(__xludf.DUMMYFUNCTION("""COMPUTED_VALUE"""),"Ian Tamburrino")</f>
        <v>Ian Tamburrino</v>
      </c>
      <c r="C1633" s="118">
        <f ca="1">IFERROR(__xludf.DUMMYFUNCTION("""COMPUTED_VALUE"""),9)</f>
        <v>9</v>
      </c>
      <c r="D1633" s="118" t="str">
        <f ca="1">IFERROR(__xludf.DUMMYFUNCTION("""COMPUTED_VALUE"""),"B")</f>
        <v>B</v>
      </c>
      <c r="E1633" s="118" t="str">
        <f ca="1">IFERROR(__xludf.DUMMYFUNCTION("""COMPUTED_VALUE"""),"F")</f>
        <v>F</v>
      </c>
      <c r="F1633" s="118" t="str">
        <f ca="1">IFERROR(__xludf.DUMMYFUNCTION("""COMPUTED_VALUE"""),"J")</f>
        <v>J</v>
      </c>
      <c r="G1633" s="118">
        <f ca="1">IFERROR(__xludf.DUMMYFUNCTION("""COMPUTED_VALUE"""),2)</f>
        <v>2</v>
      </c>
      <c r="H1633" s="118" t="str">
        <f ca="1">IFERROR(__xludf.DUMMYFUNCTION("""COMPUTED_VALUE"""),"RH")</f>
        <v>RH</v>
      </c>
      <c r="I1633" s="118">
        <f ca="1">IFERROR(__xludf.DUMMYFUNCTION("""COMPUTED_VALUE"""),5)</f>
        <v>5</v>
      </c>
      <c r="J1633" s="118">
        <f ca="1">IFERROR(__xludf.DUMMYFUNCTION("""COMPUTED_VALUE"""),1)</f>
        <v>1</v>
      </c>
      <c r="K1633" s="120">
        <f ca="1">IFERROR(__xludf.DUMMYFUNCTION("""COMPUTED_VALUE"""),7.2)</f>
        <v>7.2</v>
      </c>
      <c r="L1633" s="121"/>
      <c r="M1633" s="120"/>
      <c r="N1633" s="121"/>
      <c r="O1633" s="120">
        <f ca="1">IFERROR(__xludf.DUMMYFUNCTION("""COMPUTED_VALUE"""),7.2)</f>
        <v>7.2</v>
      </c>
      <c r="P1633" s="122"/>
      <c r="Q1633" s="123"/>
      <c r="R1633" s="123"/>
      <c r="S1633" s="123"/>
      <c r="T1633" s="123"/>
    </row>
    <row r="1634" spans="1:20" ht="13.8">
      <c r="A1634" s="118" t="str">
        <f ca="1">IFERROR(__xludf.DUMMYFUNCTION("""COMPUTED_VALUE"""),"RH")</f>
        <v>RH</v>
      </c>
      <c r="B1634" s="119" t="str">
        <f ca="1">IFERROR(__xludf.DUMMYFUNCTION("""COMPUTED_VALUE"""),"Jack Murphy")</f>
        <v>Jack Murphy</v>
      </c>
      <c r="C1634" s="118">
        <f ca="1">IFERROR(__xludf.DUMMYFUNCTION("""COMPUTED_VALUE"""),9)</f>
        <v>9</v>
      </c>
      <c r="D1634" s="118" t="str">
        <f ca="1">IFERROR(__xludf.DUMMYFUNCTION("""COMPUTED_VALUE"""),"B")</f>
        <v>B</v>
      </c>
      <c r="E1634" s="118" t="str">
        <f ca="1">IFERROR(__xludf.DUMMYFUNCTION("""COMPUTED_VALUE"""),"F")</f>
        <v>F</v>
      </c>
      <c r="F1634" s="118" t="str">
        <f ca="1">IFERROR(__xludf.DUMMYFUNCTION("""COMPUTED_VALUE"""),"J")</f>
        <v>J</v>
      </c>
      <c r="G1634" s="118">
        <f ca="1">IFERROR(__xludf.DUMMYFUNCTION("""COMPUTED_VALUE"""),2)</f>
        <v>2</v>
      </c>
      <c r="H1634" s="118" t="str">
        <f ca="1">IFERROR(__xludf.DUMMYFUNCTION("""COMPUTED_VALUE"""),"RH")</f>
        <v>RH</v>
      </c>
      <c r="I1634" s="118">
        <f ca="1">IFERROR(__xludf.DUMMYFUNCTION("""COMPUTED_VALUE"""),5)</f>
        <v>5</v>
      </c>
      <c r="J1634" s="118">
        <f ca="1">IFERROR(__xludf.DUMMYFUNCTION("""COMPUTED_VALUE"""),4)</f>
        <v>4</v>
      </c>
      <c r="K1634" s="120">
        <f ca="1">IFERROR(__xludf.DUMMYFUNCTION("""COMPUTED_VALUE"""),47.25)</f>
        <v>47.25</v>
      </c>
      <c r="L1634" s="121"/>
      <c r="M1634" s="120">
        <f ca="1">IFERROR(__xludf.DUMMYFUNCTION("""COMPUTED_VALUE"""),23.1)</f>
        <v>23.1</v>
      </c>
      <c r="N1634" s="121"/>
      <c r="O1634" s="120">
        <f ca="1">IFERROR(__xludf.DUMMYFUNCTION("""COMPUTED_VALUE"""),47.25)</f>
        <v>47.25</v>
      </c>
      <c r="P1634" s="122"/>
      <c r="Q1634" s="123"/>
      <c r="R1634" s="123"/>
      <c r="S1634" s="123"/>
      <c r="T1634" s="123"/>
    </row>
    <row r="1635" spans="1:20" ht="13.8">
      <c r="A1635" s="118" t="str">
        <f ca="1">IFERROR(__xludf.DUMMYFUNCTION("""COMPUTED_VALUE"""),"RH")</f>
        <v>RH</v>
      </c>
      <c r="B1635" s="119" t="str">
        <f ca="1">IFERROR(__xludf.DUMMYFUNCTION("""COMPUTED_VALUE"""),"Keegan Donnelly")</f>
        <v>Keegan Donnelly</v>
      </c>
      <c r="C1635" s="118">
        <f ca="1">IFERROR(__xludf.DUMMYFUNCTION("""COMPUTED_VALUE"""),8)</f>
        <v>8</v>
      </c>
      <c r="D1635" s="118" t="str">
        <f ca="1">IFERROR(__xludf.DUMMYFUNCTION("""COMPUTED_VALUE"""),"B")</f>
        <v>B</v>
      </c>
      <c r="E1635" s="118" t="str">
        <f ca="1">IFERROR(__xludf.DUMMYFUNCTION("""COMPUTED_VALUE"""),"F")</f>
        <v>F</v>
      </c>
      <c r="F1635" s="118" t="str">
        <f ca="1">IFERROR(__xludf.DUMMYFUNCTION("""COMPUTED_VALUE"""),"J")</f>
        <v>J</v>
      </c>
      <c r="G1635" s="118">
        <f ca="1">IFERROR(__xludf.DUMMYFUNCTION("""COMPUTED_VALUE"""),2)</f>
        <v>2</v>
      </c>
      <c r="H1635" s="118" t="str">
        <f ca="1">IFERROR(__xludf.DUMMYFUNCTION("""COMPUTED_VALUE"""),"RH")</f>
        <v>RH</v>
      </c>
      <c r="I1635" s="118">
        <f ca="1">IFERROR(__xludf.DUMMYFUNCTION("""COMPUTED_VALUE"""),5)</f>
        <v>5</v>
      </c>
      <c r="J1635" s="118">
        <f ca="1">IFERROR(__xludf.DUMMYFUNCTION("""COMPUTED_VALUE"""),3)</f>
        <v>3</v>
      </c>
      <c r="K1635" s="120">
        <f ca="1">IFERROR(__xludf.DUMMYFUNCTION("""COMPUTED_VALUE"""),51.15)</f>
        <v>51.15</v>
      </c>
      <c r="L1635" s="121"/>
      <c r="M1635" s="120">
        <f ca="1">IFERROR(__xludf.DUMMYFUNCTION("""COMPUTED_VALUE"""),51.15)</f>
        <v>51.15</v>
      </c>
      <c r="N1635" s="121"/>
      <c r="O1635" s="120">
        <f ca="1">IFERROR(__xludf.DUMMYFUNCTION("""COMPUTED_VALUE"""),45.15)</f>
        <v>45.15</v>
      </c>
      <c r="P1635" s="122"/>
      <c r="Q1635" s="123"/>
      <c r="R1635" s="123"/>
      <c r="S1635" s="123"/>
      <c r="T1635" s="123"/>
    </row>
    <row r="1636" spans="1:20" ht="13.8">
      <c r="A1636" s="118" t="str">
        <f ca="1">IFERROR(__xludf.DUMMYFUNCTION("""COMPUTED_VALUE"""),"RH")</f>
        <v>RH</v>
      </c>
      <c r="B1636" s="119" t="str">
        <f ca="1">IFERROR(__xludf.DUMMYFUNCTION("""COMPUTED_VALUE"""),"Leo Yarmolovich")</f>
        <v>Leo Yarmolovich</v>
      </c>
      <c r="C1636" s="118">
        <f ca="1">IFERROR(__xludf.DUMMYFUNCTION("""COMPUTED_VALUE"""),10)</f>
        <v>10</v>
      </c>
      <c r="D1636" s="118" t="str">
        <f ca="1">IFERROR(__xludf.DUMMYFUNCTION("""COMPUTED_VALUE"""),"B")</f>
        <v>B</v>
      </c>
      <c r="E1636" s="118" t="str">
        <f ca="1">IFERROR(__xludf.DUMMYFUNCTION("""COMPUTED_VALUE"""),"F")</f>
        <v>F</v>
      </c>
      <c r="F1636" s="118" t="str">
        <f ca="1">IFERROR(__xludf.DUMMYFUNCTION("""COMPUTED_VALUE"""),"J")</f>
        <v>J</v>
      </c>
      <c r="G1636" s="118">
        <f ca="1">IFERROR(__xludf.DUMMYFUNCTION("""COMPUTED_VALUE"""),2)</f>
        <v>2</v>
      </c>
      <c r="H1636" s="118" t="str">
        <f ca="1">IFERROR(__xludf.DUMMYFUNCTION("""COMPUTED_VALUE"""),"RH")</f>
        <v>RH</v>
      </c>
      <c r="I1636" s="118">
        <f ca="1">IFERROR(__xludf.DUMMYFUNCTION("""COMPUTED_VALUE"""),5)</f>
        <v>5</v>
      </c>
      <c r="J1636" s="118">
        <f ca="1">IFERROR(__xludf.DUMMYFUNCTION("""COMPUTED_VALUE"""),2)</f>
        <v>2</v>
      </c>
      <c r="K1636" s="120">
        <f ca="1">IFERROR(__xludf.DUMMYFUNCTION("""COMPUTED_VALUE"""),37.55)</f>
        <v>37.549999999999997</v>
      </c>
      <c r="L1636" s="121"/>
      <c r="M1636" s="120"/>
      <c r="N1636" s="121"/>
      <c r="O1636" s="120"/>
      <c r="P1636" s="122"/>
      <c r="Q1636" s="123"/>
      <c r="R1636" s="123"/>
      <c r="S1636" s="123"/>
      <c r="T1636" s="123"/>
    </row>
    <row r="1637" spans="1:20" ht="13.8">
      <c r="A1637" s="118" t="str">
        <f ca="1">IFERROR(__xludf.DUMMYFUNCTION("""COMPUTED_VALUE"""),"RH")</f>
        <v>RH</v>
      </c>
      <c r="B1637" s="119" t="str">
        <f ca="1">IFERROR(__xludf.DUMMYFUNCTION("""COMPUTED_VALUE"""),"Neev Bhartiya")</f>
        <v>Neev Bhartiya</v>
      </c>
      <c r="C1637" s="118">
        <f ca="1">IFERROR(__xludf.DUMMYFUNCTION("""COMPUTED_VALUE"""),8)</f>
        <v>8</v>
      </c>
      <c r="D1637" s="118" t="str">
        <f ca="1">IFERROR(__xludf.DUMMYFUNCTION("""COMPUTED_VALUE"""),"B")</f>
        <v>B</v>
      </c>
      <c r="E1637" s="118" t="str">
        <f ca="1">IFERROR(__xludf.DUMMYFUNCTION("""COMPUTED_VALUE"""),"F")</f>
        <v>F</v>
      </c>
      <c r="F1637" s="118" t="str">
        <f ca="1">IFERROR(__xludf.DUMMYFUNCTION("""COMPUTED_VALUE"""),"J")</f>
        <v>J</v>
      </c>
      <c r="G1637" s="118">
        <f ca="1">IFERROR(__xludf.DUMMYFUNCTION("""COMPUTED_VALUE"""),2)</f>
        <v>2</v>
      </c>
      <c r="H1637" s="118" t="str">
        <f ca="1">IFERROR(__xludf.DUMMYFUNCTION("""COMPUTED_VALUE"""),"RH")</f>
        <v>RH</v>
      </c>
      <c r="I1637" s="118">
        <f ca="1">IFERROR(__xludf.DUMMYFUNCTION("""COMPUTED_VALUE"""),5)</f>
        <v>5</v>
      </c>
      <c r="J1637" s="118">
        <f ca="1">IFERROR(__xludf.DUMMYFUNCTION("""COMPUTED_VALUE"""),0)</f>
        <v>0</v>
      </c>
      <c r="K1637" s="120"/>
      <c r="L1637" s="121"/>
      <c r="M1637" s="120"/>
      <c r="N1637" s="121"/>
      <c r="O1637" s="120"/>
      <c r="P1637" s="122"/>
      <c r="Q1637" s="123"/>
      <c r="R1637" s="123"/>
      <c r="S1637" s="123"/>
      <c r="T1637" s="123"/>
    </row>
    <row r="1638" spans="1:20" ht="13.8">
      <c r="A1638" s="118" t="str">
        <f ca="1">IFERROR(__xludf.DUMMYFUNCTION("""COMPUTED_VALUE"""),"RH")</f>
        <v>RH</v>
      </c>
      <c r="B1638" s="119" t="str">
        <f ca="1">IFERROR(__xludf.DUMMYFUNCTION("""COMPUTED_VALUE"""),"Carrie Byrd")</f>
        <v>Carrie Byrd</v>
      </c>
      <c r="C1638" s="118">
        <f ca="1">IFERROR(__xludf.DUMMYFUNCTION("""COMPUTED_VALUE"""),11)</f>
        <v>11</v>
      </c>
      <c r="D1638" s="118" t="str">
        <f ca="1">IFERROR(__xludf.DUMMYFUNCTION("""COMPUTED_VALUE"""),"G")</f>
        <v>G</v>
      </c>
      <c r="E1638" s="118" t="str">
        <f ca="1">IFERROR(__xludf.DUMMYFUNCTION("""COMPUTED_VALUE"""),"J")</f>
        <v>J</v>
      </c>
      <c r="F1638" s="118" t="str">
        <f ca="1">IFERROR(__xludf.DUMMYFUNCTION("""COMPUTED_VALUE"""),"I")</f>
        <v>I</v>
      </c>
      <c r="G1638" s="118">
        <f ca="1">IFERROR(__xludf.DUMMYFUNCTION("""COMPUTED_VALUE"""),2)</f>
        <v>2</v>
      </c>
      <c r="H1638" s="118" t="str">
        <f ca="1">IFERROR(__xludf.DUMMYFUNCTION("""COMPUTED_VALUE"""),"RH")</f>
        <v>RH</v>
      </c>
      <c r="I1638" s="118">
        <f ca="1">IFERROR(__xludf.DUMMYFUNCTION("""COMPUTED_VALUE"""),6)</f>
        <v>6</v>
      </c>
      <c r="J1638" s="118">
        <f ca="1">IFERROR(__xludf.DUMMYFUNCTION("""COMPUTED_VALUE"""),1)</f>
        <v>1</v>
      </c>
      <c r="K1638" s="120"/>
      <c r="L1638" s="121"/>
      <c r="M1638" s="120"/>
      <c r="N1638" s="121"/>
      <c r="O1638" s="120"/>
      <c r="P1638" s="122"/>
      <c r="Q1638" s="123"/>
      <c r="R1638" s="123"/>
      <c r="S1638" s="123"/>
      <c r="T1638" s="123"/>
    </row>
    <row r="1639" spans="1:20" ht="13.8">
      <c r="A1639" s="118" t="str">
        <f ca="1">IFERROR(__xludf.DUMMYFUNCTION("""COMPUTED_VALUE"""),"RH")</f>
        <v>RH</v>
      </c>
      <c r="B1639" s="119" t="str">
        <f ca="1">IFERROR(__xludf.DUMMYFUNCTION("""COMPUTED_VALUE"""),"Jada Jones")</f>
        <v>Jada Jones</v>
      </c>
      <c r="C1639" s="118">
        <f ca="1">IFERROR(__xludf.DUMMYFUNCTION("""COMPUTED_VALUE"""),12)</f>
        <v>12</v>
      </c>
      <c r="D1639" s="118" t="str">
        <f ca="1">IFERROR(__xludf.DUMMYFUNCTION("""COMPUTED_VALUE"""),"G")</f>
        <v>G</v>
      </c>
      <c r="E1639" s="118" t="str">
        <f ca="1">IFERROR(__xludf.DUMMYFUNCTION("""COMPUTED_VALUE"""),"J")</f>
        <v>J</v>
      </c>
      <c r="F1639" s="118" t="str">
        <f ca="1">IFERROR(__xludf.DUMMYFUNCTION("""COMPUTED_VALUE"""),"I")</f>
        <v>I</v>
      </c>
      <c r="G1639" s="118">
        <f ca="1">IFERROR(__xludf.DUMMYFUNCTION("""COMPUTED_VALUE"""),2)</f>
        <v>2</v>
      </c>
      <c r="H1639" s="118" t="str">
        <f ca="1">IFERROR(__xludf.DUMMYFUNCTION("""COMPUTED_VALUE"""),"RH")</f>
        <v>RH</v>
      </c>
      <c r="I1639" s="118">
        <f ca="1">IFERROR(__xludf.DUMMYFUNCTION("""COMPUTED_VALUE"""),6)</f>
        <v>6</v>
      </c>
      <c r="J1639" s="118">
        <f ca="1">IFERROR(__xludf.DUMMYFUNCTION("""COMPUTED_VALUE"""),4)</f>
        <v>4</v>
      </c>
      <c r="K1639" s="120">
        <f ca="1">IFERROR(__xludf.DUMMYFUNCTION("""COMPUTED_VALUE"""),89.8)</f>
        <v>89.8</v>
      </c>
      <c r="L1639" s="121"/>
      <c r="M1639" s="120">
        <f ca="1">IFERROR(__xludf.DUMMYFUNCTION("""COMPUTED_VALUE"""),77.7)</f>
        <v>77.7</v>
      </c>
      <c r="N1639" s="121"/>
      <c r="O1639" s="120"/>
      <c r="P1639" s="122"/>
      <c r="Q1639" s="123"/>
      <c r="R1639" s="123"/>
      <c r="S1639" s="123"/>
      <c r="T1639" s="123"/>
    </row>
    <row r="1640" spans="1:20" ht="13.8">
      <c r="A1640" s="118" t="str">
        <f ca="1">IFERROR(__xludf.DUMMYFUNCTION("""COMPUTED_VALUE"""),"RH")</f>
        <v>RH</v>
      </c>
      <c r="B1640" s="119" t="str">
        <f ca="1">IFERROR(__xludf.DUMMYFUNCTION("""COMPUTED_VALUE"""),"Katelyn Thackaberry")</f>
        <v>Katelyn Thackaberry</v>
      </c>
      <c r="C1640" s="118">
        <f ca="1">IFERROR(__xludf.DUMMYFUNCTION("""COMPUTED_VALUE"""),12)</f>
        <v>12</v>
      </c>
      <c r="D1640" s="118" t="str">
        <f ca="1">IFERROR(__xludf.DUMMYFUNCTION("""COMPUTED_VALUE"""),"G")</f>
        <v>G</v>
      </c>
      <c r="E1640" s="118" t="str">
        <f ca="1">IFERROR(__xludf.DUMMYFUNCTION("""COMPUTED_VALUE"""),"J")</f>
        <v>J</v>
      </c>
      <c r="F1640" s="118" t="str">
        <f ca="1">IFERROR(__xludf.DUMMYFUNCTION("""COMPUTED_VALUE"""),"I")</f>
        <v>I</v>
      </c>
      <c r="G1640" s="118">
        <f ca="1">IFERROR(__xludf.DUMMYFUNCTION("""COMPUTED_VALUE"""),2)</f>
        <v>2</v>
      </c>
      <c r="H1640" s="118" t="str">
        <f ca="1">IFERROR(__xludf.DUMMYFUNCTION("""COMPUTED_VALUE"""),"RH")</f>
        <v>RH</v>
      </c>
      <c r="I1640" s="118">
        <f ca="1">IFERROR(__xludf.DUMMYFUNCTION("""COMPUTED_VALUE"""),6)</f>
        <v>6</v>
      </c>
      <c r="J1640" s="118">
        <f ca="1">IFERROR(__xludf.DUMMYFUNCTION("""COMPUTED_VALUE"""),5)</f>
        <v>5</v>
      </c>
      <c r="K1640" s="120">
        <f ca="1">IFERROR(__xludf.DUMMYFUNCTION("""COMPUTED_VALUE"""),96.3)</f>
        <v>96.3</v>
      </c>
      <c r="L1640" s="121"/>
      <c r="M1640" s="120">
        <f ca="1">IFERROR(__xludf.DUMMYFUNCTION("""COMPUTED_VALUE"""),82.8)</f>
        <v>82.8</v>
      </c>
      <c r="N1640" s="121"/>
      <c r="O1640" s="120">
        <f ca="1">IFERROR(__xludf.DUMMYFUNCTION("""COMPUTED_VALUE"""),88.8)</f>
        <v>88.8</v>
      </c>
      <c r="P1640" s="122"/>
      <c r="Q1640" s="123"/>
      <c r="R1640" s="123"/>
      <c r="S1640" s="123"/>
      <c r="T1640" s="123"/>
    </row>
    <row r="1641" spans="1:20" ht="13.8">
      <c r="A1641" s="118" t="str">
        <f ca="1">IFERROR(__xludf.DUMMYFUNCTION("""COMPUTED_VALUE"""),"RH")</f>
        <v>RH</v>
      </c>
      <c r="B1641" s="119" t="str">
        <f ca="1">IFERROR(__xludf.DUMMYFUNCTION("""COMPUTED_VALUE"""),"Lilly Jessup")</f>
        <v>Lilly Jessup</v>
      </c>
      <c r="C1641" s="118">
        <f ca="1">IFERROR(__xludf.DUMMYFUNCTION("""COMPUTED_VALUE"""),12)</f>
        <v>12</v>
      </c>
      <c r="D1641" s="118" t="str">
        <f ca="1">IFERROR(__xludf.DUMMYFUNCTION("""COMPUTED_VALUE"""),"G")</f>
        <v>G</v>
      </c>
      <c r="E1641" s="118" t="str">
        <f ca="1">IFERROR(__xludf.DUMMYFUNCTION("""COMPUTED_VALUE"""),"J")</f>
        <v>J</v>
      </c>
      <c r="F1641" s="118" t="str">
        <f ca="1">IFERROR(__xludf.DUMMYFUNCTION("""COMPUTED_VALUE"""),"I")</f>
        <v>I</v>
      </c>
      <c r="G1641" s="118">
        <f ca="1">IFERROR(__xludf.DUMMYFUNCTION("""COMPUTED_VALUE"""),2)</f>
        <v>2</v>
      </c>
      <c r="H1641" s="118" t="str">
        <f ca="1">IFERROR(__xludf.DUMMYFUNCTION("""COMPUTED_VALUE"""),"RH")</f>
        <v>RH</v>
      </c>
      <c r="I1641" s="118">
        <f ca="1">IFERROR(__xludf.DUMMYFUNCTION("""COMPUTED_VALUE"""),6)</f>
        <v>6</v>
      </c>
      <c r="J1641" s="118">
        <f ca="1">IFERROR(__xludf.DUMMYFUNCTION("""COMPUTED_VALUE"""),4)</f>
        <v>4</v>
      </c>
      <c r="K1641" s="120">
        <f ca="1">IFERROR(__xludf.DUMMYFUNCTION("""COMPUTED_VALUE"""),-115.35)</f>
        <v>-115.35</v>
      </c>
      <c r="L1641" s="121"/>
      <c r="M1641" s="120">
        <f ca="1">IFERROR(__xludf.DUMMYFUNCTION("""COMPUTED_VALUE"""),-116.6)</f>
        <v>-116.6</v>
      </c>
      <c r="N1641" s="121"/>
      <c r="O1641" s="120">
        <f ca="1">IFERROR(__xludf.DUMMYFUNCTION("""COMPUTED_VALUE"""),-115.35)</f>
        <v>-115.35</v>
      </c>
      <c r="P1641" s="122"/>
      <c r="Q1641" s="123"/>
      <c r="R1641" s="123"/>
      <c r="S1641" s="123"/>
      <c r="T1641" s="123"/>
    </row>
    <row r="1642" spans="1:20" ht="13.8">
      <c r="A1642" s="118" t="str">
        <f ca="1">IFERROR(__xludf.DUMMYFUNCTION("""COMPUTED_VALUE"""),"RH")</f>
        <v>RH</v>
      </c>
      <c r="B1642" s="119" t="str">
        <f ca="1">IFERROR(__xludf.DUMMYFUNCTION("""COMPUTED_VALUE"""),"Liv Freeman")</f>
        <v>Liv Freeman</v>
      </c>
      <c r="C1642" s="118">
        <f ca="1">IFERROR(__xludf.DUMMYFUNCTION("""COMPUTED_VALUE"""),12)</f>
        <v>12</v>
      </c>
      <c r="D1642" s="118" t="str">
        <f ca="1">IFERROR(__xludf.DUMMYFUNCTION("""COMPUTED_VALUE"""),"G")</f>
        <v>G</v>
      </c>
      <c r="E1642" s="118" t="str">
        <f ca="1">IFERROR(__xludf.DUMMYFUNCTION("""COMPUTED_VALUE"""),"J")</f>
        <v>J</v>
      </c>
      <c r="F1642" s="118" t="str">
        <f ca="1">IFERROR(__xludf.DUMMYFUNCTION("""COMPUTED_VALUE"""),"I")</f>
        <v>I</v>
      </c>
      <c r="G1642" s="118">
        <f ca="1">IFERROR(__xludf.DUMMYFUNCTION("""COMPUTED_VALUE"""),2)</f>
        <v>2</v>
      </c>
      <c r="H1642" s="118" t="str">
        <f ca="1">IFERROR(__xludf.DUMMYFUNCTION("""COMPUTED_VALUE"""),"RH")</f>
        <v>RH</v>
      </c>
      <c r="I1642" s="118">
        <f ca="1">IFERROR(__xludf.DUMMYFUNCTION("""COMPUTED_VALUE"""),6)</f>
        <v>6</v>
      </c>
      <c r="J1642" s="118">
        <f ca="1">IFERROR(__xludf.DUMMYFUNCTION("""COMPUTED_VALUE"""),2)</f>
        <v>2</v>
      </c>
      <c r="K1642" s="120">
        <f ca="1">IFERROR(__xludf.DUMMYFUNCTION("""COMPUTED_VALUE"""),63.1)</f>
        <v>63.1</v>
      </c>
      <c r="L1642" s="121"/>
      <c r="M1642" s="120"/>
      <c r="N1642" s="121"/>
      <c r="O1642" s="120">
        <f ca="1">IFERROR(__xludf.DUMMYFUNCTION("""COMPUTED_VALUE"""),58.65)</f>
        <v>58.65</v>
      </c>
      <c r="P1642" s="122"/>
      <c r="Q1642" s="123"/>
      <c r="R1642" s="123"/>
      <c r="S1642" s="123"/>
      <c r="T1642" s="123"/>
    </row>
    <row r="1643" spans="1:20" ht="13.8">
      <c r="A1643" s="118" t="str">
        <f ca="1">IFERROR(__xludf.DUMMYFUNCTION("""COMPUTED_VALUE"""),"RH")</f>
        <v>RH</v>
      </c>
      <c r="B1643" s="119" t="str">
        <f ca="1">IFERROR(__xludf.DUMMYFUNCTION("""COMPUTED_VALUE"""),"Natasha Sauchuk")</f>
        <v>Natasha Sauchuk</v>
      </c>
      <c r="C1643" s="118">
        <f ca="1">IFERROR(__xludf.DUMMYFUNCTION("""COMPUTED_VALUE"""),11)</f>
        <v>11</v>
      </c>
      <c r="D1643" s="118" t="str">
        <f ca="1">IFERROR(__xludf.DUMMYFUNCTION("""COMPUTED_VALUE"""),"G")</f>
        <v>G</v>
      </c>
      <c r="E1643" s="118" t="str">
        <f ca="1">IFERROR(__xludf.DUMMYFUNCTION("""COMPUTED_VALUE"""),"J")</f>
        <v>J</v>
      </c>
      <c r="F1643" s="118" t="str">
        <f ca="1">IFERROR(__xludf.DUMMYFUNCTION("""COMPUTED_VALUE"""),"I")</f>
        <v>I</v>
      </c>
      <c r="G1643" s="118">
        <f ca="1">IFERROR(__xludf.DUMMYFUNCTION("""COMPUTED_VALUE"""),2)</f>
        <v>2</v>
      </c>
      <c r="H1643" s="118" t="str">
        <f ca="1">IFERROR(__xludf.DUMMYFUNCTION("""COMPUTED_VALUE"""),"RH")</f>
        <v>RH</v>
      </c>
      <c r="I1643" s="118">
        <f ca="1">IFERROR(__xludf.DUMMYFUNCTION("""COMPUTED_VALUE"""),6)</f>
        <v>6</v>
      </c>
      <c r="J1643" s="118">
        <f ca="1">IFERROR(__xludf.DUMMYFUNCTION("""COMPUTED_VALUE"""),0)</f>
        <v>0</v>
      </c>
      <c r="K1643" s="120"/>
      <c r="L1643" s="121"/>
      <c r="M1643" s="120"/>
      <c r="N1643" s="121"/>
      <c r="O1643" s="120"/>
      <c r="P1643" s="122"/>
      <c r="Q1643" s="123"/>
      <c r="R1643" s="123"/>
      <c r="S1643" s="123"/>
      <c r="T1643" s="123"/>
    </row>
    <row r="1644" spans="1:20" ht="13.8">
      <c r="A1644" s="118" t="str">
        <f ca="1">IFERROR(__xludf.DUMMYFUNCTION("""COMPUTED_VALUE"""),"RH")</f>
        <v>RH</v>
      </c>
      <c r="B1644" s="119" t="str">
        <f ca="1">IFERROR(__xludf.DUMMYFUNCTION("""COMPUTED_VALUE"""),"Quinn Zahler")</f>
        <v>Quinn Zahler</v>
      </c>
      <c r="C1644" s="118">
        <f ca="1">IFERROR(__xludf.DUMMYFUNCTION("""COMPUTED_VALUE"""),11)</f>
        <v>11</v>
      </c>
      <c r="D1644" s="118" t="str">
        <f ca="1">IFERROR(__xludf.DUMMYFUNCTION("""COMPUTED_VALUE"""),"G")</f>
        <v>G</v>
      </c>
      <c r="E1644" s="118" t="str">
        <f ca="1">IFERROR(__xludf.DUMMYFUNCTION("""COMPUTED_VALUE"""),"J")</f>
        <v>J</v>
      </c>
      <c r="F1644" s="118" t="str">
        <f ca="1">IFERROR(__xludf.DUMMYFUNCTION("""COMPUTED_VALUE"""),"I")</f>
        <v>I</v>
      </c>
      <c r="G1644" s="118">
        <f ca="1">IFERROR(__xludf.DUMMYFUNCTION("""COMPUTED_VALUE"""),2)</f>
        <v>2</v>
      </c>
      <c r="H1644" s="118" t="str">
        <f ca="1">IFERROR(__xludf.DUMMYFUNCTION("""COMPUTED_VALUE"""),"RH")</f>
        <v>RH</v>
      </c>
      <c r="I1644" s="118">
        <f ca="1">IFERROR(__xludf.DUMMYFUNCTION("""COMPUTED_VALUE"""),6)</f>
        <v>6</v>
      </c>
      <c r="J1644" s="118">
        <f ca="1">IFERROR(__xludf.DUMMYFUNCTION("""COMPUTED_VALUE"""),4)</f>
        <v>4</v>
      </c>
      <c r="K1644" s="120">
        <f ca="1">IFERROR(__xludf.DUMMYFUNCTION("""COMPUTED_VALUE"""),81.35)</f>
        <v>81.349999999999994</v>
      </c>
      <c r="L1644" s="121"/>
      <c r="M1644" s="120">
        <f ca="1">IFERROR(__xludf.DUMMYFUNCTION("""COMPUTED_VALUE"""),80.6)</f>
        <v>80.599999999999994</v>
      </c>
      <c r="N1644" s="121"/>
      <c r="O1644" s="120">
        <f ca="1">IFERROR(__xludf.DUMMYFUNCTION("""COMPUTED_VALUE"""),81.15)</f>
        <v>81.150000000000006</v>
      </c>
      <c r="P1644" s="122"/>
      <c r="Q1644" s="123"/>
      <c r="R1644" s="123"/>
      <c r="S1644" s="123"/>
      <c r="T1644" s="123"/>
    </row>
    <row r="1645" spans="1:20" ht="13.8">
      <c r="A1645" s="118" t="str">
        <f ca="1">IFERROR(__xludf.DUMMYFUNCTION("""COMPUTED_VALUE"""),"RH")</f>
        <v>RH</v>
      </c>
      <c r="B1645" s="119" t="str">
        <f ca="1">IFERROR(__xludf.DUMMYFUNCTION("""COMPUTED_VALUE"""),"Victoria Matthews")</f>
        <v>Victoria Matthews</v>
      </c>
      <c r="C1645" s="118">
        <f ca="1">IFERROR(__xludf.DUMMYFUNCTION("""COMPUTED_VALUE"""),11)</f>
        <v>11</v>
      </c>
      <c r="D1645" s="118" t="str">
        <f ca="1">IFERROR(__xludf.DUMMYFUNCTION("""COMPUTED_VALUE"""),"G")</f>
        <v>G</v>
      </c>
      <c r="E1645" s="118" t="str">
        <f ca="1">IFERROR(__xludf.DUMMYFUNCTION("""COMPUTED_VALUE"""),"J")</f>
        <v>J</v>
      </c>
      <c r="F1645" s="118" t="str">
        <f ca="1">IFERROR(__xludf.DUMMYFUNCTION("""COMPUTED_VALUE"""),"I")</f>
        <v>I</v>
      </c>
      <c r="G1645" s="118">
        <f ca="1">IFERROR(__xludf.DUMMYFUNCTION("""COMPUTED_VALUE"""),2)</f>
        <v>2</v>
      </c>
      <c r="H1645" s="118" t="str">
        <f ca="1">IFERROR(__xludf.DUMMYFUNCTION("""COMPUTED_VALUE"""),"RH")</f>
        <v>RH</v>
      </c>
      <c r="I1645" s="118">
        <f ca="1">IFERROR(__xludf.DUMMYFUNCTION("""COMPUTED_VALUE"""),6)</f>
        <v>6</v>
      </c>
      <c r="J1645" s="118">
        <f ca="1">IFERROR(__xludf.DUMMYFUNCTION("""COMPUTED_VALUE"""),1)</f>
        <v>1</v>
      </c>
      <c r="K1645" s="120">
        <f ca="1">IFERROR(__xludf.DUMMYFUNCTION("""COMPUTED_VALUE"""),44.55)</f>
        <v>44.55</v>
      </c>
      <c r="L1645" s="121"/>
      <c r="M1645" s="120"/>
      <c r="N1645" s="121"/>
      <c r="O1645" s="120"/>
      <c r="P1645" s="122"/>
      <c r="Q1645" s="123"/>
      <c r="R1645" s="123"/>
      <c r="S1645" s="123"/>
      <c r="T1645" s="123"/>
    </row>
    <row r="1646" spans="1:20" ht="13.8">
      <c r="A1646" s="118" t="str">
        <f ca="1">IFERROR(__xludf.DUMMYFUNCTION("""COMPUTED_VALUE"""),"RH")</f>
        <v>RH</v>
      </c>
      <c r="B1646" s="119" t="str">
        <f ca="1">IFERROR(__xludf.DUMMYFUNCTION("""COMPUTED_VALUE"""),"Xanthy Kuehne")</f>
        <v>Xanthy Kuehne</v>
      </c>
      <c r="C1646" s="118">
        <f ca="1">IFERROR(__xludf.DUMMYFUNCTION("""COMPUTED_VALUE"""),11)</f>
        <v>11</v>
      </c>
      <c r="D1646" s="118" t="str">
        <f ca="1">IFERROR(__xludf.DUMMYFUNCTION("""COMPUTED_VALUE"""),"G")</f>
        <v>G</v>
      </c>
      <c r="E1646" s="118" t="str">
        <f ca="1">IFERROR(__xludf.DUMMYFUNCTION("""COMPUTED_VALUE"""),"J")</f>
        <v>J</v>
      </c>
      <c r="F1646" s="118" t="str">
        <f ca="1">IFERROR(__xludf.DUMMYFUNCTION("""COMPUTED_VALUE"""),"I")</f>
        <v>I</v>
      </c>
      <c r="G1646" s="118">
        <f ca="1">IFERROR(__xludf.DUMMYFUNCTION("""COMPUTED_VALUE"""),2)</f>
        <v>2</v>
      </c>
      <c r="H1646" s="118" t="str">
        <f ca="1">IFERROR(__xludf.DUMMYFUNCTION("""COMPUTED_VALUE"""),"RH")</f>
        <v>RH</v>
      </c>
      <c r="I1646" s="118">
        <f ca="1">IFERROR(__xludf.DUMMYFUNCTION("""COMPUTED_VALUE"""),6)</f>
        <v>6</v>
      </c>
      <c r="J1646" s="118">
        <f ca="1">IFERROR(__xludf.DUMMYFUNCTION("""COMPUTED_VALUE"""),4)</f>
        <v>4</v>
      </c>
      <c r="K1646" s="120">
        <f ca="1">IFERROR(__xludf.DUMMYFUNCTION("""COMPUTED_VALUE"""),96.8)</f>
        <v>96.8</v>
      </c>
      <c r="L1646" s="121"/>
      <c r="M1646" s="120"/>
      <c r="N1646" s="121"/>
      <c r="O1646" s="120">
        <f ca="1">IFERROR(__xludf.DUMMYFUNCTION("""COMPUTED_VALUE"""),96.8)</f>
        <v>96.8</v>
      </c>
      <c r="P1646" s="122"/>
      <c r="Q1646" s="123"/>
      <c r="R1646" s="123"/>
      <c r="S1646" s="123"/>
      <c r="T1646" s="123"/>
    </row>
    <row r="1647" spans="1:20" ht="13.8">
      <c r="A1647" s="118" t="str">
        <f ca="1">IFERROR(__xludf.DUMMYFUNCTION("""COMPUTED_VALUE"""),"RH")</f>
        <v>RH</v>
      </c>
      <c r="B1647" s="119" t="str">
        <f ca="1">IFERROR(__xludf.DUMMYFUNCTION("""COMPUTED_VALUE"""),"Aadi Bhartiya")</f>
        <v>Aadi Bhartiya</v>
      </c>
      <c r="C1647" s="118">
        <f ca="1">IFERROR(__xludf.DUMMYFUNCTION("""COMPUTED_VALUE"""),11)</f>
        <v>11</v>
      </c>
      <c r="D1647" s="118" t="str">
        <f ca="1">IFERROR(__xludf.DUMMYFUNCTION("""COMPUTED_VALUE"""),"B")</f>
        <v>B</v>
      </c>
      <c r="E1647" s="118" t="str">
        <f ca="1">IFERROR(__xludf.DUMMYFUNCTION("""COMPUTED_VALUE"""),"J")</f>
        <v>J</v>
      </c>
      <c r="F1647" s="118" t="str">
        <f ca="1">IFERROR(__xludf.DUMMYFUNCTION("""COMPUTED_VALUE"""),"I")</f>
        <v>I</v>
      </c>
      <c r="G1647" s="118">
        <f ca="1">IFERROR(__xludf.DUMMYFUNCTION("""COMPUTED_VALUE"""),2)</f>
        <v>2</v>
      </c>
      <c r="H1647" s="118" t="str">
        <f ca="1">IFERROR(__xludf.DUMMYFUNCTION("""COMPUTED_VALUE"""),"RH")</f>
        <v>RH</v>
      </c>
      <c r="I1647" s="118">
        <f ca="1">IFERROR(__xludf.DUMMYFUNCTION("""COMPUTED_VALUE"""),7)</f>
        <v>7</v>
      </c>
      <c r="J1647" s="118">
        <f ca="1">IFERROR(__xludf.DUMMYFUNCTION("""COMPUTED_VALUE"""),0)</f>
        <v>0</v>
      </c>
      <c r="K1647" s="120"/>
      <c r="L1647" s="121"/>
      <c r="M1647" s="120"/>
      <c r="N1647" s="121"/>
      <c r="O1647" s="120"/>
      <c r="P1647" s="122"/>
      <c r="Q1647" s="123"/>
      <c r="R1647" s="123"/>
      <c r="S1647" s="123"/>
      <c r="T1647" s="123"/>
    </row>
    <row r="1648" spans="1:20" ht="13.8">
      <c r="A1648" s="118" t="str">
        <f ca="1">IFERROR(__xludf.DUMMYFUNCTION("""COMPUTED_VALUE"""),"RH")</f>
        <v>RH</v>
      </c>
      <c r="B1648" s="119" t="str">
        <f ca="1">IFERROR(__xludf.DUMMYFUNCTION("""COMPUTED_VALUE"""),"Curt Berry")</f>
        <v>Curt Berry</v>
      </c>
      <c r="C1648" s="118">
        <f ca="1">IFERROR(__xludf.DUMMYFUNCTION("""COMPUTED_VALUE"""),11)</f>
        <v>11</v>
      </c>
      <c r="D1648" s="118" t="str">
        <f ca="1">IFERROR(__xludf.DUMMYFUNCTION("""COMPUTED_VALUE"""),"B")</f>
        <v>B</v>
      </c>
      <c r="E1648" s="118" t="str">
        <f ca="1">IFERROR(__xludf.DUMMYFUNCTION("""COMPUTED_VALUE"""),"J")</f>
        <v>J</v>
      </c>
      <c r="F1648" s="118" t="str">
        <f ca="1">IFERROR(__xludf.DUMMYFUNCTION("""COMPUTED_VALUE"""),"I")</f>
        <v>I</v>
      </c>
      <c r="G1648" s="118">
        <f ca="1">IFERROR(__xludf.DUMMYFUNCTION("""COMPUTED_VALUE"""),2)</f>
        <v>2</v>
      </c>
      <c r="H1648" s="118" t="str">
        <f ca="1">IFERROR(__xludf.DUMMYFUNCTION("""COMPUTED_VALUE"""),"RH")</f>
        <v>RH</v>
      </c>
      <c r="I1648" s="118">
        <f ca="1">IFERROR(__xludf.DUMMYFUNCTION("""COMPUTED_VALUE"""),7)</f>
        <v>7</v>
      </c>
      <c r="J1648" s="118">
        <f ca="1">IFERROR(__xludf.DUMMYFUNCTION("""COMPUTED_VALUE"""),3)</f>
        <v>3</v>
      </c>
      <c r="K1648" s="120">
        <f ca="1">IFERROR(__xludf.DUMMYFUNCTION("""COMPUTED_VALUE"""),88.6)</f>
        <v>88.6</v>
      </c>
      <c r="L1648" s="121"/>
      <c r="M1648" s="120">
        <f ca="1">IFERROR(__xludf.DUMMYFUNCTION("""COMPUTED_VALUE"""),69.9)</f>
        <v>69.900000000000006</v>
      </c>
      <c r="N1648" s="121"/>
      <c r="O1648" s="120">
        <f ca="1">IFERROR(__xludf.DUMMYFUNCTION("""COMPUTED_VALUE"""),88.6)</f>
        <v>88.6</v>
      </c>
      <c r="P1648" s="122"/>
      <c r="Q1648" s="123"/>
      <c r="R1648" s="123"/>
      <c r="S1648" s="123"/>
      <c r="T1648" s="123"/>
    </row>
    <row r="1649" spans="1:20" ht="13.8">
      <c r="A1649" s="118" t="str">
        <f ca="1">IFERROR(__xludf.DUMMYFUNCTION("""COMPUTED_VALUE"""),"RH")</f>
        <v>RH</v>
      </c>
      <c r="B1649" s="119" t="str">
        <f ca="1">IFERROR(__xludf.DUMMYFUNCTION("""COMPUTED_VALUE"""),"David Shriber")</f>
        <v>David Shriber</v>
      </c>
      <c r="C1649" s="118">
        <f ca="1">IFERROR(__xludf.DUMMYFUNCTION("""COMPUTED_VALUE"""),11)</f>
        <v>11</v>
      </c>
      <c r="D1649" s="118" t="str">
        <f ca="1">IFERROR(__xludf.DUMMYFUNCTION("""COMPUTED_VALUE"""),"B")</f>
        <v>B</v>
      </c>
      <c r="E1649" s="118" t="str">
        <f ca="1">IFERROR(__xludf.DUMMYFUNCTION("""COMPUTED_VALUE"""),"J")</f>
        <v>J</v>
      </c>
      <c r="F1649" s="118" t="str">
        <f ca="1">IFERROR(__xludf.DUMMYFUNCTION("""COMPUTED_VALUE"""),"I")</f>
        <v>I</v>
      </c>
      <c r="G1649" s="118">
        <f ca="1">IFERROR(__xludf.DUMMYFUNCTION("""COMPUTED_VALUE"""),2)</f>
        <v>2</v>
      </c>
      <c r="H1649" s="118" t="str">
        <f ca="1">IFERROR(__xludf.DUMMYFUNCTION("""COMPUTED_VALUE"""),"RH")</f>
        <v>RH</v>
      </c>
      <c r="I1649" s="118">
        <f ca="1">IFERROR(__xludf.DUMMYFUNCTION("""COMPUTED_VALUE"""),7)</f>
        <v>7</v>
      </c>
      <c r="J1649" s="118">
        <f ca="1">IFERROR(__xludf.DUMMYFUNCTION("""COMPUTED_VALUE"""),0)</f>
        <v>0</v>
      </c>
      <c r="K1649" s="120"/>
      <c r="L1649" s="121"/>
      <c r="M1649" s="120"/>
      <c r="N1649" s="121"/>
      <c r="O1649" s="120"/>
      <c r="P1649" s="122"/>
      <c r="Q1649" s="123"/>
      <c r="R1649" s="123"/>
      <c r="S1649" s="123"/>
      <c r="T1649" s="123"/>
    </row>
    <row r="1650" spans="1:20" ht="13.8">
      <c r="A1650" s="118" t="str">
        <f ca="1">IFERROR(__xludf.DUMMYFUNCTION("""COMPUTED_VALUE"""),"RH")</f>
        <v>RH</v>
      </c>
      <c r="B1650" s="119" t="str">
        <f ca="1">IFERROR(__xludf.DUMMYFUNCTION("""COMPUTED_VALUE"""),"Finn Rogers")</f>
        <v>Finn Rogers</v>
      </c>
      <c r="C1650" s="118">
        <f ca="1">IFERROR(__xludf.DUMMYFUNCTION("""COMPUTED_VALUE"""),11)</f>
        <v>11</v>
      </c>
      <c r="D1650" s="118" t="str">
        <f ca="1">IFERROR(__xludf.DUMMYFUNCTION("""COMPUTED_VALUE"""),"B")</f>
        <v>B</v>
      </c>
      <c r="E1650" s="118" t="str">
        <f ca="1">IFERROR(__xludf.DUMMYFUNCTION("""COMPUTED_VALUE"""),"J")</f>
        <v>J</v>
      </c>
      <c r="F1650" s="118" t="str">
        <f ca="1">IFERROR(__xludf.DUMMYFUNCTION("""COMPUTED_VALUE"""),"I")</f>
        <v>I</v>
      </c>
      <c r="G1650" s="118">
        <f ca="1">IFERROR(__xludf.DUMMYFUNCTION("""COMPUTED_VALUE"""),2)</f>
        <v>2</v>
      </c>
      <c r="H1650" s="118" t="str">
        <f ca="1">IFERROR(__xludf.DUMMYFUNCTION("""COMPUTED_VALUE"""),"RH")</f>
        <v>RH</v>
      </c>
      <c r="I1650" s="118">
        <f ca="1">IFERROR(__xludf.DUMMYFUNCTION("""COMPUTED_VALUE"""),7)</f>
        <v>7</v>
      </c>
      <c r="J1650" s="118">
        <f ca="1">IFERROR(__xludf.DUMMYFUNCTION("""COMPUTED_VALUE"""),3)</f>
        <v>3</v>
      </c>
      <c r="K1650" s="120">
        <f ca="1">IFERROR(__xludf.DUMMYFUNCTION("""COMPUTED_VALUE"""),65.1)</f>
        <v>65.099999999999994</v>
      </c>
      <c r="L1650" s="121"/>
      <c r="M1650" s="120">
        <f ca="1">IFERROR(__xludf.DUMMYFUNCTION("""COMPUTED_VALUE"""),48.6)</f>
        <v>48.6</v>
      </c>
      <c r="N1650" s="121"/>
      <c r="O1650" s="120"/>
      <c r="P1650" s="122"/>
      <c r="Q1650" s="123"/>
      <c r="R1650" s="123"/>
      <c r="S1650" s="123"/>
      <c r="T1650" s="123"/>
    </row>
    <row r="1651" spans="1:20" ht="13.8">
      <c r="A1651" s="118" t="str">
        <f ca="1">IFERROR(__xludf.DUMMYFUNCTION("""COMPUTED_VALUE"""),"RH")</f>
        <v>RH</v>
      </c>
      <c r="B1651" s="119" t="str">
        <f ca="1">IFERROR(__xludf.DUMMYFUNCTION("""COMPUTED_VALUE"""),"Ian Thackaberry")</f>
        <v>Ian Thackaberry</v>
      </c>
      <c r="C1651" s="118">
        <f ca="1">IFERROR(__xludf.DUMMYFUNCTION("""COMPUTED_VALUE"""),11)</f>
        <v>11</v>
      </c>
      <c r="D1651" s="118" t="str">
        <f ca="1">IFERROR(__xludf.DUMMYFUNCTION("""COMPUTED_VALUE"""),"B")</f>
        <v>B</v>
      </c>
      <c r="E1651" s="118" t="str">
        <f ca="1">IFERROR(__xludf.DUMMYFUNCTION("""COMPUTED_VALUE"""),"J")</f>
        <v>J</v>
      </c>
      <c r="F1651" s="118" t="str">
        <f ca="1">IFERROR(__xludf.DUMMYFUNCTION("""COMPUTED_VALUE"""),"I")</f>
        <v>I</v>
      </c>
      <c r="G1651" s="118">
        <f ca="1">IFERROR(__xludf.DUMMYFUNCTION("""COMPUTED_VALUE"""),2)</f>
        <v>2</v>
      </c>
      <c r="H1651" s="118" t="str">
        <f ca="1">IFERROR(__xludf.DUMMYFUNCTION("""COMPUTED_VALUE"""),"RH")</f>
        <v>RH</v>
      </c>
      <c r="I1651" s="118">
        <f ca="1">IFERROR(__xludf.DUMMYFUNCTION("""COMPUTED_VALUE"""),7)</f>
        <v>7</v>
      </c>
      <c r="J1651" s="118">
        <f ca="1">IFERROR(__xludf.DUMMYFUNCTION("""COMPUTED_VALUE"""),4)</f>
        <v>4</v>
      </c>
      <c r="K1651" s="120">
        <f ca="1">IFERROR(__xludf.DUMMYFUNCTION("""COMPUTED_VALUE"""),74.7)</f>
        <v>74.7</v>
      </c>
      <c r="L1651" s="121"/>
      <c r="M1651" s="120">
        <f ca="1">IFERROR(__xludf.DUMMYFUNCTION("""COMPUTED_VALUE"""),74.7)</f>
        <v>74.7</v>
      </c>
      <c r="N1651" s="121"/>
      <c r="O1651" s="120">
        <f ca="1">IFERROR(__xludf.DUMMYFUNCTION("""COMPUTED_VALUE"""),67.5)</f>
        <v>67.5</v>
      </c>
      <c r="P1651" s="122"/>
      <c r="Q1651" s="123"/>
      <c r="R1651" s="123"/>
      <c r="S1651" s="123"/>
      <c r="T1651" s="123"/>
    </row>
    <row r="1652" spans="1:20" ht="13.8">
      <c r="A1652" s="118" t="str">
        <f ca="1">IFERROR(__xludf.DUMMYFUNCTION("""COMPUTED_VALUE"""),"RH")</f>
        <v>RH</v>
      </c>
      <c r="B1652" s="119" t="str">
        <f ca="1">IFERROR(__xludf.DUMMYFUNCTION("""COMPUTED_VALUE"""),"Jack Flanagan")</f>
        <v>Jack Flanagan</v>
      </c>
      <c r="C1652" s="118">
        <f ca="1">IFERROR(__xludf.DUMMYFUNCTION("""COMPUTED_VALUE"""),12)</f>
        <v>12</v>
      </c>
      <c r="D1652" s="118" t="str">
        <f ca="1">IFERROR(__xludf.DUMMYFUNCTION("""COMPUTED_VALUE"""),"B")</f>
        <v>B</v>
      </c>
      <c r="E1652" s="118" t="str">
        <f ca="1">IFERROR(__xludf.DUMMYFUNCTION("""COMPUTED_VALUE"""),"J")</f>
        <v>J</v>
      </c>
      <c r="F1652" s="118" t="str">
        <f ca="1">IFERROR(__xludf.DUMMYFUNCTION("""COMPUTED_VALUE"""),"I")</f>
        <v>I</v>
      </c>
      <c r="G1652" s="118">
        <f ca="1">IFERROR(__xludf.DUMMYFUNCTION("""COMPUTED_VALUE"""),2)</f>
        <v>2</v>
      </c>
      <c r="H1652" s="118" t="str">
        <f ca="1">IFERROR(__xludf.DUMMYFUNCTION("""COMPUTED_VALUE"""),"RH")</f>
        <v>RH</v>
      </c>
      <c r="I1652" s="118">
        <f ca="1">IFERROR(__xludf.DUMMYFUNCTION("""COMPUTED_VALUE"""),7)</f>
        <v>7</v>
      </c>
      <c r="J1652" s="118">
        <f ca="1">IFERROR(__xludf.DUMMYFUNCTION("""COMPUTED_VALUE"""),4)</f>
        <v>4</v>
      </c>
      <c r="K1652" s="120">
        <f ca="1">IFERROR(__xludf.DUMMYFUNCTION("""COMPUTED_VALUE"""),78.3)</f>
        <v>78.3</v>
      </c>
      <c r="L1652" s="121"/>
      <c r="M1652" s="120">
        <f ca="1">IFERROR(__xludf.DUMMYFUNCTION("""COMPUTED_VALUE"""),74.9)</f>
        <v>74.900000000000006</v>
      </c>
      <c r="N1652" s="121"/>
      <c r="O1652" s="120">
        <f ca="1">IFERROR(__xludf.DUMMYFUNCTION("""COMPUTED_VALUE"""),77.3)</f>
        <v>77.3</v>
      </c>
      <c r="P1652" s="122"/>
      <c r="Q1652" s="123"/>
      <c r="R1652" s="123"/>
      <c r="S1652" s="123"/>
      <c r="T1652" s="123"/>
    </row>
    <row r="1653" spans="1:20" ht="13.8">
      <c r="A1653" s="118" t="str">
        <f ca="1">IFERROR(__xludf.DUMMYFUNCTION("""COMPUTED_VALUE"""),"RH")</f>
        <v>RH</v>
      </c>
      <c r="B1653" s="119" t="str">
        <f ca="1">IFERROR(__xludf.DUMMYFUNCTION("""COMPUTED_VALUE"""),"Jackson Waller")</f>
        <v>Jackson Waller</v>
      </c>
      <c r="C1653" s="118">
        <f ca="1">IFERROR(__xludf.DUMMYFUNCTION("""COMPUTED_VALUE"""),12)</f>
        <v>12</v>
      </c>
      <c r="D1653" s="118" t="str">
        <f ca="1">IFERROR(__xludf.DUMMYFUNCTION("""COMPUTED_VALUE"""),"B")</f>
        <v>B</v>
      </c>
      <c r="E1653" s="118" t="str">
        <f ca="1">IFERROR(__xludf.DUMMYFUNCTION("""COMPUTED_VALUE"""),"J")</f>
        <v>J</v>
      </c>
      <c r="F1653" s="118" t="str">
        <f ca="1">IFERROR(__xludf.DUMMYFUNCTION("""COMPUTED_VALUE"""),"I")</f>
        <v>I</v>
      </c>
      <c r="G1653" s="118">
        <f ca="1">IFERROR(__xludf.DUMMYFUNCTION("""COMPUTED_VALUE"""),2)</f>
        <v>2</v>
      </c>
      <c r="H1653" s="118" t="str">
        <f ca="1">IFERROR(__xludf.DUMMYFUNCTION("""COMPUTED_VALUE"""),"RH")</f>
        <v>RH</v>
      </c>
      <c r="I1653" s="118">
        <f ca="1">IFERROR(__xludf.DUMMYFUNCTION("""COMPUTED_VALUE"""),7)</f>
        <v>7</v>
      </c>
      <c r="J1653" s="118">
        <f ca="1">IFERROR(__xludf.DUMMYFUNCTION("""COMPUTED_VALUE"""),4)</f>
        <v>4</v>
      </c>
      <c r="K1653" s="120">
        <f ca="1">IFERROR(__xludf.DUMMYFUNCTION("""COMPUTED_VALUE"""),81.2)</f>
        <v>81.2</v>
      </c>
      <c r="L1653" s="121"/>
      <c r="M1653" s="120"/>
      <c r="N1653" s="121"/>
      <c r="O1653" s="120">
        <f ca="1">IFERROR(__xludf.DUMMYFUNCTION("""COMPUTED_VALUE"""),77.8)</f>
        <v>77.8</v>
      </c>
      <c r="P1653" s="122"/>
      <c r="Q1653" s="123"/>
      <c r="R1653" s="123"/>
      <c r="S1653" s="123"/>
      <c r="T1653" s="123"/>
    </row>
    <row r="1654" spans="1:20" ht="13.8">
      <c r="A1654" s="118" t="str">
        <f ca="1">IFERROR(__xludf.DUMMYFUNCTION("""COMPUTED_VALUE"""),"RH")</f>
        <v>RH</v>
      </c>
      <c r="B1654" s="119" t="str">
        <f ca="1">IFERROR(__xludf.DUMMYFUNCTION("""COMPUTED_VALUE"""),"Patrick Mulholland")</f>
        <v>Patrick Mulholland</v>
      </c>
      <c r="C1654" s="118">
        <f ca="1">IFERROR(__xludf.DUMMYFUNCTION("""COMPUTED_VALUE"""),12)</f>
        <v>12</v>
      </c>
      <c r="D1654" s="118" t="str">
        <f ca="1">IFERROR(__xludf.DUMMYFUNCTION("""COMPUTED_VALUE"""),"B")</f>
        <v>B</v>
      </c>
      <c r="E1654" s="118" t="str">
        <f ca="1">IFERROR(__xludf.DUMMYFUNCTION("""COMPUTED_VALUE"""),"J")</f>
        <v>J</v>
      </c>
      <c r="F1654" s="118" t="str">
        <f ca="1">IFERROR(__xludf.DUMMYFUNCTION("""COMPUTED_VALUE"""),"I")</f>
        <v>I</v>
      </c>
      <c r="G1654" s="118">
        <f ca="1">IFERROR(__xludf.DUMMYFUNCTION("""COMPUTED_VALUE"""),2)</f>
        <v>2</v>
      </c>
      <c r="H1654" s="118" t="str">
        <f ca="1">IFERROR(__xludf.DUMMYFUNCTION("""COMPUTED_VALUE"""),"RH")</f>
        <v>RH</v>
      </c>
      <c r="I1654" s="118">
        <f ca="1">IFERROR(__xludf.DUMMYFUNCTION("""COMPUTED_VALUE"""),7)</f>
        <v>7</v>
      </c>
      <c r="J1654" s="118">
        <f ca="1">IFERROR(__xludf.DUMMYFUNCTION("""COMPUTED_VALUE"""),0)</f>
        <v>0</v>
      </c>
      <c r="K1654" s="120"/>
      <c r="L1654" s="121"/>
      <c r="M1654" s="120"/>
      <c r="N1654" s="121"/>
      <c r="O1654" s="120"/>
      <c r="P1654" s="122"/>
      <c r="Q1654" s="123"/>
      <c r="R1654" s="123"/>
      <c r="S1654" s="123"/>
      <c r="T1654" s="123"/>
    </row>
    <row r="1655" spans="1:20" ht="13.8">
      <c r="A1655" s="118" t="str">
        <f ca="1">IFERROR(__xludf.DUMMYFUNCTION("""COMPUTED_VALUE"""),"RH")</f>
        <v>RH</v>
      </c>
      <c r="B1655" s="119" t="str">
        <f ca="1">IFERROR(__xludf.DUMMYFUNCTION("""COMPUTED_VALUE"""),"Zaid Raheem")</f>
        <v>Zaid Raheem</v>
      </c>
      <c r="C1655" s="118">
        <f ca="1">IFERROR(__xludf.DUMMYFUNCTION("""COMPUTED_VALUE"""),11)</f>
        <v>11</v>
      </c>
      <c r="D1655" s="118" t="str">
        <f ca="1">IFERROR(__xludf.DUMMYFUNCTION("""COMPUTED_VALUE"""),"B")</f>
        <v>B</v>
      </c>
      <c r="E1655" s="118" t="str">
        <f ca="1">IFERROR(__xludf.DUMMYFUNCTION("""COMPUTED_VALUE"""),"J")</f>
        <v>J</v>
      </c>
      <c r="F1655" s="118" t="str">
        <f ca="1">IFERROR(__xludf.DUMMYFUNCTION("""COMPUTED_VALUE"""),"I")</f>
        <v>I</v>
      </c>
      <c r="G1655" s="118">
        <f ca="1">IFERROR(__xludf.DUMMYFUNCTION("""COMPUTED_VALUE"""),2)</f>
        <v>2</v>
      </c>
      <c r="H1655" s="118" t="str">
        <f ca="1">IFERROR(__xludf.DUMMYFUNCTION("""COMPUTED_VALUE"""),"RH")</f>
        <v>RH</v>
      </c>
      <c r="I1655" s="118">
        <f ca="1">IFERROR(__xludf.DUMMYFUNCTION("""COMPUTED_VALUE"""),7)</f>
        <v>7</v>
      </c>
      <c r="J1655" s="118">
        <f ca="1">IFERROR(__xludf.DUMMYFUNCTION("""COMPUTED_VALUE"""),4)</f>
        <v>4</v>
      </c>
      <c r="K1655" s="120">
        <f ca="1">IFERROR(__xludf.DUMMYFUNCTION("""COMPUTED_VALUE"""),58.15)</f>
        <v>58.15</v>
      </c>
      <c r="L1655" s="121"/>
      <c r="M1655" s="120">
        <f ca="1">IFERROR(__xludf.DUMMYFUNCTION("""COMPUTED_VALUE"""),54.65)</f>
        <v>54.65</v>
      </c>
      <c r="N1655" s="121"/>
      <c r="O1655" s="120"/>
      <c r="P1655" s="122"/>
      <c r="Q1655" s="123"/>
      <c r="R1655" s="123"/>
      <c r="S1655" s="123"/>
      <c r="T1655" s="123"/>
    </row>
    <row r="1656" spans="1:20" ht="13.8">
      <c r="A1656" s="118" t="str">
        <f ca="1">IFERROR(__xludf.DUMMYFUNCTION("""COMPUTED_VALUE"""),"RH")</f>
        <v>RH</v>
      </c>
      <c r="B1656" s="119" t="str">
        <f ca="1">IFERROR(__xludf.DUMMYFUNCTION("""COMPUTED_VALUE"""),"Caroline Berry")</f>
        <v>Caroline Berry</v>
      </c>
      <c r="C1656" s="118">
        <f ca="1">IFERROR(__xludf.DUMMYFUNCTION("""COMPUTED_VALUE"""),13)</f>
        <v>13</v>
      </c>
      <c r="D1656" s="118" t="str">
        <f ca="1">IFERROR(__xludf.DUMMYFUNCTION("""COMPUTED_VALUE"""),"G")</f>
        <v>G</v>
      </c>
      <c r="E1656" s="118" t="str">
        <f ca="1">IFERROR(__xludf.DUMMYFUNCTION("""COMPUTED_VALUE"""),"I")</f>
        <v>I</v>
      </c>
      <c r="F1656" s="118" t="str">
        <f ca="1">IFERROR(__xludf.DUMMYFUNCTION("""COMPUTED_VALUE"""),"S")</f>
        <v>S</v>
      </c>
      <c r="G1656" s="118">
        <f ca="1">IFERROR(__xludf.DUMMYFUNCTION("""COMPUTED_VALUE"""),2)</f>
        <v>2</v>
      </c>
      <c r="H1656" s="118" t="str">
        <f ca="1">IFERROR(__xludf.DUMMYFUNCTION("""COMPUTED_VALUE"""),"RH")</f>
        <v>RH</v>
      </c>
      <c r="I1656" s="118">
        <f ca="1">IFERROR(__xludf.DUMMYFUNCTION("""COMPUTED_VALUE"""),8)</f>
        <v>8</v>
      </c>
      <c r="J1656" s="118">
        <f ca="1">IFERROR(__xludf.DUMMYFUNCTION("""COMPUTED_VALUE"""),3)</f>
        <v>3</v>
      </c>
      <c r="K1656" s="120">
        <f ca="1">IFERROR(__xludf.DUMMYFUNCTION("""COMPUTED_VALUE"""),100.25)</f>
        <v>100.25</v>
      </c>
      <c r="L1656" s="121"/>
      <c r="M1656" s="120">
        <f ca="1">IFERROR(__xludf.DUMMYFUNCTION("""COMPUTED_VALUE"""),90.05)</f>
        <v>90.05</v>
      </c>
      <c r="N1656" s="121"/>
      <c r="O1656" s="120">
        <f ca="1">IFERROR(__xludf.DUMMYFUNCTION("""COMPUTED_VALUE"""),96.8)</f>
        <v>96.8</v>
      </c>
      <c r="P1656" s="122"/>
      <c r="Q1656" s="123"/>
      <c r="R1656" s="123"/>
      <c r="S1656" s="123"/>
      <c r="T1656" s="123"/>
    </row>
    <row r="1657" spans="1:20" ht="13.8">
      <c r="A1657" s="118" t="str">
        <f ca="1">IFERROR(__xludf.DUMMYFUNCTION("""COMPUTED_VALUE"""),"RH")</f>
        <v>RH</v>
      </c>
      <c r="B1657" s="119" t="str">
        <f ca="1">IFERROR(__xludf.DUMMYFUNCTION("""COMPUTED_VALUE"""),"Edie Freeman")</f>
        <v>Edie Freeman</v>
      </c>
      <c r="C1657" s="118">
        <f ca="1">IFERROR(__xludf.DUMMYFUNCTION("""COMPUTED_VALUE"""),14)</f>
        <v>14</v>
      </c>
      <c r="D1657" s="118" t="str">
        <f ca="1">IFERROR(__xludf.DUMMYFUNCTION("""COMPUTED_VALUE"""),"G")</f>
        <v>G</v>
      </c>
      <c r="E1657" s="118" t="str">
        <f ca="1">IFERROR(__xludf.DUMMYFUNCTION("""COMPUTED_VALUE"""),"I")</f>
        <v>I</v>
      </c>
      <c r="F1657" s="118" t="str">
        <f ca="1">IFERROR(__xludf.DUMMYFUNCTION("""COMPUTED_VALUE"""),"S")</f>
        <v>S</v>
      </c>
      <c r="G1657" s="118">
        <f ca="1">IFERROR(__xludf.DUMMYFUNCTION("""COMPUTED_VALUE"""),2)</f>
        <v>2</v>
      </c>
      <c r="H1657" s="118" t="str">
        <f ca="1">IFERROR(__xludf.DUMMYFUNCTION("""COMPUTED_VALUE"""),"RH")</f>
        <v>RH</v>
      </c>
      <c r="I1657" s="118">
        <f ca="1">IFERROR(__xludf.DUMMYFUNCTION("""COMPUTED_VALUE"""),8)</f>
        <v>8</v>
      </c>
      <c r="J1657" s="118">
        <f ca="1">IFERROR(__xludf.DUMMYFUNCTION("""COMPUTED_VALUE"""),3)</f>
        <v>3</v>
      </c>
      <c r="K1657" s="120">
        <f ca="1">IFERROR(__xludf.DUMMYFUNCTION("""COMPUTED_VALUE"""),110.8)</f>
        <v>110.8</v>
      </c>
      <c r="L1657" s="121"/>
      <c r="M1657" s="120"/>
      <c r="N1657" s="121"/>
      <c r="O1657" s="120">
        <f ca="1">IFERROR(__xludf.DUMMYFUNCTION("""COMPUTED_VALUE"""),100.85)</f>
        <v>100.85</v>
      </c>
      <c r="P1657" s="122"/>
      <c r="Q1657" s="123"/>
      <c r="R1657" s="123"/>
      <c r="S1657" s="123"/>
      <c r="T1657" s="123"/>
    </row>
    <row r="1658" spans="1:20" ht="13.8">
      <c r="A1658" s="118" t="str">
        <f ca="1">IFERROR(__xludf.DUMMYFUNCTION("""COMPUTED_VALUE"""),"RH")</f>
        <v>RH</v>
      </c>
      <c r="B1658" s="119" t="str">
        <f ca="1">IFERROR(__xludf.DUMMYFUNCTION("""COMPUTED_VALUE"""),"Hannah Shriber")</f>
        <v>Hannah Shriber</v>
      </c>
      <c r="C1658" s="118">
        <f ca="1">IFERROR(__xludf.DUMMYFUNCTION("""COMPUTED_VALUE"""),13)</f>
        <v>13</v>
      </c>
      <c r="D1658" s="118" t="str">
        <f ca="1">IFERROR(__xludf.DUMMYFUNCTION("""COMPUTED_VALUE"""),"G")</f>
        <v>G</v>
      </c>
      <c r="E1658" s="118" t="str">
        <f ca="1">IFERROR(__xludf.DUMMYFUNCTION("""COMPUTED_VALUE"""),"I")</f>
        <v>I</v>
      </c>
      <c r="F1658" s="118" t="str">
        <f ca="1">IFERROR(__xludf.DUMMYFUNCTION("""COMPUTED_VALUE"""),"S")</f>
        <v>S</v>
      </c>
      <c r="G1658" s="118">
        <f ca="1">IFERROR(__xludf.DUMMYFUNCTION("""COMPUTED_VALUE"""),2)</f>
        <v>2</v>
      </c>
      <c r="H1658" s="118" t="str">
        <f ca="1">IFERROR(__xludf.DUMMYFUNCTION("""COMPUTED_VALUE"""),"RH")</f>
        <v>RH</v>
      </c>
      <c r="I1658" s="118">
        <f ca="1">IFERROR(__xludf.DUMMYFUNCTION("""COMPUTED_VALUE"""),8)</f>
        <v>8</v>
      </c>
      <c r="J1658" s="118">
        <f ca="1">IFERROR(__xludf.DUMMYFUNCTION("""COMPUTED_VALUE"""),5)</f>
        <v>5</v>
      </c>
      <c r="K1658" s="120">
        <f ca="1">IFERROR(__xludf.DUMMYFUNCTION("""COMPUTED_VALUE"""),78.75)</f>
        <v>78.75</v>
      </c>
      <c r="L1658" s="121"/>
      <c r="M1658" s="120">
        <f ca="1">IFERROR(__xludf.DUMMYFUNCTION("""COMPUTED_VALUE"""),64.2)</f>
        <v>64.2</v>
      </c>
      <c r="N1658" s="121"/>
      <c r="O1658" s="120">
        <f ca="1">IFERROR(__xludf.DUMMYFUNCTION("""COMPUTED_VALUE"""),64.85)</f>
        <v>64.849999999999994</v>
      </c>
      <c r="P1658" s="122"/>
      <c r="Q1658" s="123"/>
      <c r="R1658" s="123"/>
      <c r="S1658" s="123"/>
      <c r="T1658" s="123"/>
    </row>
    <row r="1659" spans="1:20" ht="13.8">
      <c r="A1659" s="118" t="str">
        <f ca="1">IFERROR(__xludf.DUMMYFUNCTION("""COMPUTED_VALUE"""),"RH")</f>
        <v>RH</v>
      </c>
      <c r="B1659" s="119" t="str">
        <f ca="1">IFERROR(__xludf.DUMMYFUNCTION("""COMPUTED_VALUE"""),"Maggie Donnelly")</f>
        <v>Maggie Donnelly</v>
      </c>
      <c r="C1659" s="118">
        <f ca="1">IFERROR(__xludf.DUMMYFUNCTION("""COMPUTED_VALUE"""),13)</f>
        <v>13</v>
      </c>
      <c r="D1659" s="118" t="str">
        <f ca="1">IFERROR(__xludf.DUMMYFUNCTION("""COMPUTED_VALUE"""),"G")</f>
        <v>G</v>
      </c>
      <c r="E1659" s="118" t="str">
        <f ca="1">IFERROR(__xludf.DUMMYFUNCTION("""COMPUTED_VALUE"""),"I")</f>
        <v>I</v>
      </c>
      <c r="F1659" s="118" t="str">
        <f ca="1">IFERROR(__xludf.DUMMYFUNCTION("""COMPUTED_VALUE"""),"S")</f>
        <v>S</v>
      </c>
      <c r="G1659" s="118">
        <f ca="1">IFERROR(__xludf.DUMMYFUNCTION("""COMPUTED_VALUE"""),2)</f>
        <v>2</v>
      </c>
      <c r="H1659" s="118" t="str">
        <f ca="1">IFERROR(__xludf.DUMMYFUNCTION("""COMPUTED_VALUE"""),"RH")</f>
        <v>RH</v>
      </c>
      <c r="I1659" s="118">
        <f ca="1">IFERROR(__xludf.DUMMYFUNCTION("""COMPUTED_VALUE"""),8)</f>
        <v>8</v>
      </c>
      <c r="J1659" s="118">
        <f ca="1">IFERROR(__xludf.DUMMYFUNCTION("""COMPUTED_VALUE"""),1)</f>
        <v>1</v>
      </c>
      <c r="K1659" s="120"/>
      <c r="L1659" s="121"/>
      <c r="M1659" s="120"/>
      <c r="N1659" s="121"/>
      <c r="O1659" s="120"/>
      <c r="P1659" s="122"/>
      <c r="Q1659" s="123"/>
      <c r="R1659" s="123"/>
      <c r="S1659" s="123"/>
      <c r="T1659" s="123"/>
    </row>
    <row r="1660" spans="1:20" ht="13.8">
      <c r="A1660" s="118" t="str">
        <f ca="1">IFERROR(__xludf.DUMMYFUNCTION("""COMPUTED_VALUE"""),"RH")</f>
        <v>RH</v>
      </c>
      <c r="B1660" s="119" t="str">
        <f ca="1">IFERROR(__xludf.DUMMYFUNCTION("""COMPUTED_VALUE"""),"Cade Nelson")</f>
        <v>Cade Nelson</v>
      </c>
      <c r="C1660" s="118">
        <f ca="1">IFERROR(__xludf.DUMMYFUNCTION("""COMPUTED_VALUE"""),14)</f>
        <v>14</v>
      </c>
      <c r="D1660" s="118" t="str">
        <f ca="1">IFERROR(__xludf.DUMMYFUNCTION("""COMPUTED_VALUE"""),"B")</f>
        <v>B</v>
      </c>
      <c r="E1660" s="118" t="str">
        <f ca="1">IFERROR(__xludf.DUMMYFUNCTION("""COMPUTED_VALUE"""),"I")</f>
        <v>I</v>
      </c>
      <c r="F1660" s="118" t="str">
        <f ca="1">IFERROR(__xludf.DUMMYFUNCTION("""COMPUTED_VALUE"""),"S")</f>
        <v>S</v>
      </c>
      <c r="G1660" s="118">
        <f ca="1">IFERROR(__xludf.DUMMYFUNCTION("""COMPUTED_VALUE"""),2)</f>
        <v>2</v>
      </c>
      <c r="H1660" s="118" t="str">
        <f ca="1">IFERROR(__xludf.DUMMYFUNCTION("""COMPUTED_VALUE"""),"RH")</f>
        <v>RH</v>
      </c>
      <c r="I1660" s="118">
        <f ca="1">IFERROR(__xludf.DUMMYFUNCTION("""COMPUTED_VALUE"""),9)</f>
        <v>9</v>
      </c>
      <c r="J1660" s="118">
        <f ca="1">IFERROR(__xludf.DUMMYFUNCTION("""COMPUTED_VALUE"""),3)</f>
        <v>3</v>
      </c>
      <c r="K1660" s="120">
        <f ca="1">IFERROR(__xludf.DUMMYFUNCTION("""COMPUTED_VALUE"""),98)</f>
        <v>98</v>
      </c>
      <c r="L1660" s="121"/>
      <c r="M1660" s="120">
        <f ca="1">IFERROR(__xludf.DUMMYFUNCTION("""COMPUTED_VALUE"""),84.5)</f>
        <v>84.5</v>
      </c>
      <c r="N1660" s="121"/>
      <c r="O1660" s="120">
        <f ca="1">IFERROR(__xludf.DUMMYFUNCTION("""COMPUTED_VALUE"""),66.1)</f>
        <v>66.099999999999994</v>
      </c>
      <c r="P1660" s="122"/>
      <c r="Q1660" s="123"/>
      <c r="R1660" s="123"/>
      <c r="S1660" s="123"/>
      <c r="T1660" s="123"/>
    </row>
    <row r="1661" spans="1:20" ht="13.8">
      <c r="A1661" s="118" t="str">
        <f ca="1">IFERROR(__xludf.DUMMYFUNCTION("""COMPUTED_VALUE"""),"RH")</f>
        <v>RH</v>
      </c>
      <c r="B1661" s="119" t="str">
        <f ca="1">IFERROR(__xludf.DUMMYFUNCTION("""COMPUTED_VALUE"""),"Gabe Newtson")</f>
        <v>Gabe Newtson</v>
      </c>
      <c r="C1661" s="118">
        <f ca="1">IFERROR(__xludf.DUMMYFUNCTION("""COMPUTED_VALUE"""),13)</f>
        <v>13</v>
      </c>
      <c r="D1661" s="118" t="str">
        <f ca="1">IFERROR(__xludf.DUMMYFUNCTION("""COMPUTED_VALUE"""),"B")</f>
        <v>B</v>
      </c>
      <c r="E1661" s="118" t="str">
        <f ca="1">IFERROR(__xludf.DUMMYFUNCTION("""COMPUTED_VALUE"""),"I")</f>
        <v>I</v>
      </c>
      <c r="F1661" s="118" t="str">
        <f ca="1">IFERROR(__xludf.DUMMYFUNCTION("""COMPUTED_VALUE"""),"S")</f>
        <v>S</v>
      </c>
      <c r="G1661" s="118">
        <f ca="1">IFERROR(__xludf.DUMMYFUNCTION("""COMPUTED_VALUE"""),2)</f>
        <v>2</v>
      </c>
      <c r="H1661" s="118" t="str">
        <f ca="1">IFERROR(__xludf.DUMMYFUNCTION("""COMPUTED_VALUE"""),"RH")</f>
        <v>RH</v>
      </c>
      <c r="I1661" s="118">
        <f ca="1">IFERROR(__xludf.DUMMYFUNCTION("""COMPUTED_VALUE"""),9)</f>
        <v>9</v>
      </c>
      <c r="J1661" s="118">
        <f ca="1">IFERROR(__xludf.DUMMYFUNCTION("""COMPUTED_VALUE"""),5)</f>
        <v>5</v>
      </c>
      <c r="K1661" s="120">
        <f ca="1">IFERROR(__xludf.DUMMYFUNCTION("""COMPUTED_VALUE"""),136.55)</f>
        <v>136.55000000000001</v>
      </c>
      <c r="L1661" s="121"/>
      <c r="M1661" s="120">
        <f ca="1">IFERROR(__xludf.DUMMYFUNCTION("""COMPUTED_VALUE"""),125.9)</f>
        <v>125.9</v>
      </c>
      <c r="N1661" s="121"/>
      <c r="O1661" s="120">
        <f ca="1">IFERROR(__xludf.DUMMYFUNCTION("""COMPUTED_VALUE"""),123.05)</f>
        <v>123.05</v>
      </c>
      <c r="P1661" s="122"/>
      <c r="Q1661" s="123"/>
      <c r="R1661" s="123"/>
      <c r="S1661" s="123"/>
      <c r="T1661" s="123"/>
    </row>
    <row r="1662" spans="1:20" ht="13.8">
      <c r="A1662" s="118" t="str">
        <f ca="1">IFERROR(__xludf.DUMMYFUNCTION("""COMPUTED_VALUE"""),"RH")</f>
        <v>RH</v>
      </c>
      <c r="B1662" s="119" t="str">
        <f ca="1">IFERROR(__xludf.DUMMYFUNCTION("""COMPUTED_VALUE"""),"Griffin Wagner")</f>
        <v>Griffin Wagner</v>
      </c>
      <c r="C1662" s="118">
        <f ca="1">IFERROR(__xludf.DUMMYFUNCTION("""COMPUTED_VALUE"""),14)</f>
        <v>14</v>
      </c>
      <c r="D1662" s="118" t="str">
        <f ca="1">IFERROR(__xludf.DUMMYFUNCTION("""COMPUTED_VALUE"""),"B")</f>
        <v>B</v>
      </c>
      <c r="E1662" s="118" t="str">
        <f ca="1">IFERROR(__xludf.DUMMYFUNCTION("""COMPUTED_VALUE"""),"I")</f>
        <v>I</v>
      </c>
      <c r="F1662" s="118" t="str">
        <f ca="1">IFERROR(__xludf.DUMMYFUNCTION("""COMPUTED_VALUE"""),"S")</f>
        <v>S</v>
      </c>
      <c r="G1662" s="118">
        <f ca="1">IFERROR(__xludf.DUMMYFUNCTION("""COMPUTED_VALUE"""),2)</f>
        <v>2</v>
      </c>
      <c r="H1662" s="118" t="str">
        <f ca="1">IFERROR(__xludf.DUMMYFUNCTION("""COMPUTED_VALUE"""),"RH")</f>
        <v>RH</v>
      </c>
      <c r="I1662" s="118">
        <f ca="1">IFERROR(__xludf.DUMMYFUNCTION("""COMPUTED_VALUE"""),9)</f>
        <v>9</v>
      </c>
      <c r="J1662" s="118">
        <f ca="1">IFERROR(__xludf.DUMMYFUNCTION("""COMPUTED_VALUE"""),4)</f>
        <v>4</v>
      </c>
      <c r="K1662" s="120">
        <f ca="1">IFERROR(__xludf.DUMMYFUNCTION("""COMPUTED_VALUE"""),124.7)</f>
        <v>124.7</v>
      </c>
      <c r="L1662" s="121"/>
      <c r="M1662" s="120"/>
      <c r="N1662" s="121"/>
      <c r="O1662" s="120">
        <f ca="1">IFERROR(__xludf.DUMMYFUNCTION("""COMPUTED_VALUE"""),-143.95)</f>
        <v>-143.94999999999999</v>
      </c>
      <c r="P1662" s="122"/>
      <c r="Q1662" s="123"/>
      <c r="R1662" s="123"/>
      <c r="S1662" s="123"/>
      <c r="T1662" s="123"/>
    </row>
    <row r="1663" spans="1:20" ht="13.8">
      <c r="A1663" s="118" t="str">
        <f ca="1">IFERROR(__xludf.DUMMYFUNCTION("""COMPUTED_VALUE"""),"RH")</f>
        <v>RH</v>
      </c>
      <c r="B1663" s="119" t="str">
        <f ca="1">IFERROR(__xludf.DUMMYFUNCTION("""COMPUTED_VALUE"""),"Hudson Lynch")</f>
        <v>Hudson Lynch</v>
      </c>
      <c r="C1663" s="118">
        <f ca="1">IFERROR(__xludf.DUMMYFUNCTION("""COMPUTED_VALUE"""),13)</f>
        <v>13</v>
      </c>
      <c r="D1663" s="118" t="str">
        <f ca="1">IFERROR(__xludf.DUMMYFUNCTION("""COMPUTED_VALUE"""),"B")</f>
        <v>B</v>
      </c>
      <c r="E1663" s="118" t="str">
        <f ca="1">IFERROR(__xludf.DUMMYFUNCTION("""COMPUTED_VALUE"""),"I")</f>
        <v>I</v>
      </c>
      <c r="F1663" s="118" t="str">
        <f ca="1">IFERROR(__xludf.DUMMYFUNCTION("""COMPUTED_VALUE"""),"S")</f>
        <v>S</v>
      </c>
      <c r="G1663" s="118">
        <f ca="1">IFERROR(__xludf.DUMMYFUNCTION("""COMPUTED_VALUE"""),2)</f>
        <v>2</v>
      </c>
      <c r="H1663" s="118" t="str">
        <f ca="1">IFERROR(__xludf.DUMMYFUNCTION("""COMPUTED_VALUE"""),"RH")</f>
        <v>RH</v>
      </c>
      <c r="I1663" s="118">
        <f ca="1">IFERROR(__xludf.DUMMYFUNCTION("""COMPUTED_VALUE"""),9)</f>
        <v>9</v>
      </c>
      <c r="J1663" s="118">
        <f ca="1">IFERROR(__xludf.DUMMYFUNCTION("""COMPUTED_VALUE"""),5)</f>
        <v>5</v>
      </c>
      <c r="K1663" s="120">
        <f ca="1">IFERROR(__xludf.DUMMYFUNCTION("""COMPUTED_VALUE"""),110.45)</f>
        <v>110.45</v>
      </c>
      <c r="L1663" s="121"/>
      <c r="M1663" s="120">
        <f ca="1">IFERROR(__xludf.DUMMYFUNCTION("""COMPUTED_VALUE"""),107.75)</f>
        <v>107.75</v>
      </c>
      <c r="N1663" s="121"/>
      <c r="O1663" s="120">
        <f ca="1">IFERROR(__xludf.DUMMYFUNCTION("""COMPUTED_VALUE"""),110.45)</f>
        <v>110.45</v>
      </c>
      <c r="P1663" s="122"/>
      <c r="Q1663" s="123"/>
      <c r="R1663" s="123"/>
      <c r="S1663" s="123"/>
      <c r="T1663" s="123"/>
    </row>
    <row r="1664" spans="1:20" ht="13.8">
      <c r="A1664" s="118" t="str">
        <f ca="1">IFERROR(__xludf.DUMMYFUNCTION("""COMPUTED_VALUE"""),"RH")</f>
        <v>RH</v>
      </c>
      <c r="B1664" s="119" t="str">
        <f ca="1">IFERROR(__xludf.DUMMYFUNCTION("""COMPUTED_VALUE"""),"Jacob Hurt")</f>
        <v>Jacob Hurt</v>
      </c>
      <c r="C1664" s="118">
        <f ca="1">IFERROR(__xludf.DUMMYFUNCTION("""COMPUTED_VALUE"""),13)</f>
        <v>13</v>
      </c>
      <c r="D1664" s="118" t="str">
        <f ca="1">IFERROR(__xludf.DUMMYFUNCTION("""COMPUTED_VALUE"""),"B")</f>
        <v>B</v>
      </c>
      <c r="E1664" s="118" t="str">
        <f ca="1">IFERROR(__xludf.DUMMYFUNCTION("""COMPUTED_VALUE"""),"I")</f>
        <v>I</v>
      </c>
      <c r="F1664" s="118" t="str">
        <f ca="1">IFERROR(__xludf.DUMMYFUNCTION("""COMPUTED_VALUE"""),"S")</f>
        <v>S</v>
      </c>
      <c r="G1664" s="118">
        <f ca="1">IFERROR(__xludf.DUMMYFUNCTION("""COMPUTED_VALUE"""),2)</f>
        <v>2</v>
      </c>
      <c r="H1664" s="118" t="str">
        <f ca="1">IFERROR(__xludf.DUMMYFUNCTION("""COMPUTED_VALUE"""),"RH")</f>
        <v>RH</v>
      </c>
      <c r="I1664" s="118">
        <f ca="1">IFERROR(__xludf.DUMMYFUNCTION("""COMPUTED_VALUE"""),9)</f>
        <v>9</v>
      </c>
      <c r="J1664" s="118">
        <f ca="1">IFERROR(__xludf.DUMMYFUNCTION("""COMPUTED_VALUE"""),5)</f>
        <v>5</v>
      </c>
      <c r="K1664" s="120">
        <f ca="1">IFERROR(__xludf.DUMMYFUNCTION("""COMPUTED_VALUE"""),99.6)</f>
        <v>99.6</v>
      </c>
      <c r="L1664" s="121"/>
      <c r="M1664" s="120">
        <f ca="1">IFERROR(__xludf.DUMMYFUNCTION("""COMPUTED_VALUE"""),97.75)</f>
        <v>97.75</v>
      </c>
      <c r="N1664" s="121"/>
      <c r="O1664" s="120">
        <f ca="1">IFERROR(__xludf.DUMMYFUNCTION("""COMPUTED_VALUE"""),94.45)</f>
        <v>94.45</v>
      </c>
      <c r="P1664" s="122"/>
      <c r="Q1664" s="123"/>
      <c r="R1664" s="123"/>
      <c r="S1664" s="123"/>
      <c r="T1664" s="123"/>
    </row>
    <row r="1665" spans="1:20" ht="13.8">
      <c r="A1665" s="118" t="str">
        <f ca="1">IFERROR(__xludf.DUMMYFUNCTION("""COMPUTED_VALUE"""),"RH")</f>
        <v>RH</v>
      </c>
      <c r="B1665" s="119" t="str">
        <f ca="1">IFERROR(__xludf.DUMMYFUNCTION("""COMPUTED_VALUE"""),"Oliver Matthews")</f>
        <v>Oliver Matthews</v>
      </c>
      <c r="C1665" s="118">
        <f ca="1">IFERROR(__xludf.DUMMYFUNCTION("""COMPUTED_VALUE"""),13)</f>
        <v>13</v>
      </c>
      <c r="D1665" s="118" t="str">
        <f ca="1">IFERROR(__xludf.DUMMYFUNCTION("""COMPUTED_VALUE"""),"B")</f>
        <v>B</v>
      </c>
      <c r="E1665" s="118" t="str">
        <f ca="1">IFERROR(__xludf.DUMMYFUNCTION("""COMPUTED_VALUE"""),"I")</f>
        <v>I</v>
      </c>
      <c r="F1665" s="118" t="str">
        <f ca="1">IFERROR(__xludf.DUMMYFUNCTION("""COMPUTED_VALUE"""),"S")</f>
        <v>S</v>
      </c>
      <c r="G1665" s="118">
        <f ca="1">IFERROR(__xludf.DUMMYFUNCTION("""COMPUTED_VALUE"""),2)</f>
        <v>2</v>
      </c>
      <c r="H1665" s="118" t="str">
        <f ca="1">IFERROR(__xludf.DUMMYFUNCTION("""COMPUTED_VALUE"""),"RH")</f>
        <v>RH</v>
      </c>
      <c r="I1665" s="118">
        <f ca="1">IFERROR(__xludf.DUMMYFUNCTION("""COMPUTED_VALUE"""),9)</f>
        <v>9</v>
      </c>
      <c r="J1665" s="118">
        <f ca="1">IFERROR(__xludf.DUMMYFUNCTION("""COMPUTED_VALUE"""),0)</f>
        <v>0</v>
      </c>
      <c r="K1665" s="120"/>
      <c r="L1665" s="121"/>
      <c r="M1665" s="120"/>
      <c r="N1665" s="121"/>
      <c r="O1665" s="120"/>
      <c r="P1665" s="122"/>
      <c r="Q1665" s="123"/>
      <c r="R1665" s="123"/>
      <c r="S1665" s="123"/>
      <c r="T1665" s="123"/>
    </row>
    <row r="1666" spans="1:20" ht="13.8">
      <c r="A1666" s="118" t="str">
        <f ca="1">IFERROR(__xludf.DUMMYFUNCTION("""COMPUTED_VALUE"""),"RH")</f>
        <v>RH</v>
      </c>
      <c r="B1666" s="119" t="str">
        <f ca="1">IFERROR(__xludf.DUMMYFUNCTION("""COMPUTED_VALUE"""),"Owen Schulz")</f>
        <v>Owen Schulz</v>
      </c>
      <c r="C1666" s="118">
        <f ca="1">IFERROR(__xludf.DUMMYFUNCTION("""COMPUTED_VALUE"""),13)</f>
        <v>13</v>
      </c>
      <c r="D1666" s="118" t="str">
        <f ca="1">IFERROR(__xludf.DUMMYFUNCTION("""COMPUTED_VALUE"""),"B")</f>
        <v>B</v>
      </c>
      <c r="E1666" s="118" t="str">
        <f ca="1">IFERROR(__xludf.DUMMYFUNCTION("""COMPUTED_VALUE"""),"I")</f>
        <v>I</v>
      </c>
      <c r="F1666" s="118" t="str">
        <f ca="1">IFERROR(__xludf.DUMMYFUNCTION("""COMPUTED_VALUE"""),"S")</f>
        <v>S</v>
      </c>
      <c r="G1666" s="118">
        <f ca="1">IFERROR(__xludf.DUMMYFUNCTION("""COMPUTED_VALUE"""),2)</f>
        <v>2</v>
      </c>
      <c r="H1666" s="118" t="str">
        <f ca="1">IFERROR(__xludf.DUMMYFUNCTION("""COMPUTED_VALUE"""),"RH")</f>
        <v>RH</v>
      </c>
      <c r="I1666" s="118">
        <f ca="1">IFERROR(__xludf.DUMMYFUNCTION("""COMPUTED_VALUE"""),9)</f>
        <v>9</v>
      </c>
      <c r="J1666" s="118">
        <f ca="1">IFERROR(__xludf.DUMMYFUNCTION("""COMPUTED_VALUE"""),1)</f>
        <v>1</v>
      </c>
      <c r="K1666" s="120"/>
      <c r="L1666" s="121"/>
      <c r="M1666" s="120"/>
      <c r="N1666" s="121"/>
      <c r="O1666" s="120"/>
      <c r="P1666" s="122"/>
      <c r="Q1666" s="123"/>
      <c r="R1666" s="123"/>
      <c r="S1666" s="123"/>
      <c r="T1666" s="123"/>
    </row>
    <row r="1667" spans="1:20" ht="13.8">
      <c r="A1667" s="118" t="str">
        <f ca="1">IFERROR(__xludf.DUMMYFUNCTION("""COMPUTED_VALUE"""),"RH")</f>
        <v>RH</v>
      </c>
      <c r="B1667" s="119" t="str">
        <f ca="1">IFERROR(__xludf.DUMMYFUNCTION("""COMPUTED_VALUE"""),"Rob Freeman")</f>
        <v>Rob Freeman</v>
      </c>
      <c r="C1667" s="118">
        <f ca="1">IFERROR(__xludf.DUMMYFUNCTION("""COMPUTED_VALUE"""),14)</f>
        <v>14</v>
      </c>
      <c r="D1667" s="118" t="str">
        <f ca="1">IFERROR(__xludf.DUMMYFUNCTION("""COMPUTED_VALUE"""),"B")</f>
        <v>B</v>
      </c>
      <c r="E1667" s="118" t="str">
        <f ca="1">IFERROR(__xludf.DUMMYFUNCTION("""COMPUTED_VALUE"""),"I")</f>
        <v>I</v>
      </c>
      <c r="F1667" s="118" t="str">
        <f ca="1">IFERROR(__xludf.DUMMYFUNCTION("""COMPUTED_VALUE"""),"S")</f>
        <v>S</v>
      </c>
      <c r="G1667" s="118">
        <f ca="1">IFERROR(__xludf.DUMMYFUNCTION("""COMPUTED_VALUE"""),2)</f>
        <v>2</v>
      </c>
      <c r="H1667" s="118" t="str">
        <f ca="1">IFERROR(__xludf.DUMMYFUNCTION("""COMPUTED_VALUE"""),"RH")</f>
        <v>RH</v>
      </c>
      <c r="I1667" s="118">
        <f ca="1">IFERROR(__xludf.DUMMYFUNCTION("""COMPUTED_VALUE"""),9)</f>
        <v>9</v>
      </c>
      <c r="J1667" s="118">
        <f ca="1">IFERROR(__xludf.DUMMYFUNCTION("""COMPUTED_VALUE"""),4)</f>
        <v>4</v>
      </c>
      <c r="K1667" s="120">
        <f ca="1">IFERROR(__xludf.DUMMYFUNCTION("""COMPUTED_VALUE"""),-112.3)</f>
        <v>-112.3</v>
      </c>
      <c r="L1667" s="121"/>
      <c r="M1667" s="120">
        <f ca="1">IFERROR(__xludf.DUMMYFUNCTION("""COMPUTED_VALUE"""),-112.3)</f>
        <v>-112.3</v>
      </c>
      <c r="N1667" s="121"/>
      <c r="O1667" s="120">
        <f ca="1">IFERROR(__xludf.DUMMYFUNCTION("""COMPUTED_VALUE"""),-124.4)</f>
        <v>-124.4</v>
      </c>
      <c r="P1667" s="122"/>
      <c r="Q1667" s="123"/>
      <c r="R1667" s="123"/>
      <c r="S1667" s="123"/>
      <c r="T1667" s="123"/>
    </row>
    <row r="1668" spans="1:20" ht="13.8">
      <c r="A1668" s="118" t="str">
        <f ca="1">IFERROR(__xludf.DUMMYFUNCTION("""COMPUTED_VALUE"""),"RH")</f>
        <v>RH</v>
      </c>
      <c r="B1668" s="119" t="str">
        <f ca="1">IFERROR(__xludf.DUMMYFUNCTION("""COMPUTED_VALUE"""),"Anna Blauser")</f>
        <v>Anna Blauser</v>
      </c>
      <c r="C1668" s="118">
        <f ca="1">IFERROR(__xludf.DUMMYFUNCTION("""COMPUTED_VALUE"""),15)</f>
        <v>15</v>
      </c>
      <c r="D1668" s="118" t="str">
        <f ca="1">IFERROR(__xludf.DUMMYFUNCTION("""COMPUTED_VALUE"""),"G")</f>
        <v>G</v>
      </c>
      <c r="E1668" s="118" t="str">
        <f ca="1">IFERROR(__xludf.DUMMYFUNCTION("""COMPUTED_VALUE"""),"S")</f>
        <v>S</v>
      </c>
      <c r="F1668" s="118" t="str">
        <f ca="1">IFERROR(__xludf.DUMMYFUNCTION("""COMPUTED_VALUE"""),"S")</f>
        <v>S</v>
      </c>
      <c r="G1668" s="118">
        <f ca="1">IFERROR(__xludf.DUMMYFUNCTION("""COMPUTED_VALUE"""),2)</f>
        <v>2</v>
      </c>
      <c r="H1668" s="118" t="str">
        <f ca="1">IFERROR(__xludf.DUMMYFUNCTION("""COMPUTED_VALUE"""),"RH")</f>
        <v>RH</v>
      </c>
      <c r="I1668" s="118">
        <f ca="1">IFERROR(__xludf.DUMMYFUNCTION("""COMPUTED_VALUE"""),10)</f>
        <v>10</v>
      </c>
      <c r="J1668" s="118">
        <f ca="1">IFERROR(__xludf.DUMMYFUNCTION("""COMPUTED_VALUE"""),2)</f>
        <v>2</v>
      </c>
      <c r="K1668" s="120">
        <f ca="1">IFERROR(__xludf.DUMMYFUNCTION("""COMPUTED_VALUE"""),102.15)</f>
        <v>102.15</v>
      </c>
      <c r="L1668" s="121"/>
      <c r="M1668" s="120"/>
      <c r="N1668" s="121"/>
      <c r="O1668" s="120"/>
      <c r="P1668" s="122"/>
      <c r="Q1668" s="123"/>
      <c r="R1668" s="123"/>
      <c r="S1668" s="123"/>
      <c r="T1668" s="123"/>
    </row>
    <row r="1669" spans="1:20" ht="13.8">
      <c r="A1669" s="118" t="str">
        <f ca="1">IFERROR(__xludf.DUMMYFUNCTION("""COMPUTED_VALUE"""),"RH")</f>
        <v>RH</v>
      </c>
      <c r="B1669" s="119" t="str">
        <f ca="1">IFERROR(__xludf.DUMMYFUNCTION("""COMPUTED_VALUE"""),"Caitlyn Delaney")</f>
        <v>Caitlyn Delaney</v>
      </c>
      <c r="C1669" s="118">
        <f ca="1">IFERROR(__xludf.DUMMYFUNCTION("""COMPUTED_VALUE"""),16)</f>
        <v>16</v>
      </c>
      <c r="D1669" s="118" t="str">
        <f ca="1">IFERROR(__xludf.DUMMYFUNCTION("""COMPUTED_VALUE"""),"G")</f>
        <v>G</v>
      </c>
      <c r="E1669" s="118" t="str">
        <f ca="1">IFERROR(__xludf.DUMMYFUNCTION("""COMPUTED_VALUE"""),"S")</f>
        <v>S</v>
      </c>
      <c r="F1669" s="118" t="str">
        <f ca="1">IFERROR(__xludf.DUMMYFUNCTION("""COMPUTED_VALUE"""),"S")</f>
        <v>S</v>
      </c>
      <c r="G1669" s="118">
        <f ca="1">IFERROR(__xludf.DUMMYFUNCTION("""COMPUTED_VALUE"""),2)</f>
        <v>2</v>
      </c>
      <c r="H1669" s="118" t="str">
        <f ca="1">IFERROR(__xludf.DUMMYFUNCTION("""COMPUTED_VALUE"""),"RH")</f>
        <v>RH</v>
      </c>
      <c r="I1669" s="118">
        <f ca="1">IFERROR(__xludf.DUMMYFUNCTION("""COMPUTED_VALUE"""),10)</f>
        <v>10</v>
      </c>
      <c r="J1669" s="118">
        <f ca="1">IFERROR(__xludf.DUMMYFUNCTION("""COMPUTED_VALUE"""),2)</f>
        <v>2</v>
      </c>
      <c r="K1669" s="120">
        <f ca="1">IFERROR(__xludf.DUMMYFUNCTION("""COMPUTED_VALUE"""),86.4)</f>
        <v>86.4</v>
      </c>
      <c r="L1669" s="121"/>
      <c r="M1669" s="120">
        <f ca="1">IFERROR(__xludf.DUMMYFUNCTION("""COMPUTED_VALUE"""),86.4)</f>
        <v>86.4</v>
      </c>
      <c r="N1669" s="121"/>
      <c r="O1669" s="120"/>
      <c r="P1669" s="122"/>
      <c r="Q1669" s="123"/>
      <c r="R1669" s="123"/>
      <c r="S1669" s="123"/>
      <c r="T1669" s="123"/>
    </row>
    <row r="1670" spans="1:20" ht="13.8">
      <c r="A1670" s="118" t="str">
        <f ca="1">IFERROR(__xludf.DUMMYFUNCTION("""COMPUTED_VALUE"""),"RH")</f>
        <v>RH</v>
      </c>
      <c r="B1670" s="119" t="str">
        <f ca="1">IFERROR(__xludf.DUMMYFUNCTION("""COMPUTED_VALUE"""),"Natalia Sayasithsena")</f>
        <v>Natalia Sayasithsena</v>
      </c>
      <c r="C1670" s="118">
        <f ca="1">IFERROR(__xludf.DUMMYFUNCTION("""COMPUTED_VALUE"""),16)</f>
        <v>16</v>
      </c>
      <c r="D1670" s="118" t="str">
        <f ca="1">IFERROR(__xludf.DUMMYFUNCTION("""COMPUTED_VALUE"""),"G")</f>
        <v>G</v>
      </c>
      <c r="E1670" s="118" t="str">
        <f ca="1">IFERROR(__xludf.DUMMYFUNCTION("""COMPUTED_VALUE"""),"S")</f>
        <v>S</v>
      </c>
      <c r="F1670" s="118" t="str">
        <f ca="1">IFERROR(__xludf.DUMMYFUNCTION("""COMPUTED_VALUE"""),"S")</f>
        <v>S</v>
      </c>
      <c r="G1670" s="118">
        <f ca="1">IFERROR(__xludf.DUMMYFUNCTION("""COMPUTED_VALUE"""),2)</f>
        <v>2</v>
      </c>
      <c r="H1670" s="118" t="str">
        <f ca="1">IFERROR(__xludf.DUMMYFUNCTION("""COMPUTED_VALUE"""),"RH")</f>
        <v>RH</v>
      </c>
      <c r="I1670" s="118">
        <f ca="1">IFERROR(__xludf.DUMMYFUNCTION("""COMPUTED_VALUE"""),10)</f>
        <v>10</v>
      </c>
      <c r="J1670" s="118">
        <f ca="1">IFERROR(__xludf.DUMMYFUNCTION("""COMPUTED_VALUE"""),4)</f>
        <v>4</v>
      </c>
      <c r="K1670" s="120">
        <f ca="1">IFERROR(__xludf.DUMMYFUNCTION("""COMPUTED_VALUE"""),111.75)</f>
        <v>111.75</v>
      </c>
      <c r="L1670" s="121"/>
      <c r="M1670" s="120">
        <f ca="1">IFERROR(__xludf.DUMMYFUNCTION("""COMPUTED_VALUE"""),109.3)</f>
        <v>109.3</v>
      </c>
      <c r="N1670" s="121"/>
      <c r="O1670" s="120">
        <f ca="1">IFERROR(__xludf.DUMMYFUNCTION("""COMPUTED_VALUE"""),106.35)</f>
        <v>106.35</v>
      </c>
      <c r="P1670" s="122"/>
      <c r="Q1670" s="123"/>
      <c r="R1670" s="123"/>
      <c r="S1670" s="123"/>
      <c r="T1670" s="123"/>
    </row>
    <row r="1671" spans="1:20" ht="13.8">
      <c r="A1671" s="118" t="str">
        <f ca="1">IFERROR(__xludf.DUMMYFUNCTION("""COMPUTED_VALUE"""),"RH")</f>
        <v>RH</v>
      </c>
      <c r="B1671" s="119" t="str">
        <f ca="1">IFERROR(__xludf.DUMMYFUNCTION("""COMPUTED_VALUE"""),"Sophia Newtson")</f>
        <v>Sophia Newtson</v>
      </c>
      <c r="C1671" s="118">
        <f ca="1">IFERROR(__xludf.DUMMYFUNCTION("""COMPUTED_VALUE"""),15)</f>
        <v>15</v>
      </c>
      <c r="D1671" s="118" t="str">
        <f ca="1">IFERROR(__xludf.DUMMYFUNCTION("""COMPUTED_VALUE"""),"G")</f>
        <v>G</v>
      </c>
      <c r="E1671" s="118" t="str">
        <f ca="1">IFERROR(__xludf.DUMMYFUNCTION("""COMPUTED_VALUE"""),"S")</f>
        <v>S</v>
      </c>
      <c r="F1671" s="118" t="str">
        <f ca="1">IFERROR(__xludf.DUMMYFUNCTION("""COMPUTED_VALUE"""),"S")</f>
        <v>S</v>
      </c>
      <c r="G1671" s="118">
        <f ca="1">IFERROR(__xludf.DUMMYFUNCTION("""COMPUTED_VALUE"""),2)</f>
        <v>2</v>
      </c>
      <c r="H1671" s="118" t="str">
        <f ca="1">IFERROR(__xludf.DUMMYFUNCTION("""COMPUTED_VALUE"""),"RH")</f>
        <v>RH</v>
      </c>
      <c r="I1671" s="118">
        <f ca="1">IFERROR(__xludf.DUMMYFUNCTION("""COMPUTED_VALUE"""),10)</f>
        <v>10</v>
      </c>
      <c r="J1671" s="118">
        <f ca="1">IFERROR(__xludf.DUMMYFUNCTION("""COMPUTED_VALUE"""),5)</f>
        <v>5</v>
      </c>
      <c r="K1671" s="120">
        <f ca="1">IFERROR(__xludf.DUMMYFUNCTION("""COMPUTED_VALUE"""),150.55)</f>
        <v>150.55000000000001</v>
      </c>
      <c r="L1671" s="121"/>
      <c r="M1671" s="120">
        <f ca="1">IFERROR(__xludf.DUMMYFUNCTION("""COMPUTED_VALUE"""),140.45)</f>
        <v>140.44999999999999</v>
      </c>
      <c r="N1671" s="121"/>
      <c r="O1671" s="120">
        <f ca="1">IFERROR(__xludf.DUMMYFUNCTION("""COMPUTED_VALUE"""),142.2)</f>
        <v>142.19999999999999</v>
      </c>
      <c r="P1671" s="122"/>
      <c r="Q1671" s="123"/>
      <c r="R1671" s="123"/>
      <c r="S1671" s="123"/>
      <c r="T1671" s="123"/>
    </row>
    <row r="1672" spans="1:20" ht="13.8">
      <c r="A1672" s="118" t="str">
        <f ca="1">IFERROR(__xludf.DUMMYFUNCTION("""COMPUTED_VALUE"""),"RH")</f>
        <v>RH</v>
      </c>
      <c r="B1672" s="119" t="str">
        <f ca="1">IFERROR(__xludf.DUMMYFUNCTION("""COMPUTED_VALUE"""),"TJ Zahler")</f>
        <v>TJ Zahler</v>
      </c>
      <c r="C1672" s="118">
        <f ca="1">IFERROR(__xludf.DUMMYFUNCTION("""COMPUTED_VALUE"""),17)</f>
        <v>17</v>
      </c>
      <c r="D1672" s="118" t="str">
        <f ca="1">IFERROR(__xludf.DUMMYFUNCTION("""COMPUTED_VALUE"""),"B")</f>
        <v>B</v>
      </c>
      <c r="E1672" s="118" t="str">
        <f ca="1">IFERROR(__xludf.DUMMYFUNCTION("""COMPUTED_VALUE"""),"S")</f>
        <v>S</v>
      </c>
      <c r="F1672" s="118" t="str">
        <f ca="1">IFERROR(__xludf.DUMMYFUNCTION("""COMPUTED_VALUE"""),"S")</f>
        <v>S</v>
      </c>
      <c r="G1672" s="118">
        <f ca="1">IFERROR(__xludf.DUMMYFUNCTION("""COMPUTED_VALUE"""),2)</f>
        <v>2</v>
      </c>
      <c r="H1672" s="118" t="str">
        <f ca="1">IFERROR(__xludf.DUMMYFUNCTION("""COMPUTED_VALUE"""),"RH")</f>
        <v>RH</v>
      </c>
      <c r="I1672" s="118">
        <f ca="1">IFERROR(__xludf.DUMMYFUNCTION("""COMPUTED_VALUE"""),11)</f>
        <v>11</v>
      </c>
      <c r="J1672" s="118">
        <f ca="1">IFERROR(__xludf.DUMMYFUNCTION("""COMPUTED_VALUE"""),5)</f>
        <v>5</v>
      </c>
      <c r="K1672" s="120">
        <f ca="1">IFERROR(__xludf.DUMMYFUNCTION("""COMPUTED_VALUE"""),139.5)</f>
        <v>139.5</v>
      </c>
      <c r="L1672" s="121"/>
      <c r="M1672" s="120">
        <f ca="1">IFERROR(__xludf.DUMMYFUNCTION("""COMPUTED_VALUE"""),134.8)</f>
        <v>134.80000000000001</v>
      </c>
      <c r="N1672" s="121"/>
      <c r="O1672" s="120">
        <f ca="1">IFERROR(__xludf.DUMMYFUNCTION("""COMPUTED_VALUE"""),113.35)</f>
        <v>113.35</v>
      </c>
      <c r="P1672" s="122"/>
      <c r="Q1672" s="123"/>
      <c r="R1672" s="123"/>
      <c r="S1672" s="123"/>
      <c r="T1672" s="123"/>
    </row>
    <row r="1673" spans="1:20" ht="13.8">
      <c r="A1673" s="118" t="str">
        <f ca="1">IFERROR(__xludf.DUMMYFUNCTION("""COMPUTED_VALUE"""),"RH")</f>
        <v>RH</v>
      </c>
      <c r="B1673" s="119" t="str">
        <f ca="1">IFERROR(__xludf.DUMMYFUNCTION("""COMPUTED_VALUE"""),"Tommy Juster")</f>
        <v>Tommy Juster</v>
      </c>
      <c r="C1673" s="118">
        <f ca="1">IFERROR(__xludf.DUMMYFUNCTION("""COMPUTED_VALUE"""),17)</f>
        <v>17</v>
      </c>
      <c r="D1673" s="118" t="str">
        <f ca="1">IFERROR(__xludf.DUMMYFUNCTION("""COMPUTED_VALUE"""),"B")</f>
        <v>B</v>
      </c>
      <c r="E1673" s="118" t="str">
        <f ca="1">IFERROR(__xludf.DUMMYFUNCTION("""COMPUTED_VALUE"""),"S")</f>
        <v>S</v>
      </c>
      <c r="F1673" s="118" t="str">
        <f ca="1">IFERROR(__xludf.DUMMYFUNCTION("""COMPUTED_VALUE"""),"S")</f>
        <v>S</v>
      </c>
      <c r="G1673" s="118">
        <f ca="1">IFERROR(__xludf.DUMMYFUNCTION("""COMPUTED_VALUE"""),2)</f>
        <v>2</v>
      </c>
      <c r="H1673" s="118" t="str">
        <f ca="1">IFERROR(__xludf.DUMMYFUNCTION("""COMPUTED_VALUE"""),"RH")</f>
        <v>RH</v>
      </c>
      <c r="I1673" s="118">
        <f ca="1">IFERROR(__xludf.DUMMYFUNCTION("""COMPUTED_VALUE"""),11)</f>
        <v>11</v>
      </c>
      <c r="J1673" s="118">
        <f ca="1">IFERROR(__xludf.DUMMYFUNCTION("""COMPUTED_VALUE"""),0)</f>
        <v>0</v>
      </c>
      <c r="K1673" s="120"/>
      <c r="L1673" s="121"/>
      <c r="M1673" s="120"/>
      <c r="N1673" s="121"/>
      <c r="O1673" s="120"/>
      <c r="P1673" s="122"/>
      <c r="Q1673" s="123"/>
      <c r="R1673" s="123"/>
      <c r="S1673" s="123"/>
      <c r="T1673" s="123"/>
    </row>
    <row r="1674" spans="1:20" ht="13.8">
      <c r="A1674" s="118" t="str">
        <f ca="1">IFERROR(__xludf.DUMMYFUNCTION("""COMPUTED_VALUE"""),"S")</f>
        <v>S</v>
      </c>
      <c r="B1674" s="119" t="str">
        <f ca="1">IFERROR(__xludf.DUMMYFUNCTION("""COMPUTED_VALUE"""),"Abigail Menjivar")</f>
        <v>Abigail Menjivar</v>
      </c>
      <c r="C1674" s="118">
        <f ca="1">IFERROR(__xludf.DUMMYFUNCTION("""COMPUTED_VALUE"""),9)</f>
        <v>9</v>
      </c>
      <c r="D1674" s="118" t="str">
        <f ca="1">IFERROR(__xludf.DUMMYFUNCTION("""COMPUTED_VALUE"""),"G")</f>
        <v>G</v>
      </c>
      <c r="E1674" s="118" t="str">
        <f ca="1">IFERROR(__xludf.DUMMYFUNCTION("""COMPUTED_VALUE"""),"F")</f>
        <v>F</v>
      </c>
      <c r="F1674" s="118" t="str">
        <f ca="1">IFERROR(__xludf.DUMMYFUNCTION("""COMPUTED_VALUE"""),"J")</f>
        <v>J</v>
      </c>
      <c r="G1674" s="118">
        <f ca="1">IFERROR(__xludf.DUMMYFUNCTION("""COMPUTED_VALUE"""),7)</f>
        <v>7</v>
      </c>
      <c r="H1674" s="118" t="str">
        <f ca="1">IFERROR(__xludf.DUMMYFUNCTION("""COMPUTED_VALUE"""),"S")</f>
        <v>S</v>
      </c>
      <c r="I1674" s="118">
        <f ca="1">IFERROR(__xludf.DUMMYFUNCTION("""COMPUTED_VALUE"""),4)</f>
        <v>4</v>
      </c>
      <c r="J1674" s="118">
        <f ca="1">IFERROR(__xludf.DUMMYFUNCTION("""COMPUTED_VALUE"""),4)</f>
        <v>4</v>
      </c>
      <c r="K1674" s="120">
        <f ca="1">IFERROR(__xludf.DUMMYFUNCTION("""COMPUTED_VALUE"""),40)</f>
        <v>40</v>
      </c>
      <c r="L1674" s="121"/>
      <c r="M1674" s="120"/>
      <c r="N1674" s="121"/>
      <c r="O1674" s="120">
        <f ca="1">IFERROR(__xludf.DUMMYFUNCTION("""COMPUTED_VALUE"""),26.5)</f>
        <v>26.5</v>
      </c>
      <c r="P1674" s="122"/>
      <c r="Q1674" s="123"/>
      <c r="R1674" s="123"/>
      <c r="S1674" s="123"/>
      <c r="T1674" s="123"/>
    </row>
    <row r="1675" spans="1:20" ht="13.8">
      <c r="A1675" s="118" t="str">
        <f ca="1">IFERROR(__xludf.DUMMYFUNCTION("""COMPUTED_VALUE"""),"S")</f>
        <v>S</v>
      </c>
      <c r="B1675" s="119" t="str">
        <f ca="1">IFERROR(__xludf.DUMMYFUNCTION("""COMPUTED_VALUE"""),"Anh Trac")</f>
        <v>Anh Trac</v>
      </c>
      <c r="C1675" s="118">
        <f ca="1">IFERROR(__xludf.DUMMYFUNCTION("""COMPUTED_VALUE"""),8)</f>
        <v>8</v>
      </c>
      <c r="D1675" s="118" t="str">
        <f ca="1">IFERROR(__xludf.DUMMYFUNCTION("""COMPUTED_VALUE"""),"G")</f>
        <v>G</v>
      </c>
      <c r="E1675" s="118" t="str">
        <f ca="1">IFERROR(__xludf.DUMMYFUNCTION("""COMPUTED_VALUE"""),"F")</f>
        <v>F</v>
      </c>
      <c r="F1675" s="118" t="str">
        <f ca="1">IFERROR(__xludf.DUMMYFUNCTION("""COMPUTED_VALUE"""),"J")</f>
        <v>J</v>
      </c>
      <c r="G1675" s="118">
        <f ca="1">IFERROR(__xludf.DUMMYFUNCTION("""COMPUTED_VALUE"""),7)</f>
        <v>7</v>
      </c>
      <c r="H1675" s="118" t="str">
        <f ca="1">IFERROR(__xludf.DUMMYFUNCTION("""COMPUTED_VALUE"""),"S")</f>
        <v>S</v>
      </c>
      <c r="I1675" s="118">
        <f ca="1">IFERROR(__xludf.DUMMYFUNCTION("""COMPUTED_VALUE"""),4)</f>
        <v>4</v>
      </c>
      <c r="J1675" s="118">
        <f ca="1">IFERROR(__xludf.DUMMYFUNCTION("""COMPUTED_VALUE"""),4)</f>
        <v>4</v>
      </c>
      <c r="K1675" s="120">
        <f ca="1">IFERROR(__xludf.DUMMYFUNCTION("""COMPUTED_VALUE"""),49)</f>
        <v>49</v>
      </c>
      <c r="L1675" s="121"/>
      <c r="M1675" s="120"/>
      <c r="N1675" s="121"/>
      <c r="O1675" s="120">
        <f ca="1">IFERROR(__xludf.DUMMYFUNCTION("""COMPUTED_VALUE"""),18.4)</f>
        <v>18.399999999999999</v>
      </c>
      <c r="P1675" s="122"/>
      <c r="Q1675" s="123"/>
      <c r="R1675" s="123"/>
      <c r="S1675" s="123"/>
      <c r="T1675" s="123"/>
    </row>
    <row r="1676" spans="1:20" ht="13.8">
      <c r="A1676" s="118" t="str">
        <f ca="1">IFERROR(__xludf.DUMMYFUNCTION("""COMPUTED_VALUE"""),"S")</f>
        <v>S</v>
      </c>
      <c r="B1676" s="119" t="str">
        <f ca="1">IFERROR(__xludf.DUMMYFUNCTION("""COMPUTED_VALUE"""),"Anna Silver")</f>
        <v>Anna Silver</v>
      </c>
      <c r="C1676" s="118">
        <f ca="1">IFERROR(__xludf.DUMMYFUNCTION("""COMPUTED_VALUE"""),10)</f>
        <v>10</v>
      </c>
      <c r="D1676" s="118" t="str">
        <f ca="1">IFERROR(__xludf.DUMMYFUNCTION("""COMPUTED_VALUE"""),"G")</f>
        <v>G</v>
      </c>
      <c r="E1676" s="118" t="str">
        <f ca="1">IFERROR(__xludf.DUMMYFUNCTION("""COMPUTED_VALUE"""),"F")</f>
        <v>F</v>
      </c>
      <c r="F1676" s="118" t="str">
        <f ca="1">IFERROR(__xludf.DUMMYFUNCTION("""COMPUTED_VALUE"""),"J")</f>
        <v>J</v>
      </c>
      <c r="G1676" s="118">
        <f ca="1">IFERROR(__xludf.DUMMYFUNCTION("""COMPUTED_VALUE"""),7)</f>
        <v>7</v>
      </c>
      <c r="H1676" s="118" t="str">
        <f ca="1">IFERROR(__xludf.DUMMYFUNCTION("""COMPUTED_VALUE"""),"S")</f>
        <v>S</v>
      </c>
      <c r="I1676" s="118">
        <f ca="1">IFERROR(__xludf.DUMMYFUNCTION("""COMPUTED_VALUE"""),4)</f>
        <v>4</v>
      </c>
      <c r="J1676" s="118">
        <f ca="1">IFERROR(__xludf.DUMMYFUNCTION("""COMPUTED_VALUE"""),2)</f>
        <v>2</v>
      </c>
      <c r="K1676" s="120">
        <f ca="1">IFERROR(__xludf.DUMMYFUNCTION("""COMPUTED_VALUE"""),38.4)</f>
        <v>38.4</v>
      </c>
      <c r="L1676" s="121"/>
      <c r="M1676" s="120"/>
      <c r="N1676" s="121"/>
      <c r="O1676" s="120"/>
      <c r="P1676" s="122"/>
      <c r="Q1676" s="123"/>
      <c r="R1676" s="123"/>
      <c r="S1676" s="123"/>
      <c r="T1676" s="123"/>
    </row>
    <row r="1677" spans="1:20" ht="13.8">
      <c r="A1677" s="118" t="str">
        <f ca="1">IFERROR(__xludf.DUMMYFUNCTION("""COMPUTED_VALUE"""),"S")</f>
        <v>S</v>
      </c>
      <c r="B1677" s="119" t="str">
        <f ca="1">IFERROR(__xludf.DUMMYFUNCTION("""COMPUTED_VALUE"""),"Avery Wing")</f>
        <v>Avery Wing</v>
      </c>
      <c r="C1677" s="118">
        <f ca="1">IFERROR(__xludf.DUMMYFUNCTION("""COMPUTED_VALUE"""),6)</f>
        <v>6</v>
      </c>
      <c r="D1677" s="118" t="str">
        <f ca="1">IFERROR(__xludf.DUMMYFUNCTION("""COMPUTED_VALUE"""),"G")</f>
        <v>G</v>
      </c>
      <c r="E1677" s="118" t="str">
        <f ca="1">IFERROR(__xludf.DUMMYFUNCTION("""COMPUTED_VALUE"""),"F")</f>
        <v>F</v>
      </c>
      <c r="F1677" s="118" t="str">
        <f ca="1">IFERROR(__xludf.DUMMYFUNCTION("""COMPUTED_VALUE"""),"J")</f>
        <v>J</v>
      </c>
      <c r="G1677" s="118">
        <f ca="1">IFERROR(__xludf.DUMMYFUNCTION("""COMPUTED_VALUE"""),7)</f>
        <v>7</v>
      </c>
      <c r="H1677" s="118" t="str">
        <f ca="1">IFERROR(__xludf.DUMMYFUNCTION("""COMPUTED_VALUE"""),"S")</f>
        <v>S</v>
      </c>
      <c r="I1677" s="118">
        <f ca="1">IFERROR(__xludf.DUMMYFUNCTION("""COMPUTED_VALUE"""),4)</f>
        <v>4</v>
      </c>
      <c r="J1677" s="118">
        <f ca="1">IFERROR(__xludf.DUMMYFUNCTION("""COMPUTED_VALUE"""),2)</f>
        <v>2</v>
      </c>
      <c r="K1677" s="120">
        <f ca="1">IFERROR(__xludf.DUMMYFUNCTION("""COMPUTED_VALUE"""),22.25)</f>
        <v>22.25</v>
      </c>
      <c r="L1677" s="121"/>
      <c r="M1677" s="120"/>
      <c r="N1677" s="121"/>
      <c r="O1677" s="120"/>
      <c r="P1677" s="122"/>
      <c r="Q1677" s="123"/>
      <c r="R1677" s="123"/>
      <c r="S1677" s="123"/>
      <c r="T1677" s="123"/>
    </row>
    <row r="1678" spans="1:20" ht="13.8">
      <c r="A1678" s="118" t="str">
        <f ca="1">IFERROR(__xludf.DUMMYFUNCTION("""COMPUTED_VALUE"""),"S")</f>
        <v>S</v>
      </c>
      <c r="B1678" s="119" t="str">
        <f ca="1">IFERROR(__xludf.DUMMYFUNCTION("""COMPUTED_VALUE"""),"Blakely Thompson")</f>
        <v>Blakely Thompson</v>
      </c>
      <c r="C1678" s="118">
        <f ca="1">IFERROR(__xludf.DUMMYFUNCTION("""COMPUTED_VALUE"""),6)</f>
        <v>6</v>
      </c>
      <c r="D1678" s="118" t="str">
        <f ca="1">IFERROR(__xludf.DUMMYFUNCTION("""COMPUTED_VALUE"""),"G")</f>
        <v>G</v>
      </c>
      <c r="E1678" s="118" t="str">
        <f ca="1">IFERROR(__xludf.DUMMYFUNCTION("""COMPUTED_VALUE"""),"F")</f>
        <v>F</v>
      </c>
      <c r="F1678" s="118" t="str">
        <f ca="1">IFERROR(__xludf.DUMMYFUNCTION("""COMPUTED_VALUE"""),"J")</f>
        <v>J</v>
      </c>
      <c r="G1678" s="118">
        <f ca="1">IFERROR(__xludf.DUMMYFUNCTION("""COMPUTED_VALUE"""),7)</f>
        <v>7</v>
      </c>
      <c r="H1678" s="118" t="str">
        <f ca="1">IFERROR(__xludf.DUMMYFUNCTION("""COMPUTED_VALUE"""),"S")</f>
        <v>S</v>
      </c>
      <c r="I1678" s="118">
        <f ca="1">IFERROR(__xludf.DUMMYFUNCTION("""COMPUTED_VALUE"""),4)</f>
        <v>4</v>
      </c>
      <c r="J1678" s="118">
        <f ca="1">IFERROR(__xludf.DUMMYFUNCTION("""COMPUTED_VALUE"""),2)</f>
        <v>2</v>
      </c>
      <c r="K1678" s="120">
        <f ca="1">IFERROR(__xludf.DUMMYFUNCTION("""COMPUTED_VALUE"""),11.25)</f>
        <v>11.25</v>
      </c>
      <c r="L1678" s="121"/>
      <c r="M1678" s="120"/>
      <c r="N1678" s="121"/>
      <c r="O1678" s="120"/>
      <c r="P1678" s="122"/>
      <c r="Q1678" s="123"/>
      <c r="R1678" s="123"/>
      <c r="S1678" s="123"/>
      <c r="T1678" s="123"/>
    </row>
    <row r="1679" spans="1:20" ht="13.8">
      <c r="A1679" s="118" t="str">
        <f ca="1">IFERROR(__xludf.DUMMYFUNCTION("""COMPUTED_VALUE"""),"S")</f>
        <v>S</v>
      </c>
      <c r="B1679" s="119" t="str">
        <f ca="1">IFERROR(__xludf.DUMMYFUNCTION("""COMPUTED_VALUE"""),"CC Lorah")</f>
        <v>CC Lorah</v>
      </c>
      <c r="C1679" s="118">
        <f ca="1">IFERROR(__xludf.DUMMYFUNCTION("""COMPUTED_VALUE"""),7)</f>
        <v>7</v>
      </c>
      <c r="D1679" s="118" t="str">
        <f ca="1">IFERROR(__xludf.DUMMYFUNCTION("""COMPUTED_VALUE"""),"G")</f>
        <v>G</v>
      </c>
      <c r="E1679" s="118" t="str">
        <f ca="1">IFERROR(__xludf.DUMMYFUNCTION("""COMPUTED_VALUE"""),"F")</f>
        <v>F</v>
      </c>
      <c r="F1679" s="118" t="str">
        <f ca="1">IFERROR(__xludf.DUMMYFUNCTION("""COMPUTED_VALUE"""),"J")</f>
        <v>J</v>
      </c>
      <c r="G1679" s="118">
        <f ca="1">IFERROR(__xludf.DUMMYFUNCTION("""COMPUTED_VALUE"""),7)</f>
        <v>7</v>
      </c>
      <c r="H1679" s="118" t="str">
        <f ca="1">IFERROR(__xludf.DUMMYFUNCTION("""COMPUTED_VALUE"""),"S")</f>
        <v>S</v>
      </c>
      <c r="I1679" s="118">
        <f ca="1">IFERROR(__xludf.DUMMYFUNCTION("""COMPUTED_VALUE"""),4)</f>
        <v>4</v>
      </c>
      <c r="J1679" s="118">
        <f ca="1">IFERROR(__xludf.DUMMYFUNCTION("""COMPUTED_VALUE"""),3)</f>
        <v>3</v>
      </c>
      <c r="K1679" s="120">
        <f ca="1">IFERROR(__xludf.DUMMYFUNCTION("""COMPUTED_VALUE"""),30.75)</f>
        <v>30.75</v>
      </c>
      <c r="L1679" s="121"/>
      <c r="M1679" s="120"/>
      <c r="N1679" s="121"/>
      <c r="O1679" s="120">
        <f ca="1">IFERROR(__xludf.DUMMYFUNCTION("""COMPUTED_VALUE"""),25.75)</f>
        <v>25.75</v>
      </c>
      <c r="P1679" s="122"/>
      <c r="Q1679" s="123"/>
      <c r="R1679" s="123"/>
      <c r="S1679" s="123"/>
      <c r="T1679" s="123"/>
    </row>
    <row r="1680" spans="1:20" ht="13.8">
      <c r="A1680" s="118" t="str">
        <f ca="1">IFERROR(__xludf.DUMMYFUNCTION("""COMPUTED_VALUE"""),"S")</f>
        <v>S</v>
      </c>
      <c r="B1680" s="119" t="str">
        <f ca="1">IFERROR(__xludf.DUMMYFUNCTION("""COMPUTED_VALUE"""),"Charlie Cornet")</f>
        <v>Charlie Cornet</v>
      </c>
      <c r="C1680" s="118">
        <f ca="1">IFERROR(__xludf.DUMMYFUNCTION("""COMPUTED_VALUE"""),9)</f>
        <v>9</v>
      </c>
      <c r="D1680" s="118" t="str">
        <f ca="1">IFERROR(__xludf.DUMMYFUNCTION("""COMPUTED_VALUE"""),"G")</f>
        <v>G</v>
      </c>
      <c r="E1680" s="118" t="str">
        <f ca="1">IFERROR(__xludf.DUMMYFUNCTION("""COMPUTED_VALUE"""),"F")</f>
        <v>F</v>
      </c>
      <c r="F1680" s="118" t="str">
        <f ca="1">IFERROR(__xludf.DUMMYFUNCTION("""COMPUTED_VALUE"""),"J")</f>
        <v>J</v>
      </c>
      <c r="G1680" s="118">
        <f ca="1">IFERROR(__xludf.DUMMYFUNCTION("""COMPUTED_VALUE"""),7)</f>
        <v>7</v>
      </c>
      <c r="H1680" s="118" t="str">
        <f ca="1">IFERROR(__xludf.DUMMYFUNCTION("""COMPUTED_VALUE"""),"S")</f>
        <v>S</v>
      </c>
      <c r="I1680" s="118">
        <f ca="1">IFERROR(__xludf.DUMMYFUNCTION("""COMPUTED_VALUE"""),4)</f>
        <v>4</v>
      </c>
      <c r="J1680" s="118">
        <f ca="1">IFERROR(__xludf.DUMMYFUNCTION("""COMPUTED_VALUE"""),3)</f>
        <v>3</v>
      </c>
      <c r="K1680" s="120">
        <f ca="1">IFERROR(__xludf.DUMMYFUNCTION("""COMPUTED_VALUE"""),35)</f>
        <v>35</v>
      </c>
      <c r="L1680" s="121"/>
      <c r="M1680" s="120"/>
      <c r="N1680" s="121"/>
      <c r="O1680" s="120">
        <f ca="1">IFERROR(__xludf.DUMMYFUNCTION("""COMPUTED_VALUE"""),35)</f>
        <v>35</v>
      </c>
      <c r="P1680" s="122"/>
      <c r="Q1680" s="123"/>
      <c r="R1680" s="123"/>
      <c r="S1680" s="123"/>
      <c r="T1680" s="123"/>
    </row>
    <row r="1681" spans="1:20" ht="13.8">
      <c r="A1681" s="118" t="str">
        <f ca="1">IFERROR(__xludf.DUMMYFUNCTION("""COMPUTED_VALUE"""),"S")</f>
        <v>S</v>
      </c>
      <c r="B1681" s="119" t="str">
        <f ca="1">IFERROR(__xludf.DUMMYFUNCTION("""COMPUTED_VALUE"""),"Clara Martin")</f>
        <v>Clara Martin</v>
      </c>
      <c r="C1681" s="118">
        <f ca="1">IFERROR(__xludf.DUMMYFUNCTION("""COMPUTED_VALUE"""),8)</f>
        <v>8</v>
      </c>
      <c r="D1681" s="118" t="str">
        <f ca="1">IFERROR(__xludf.DUMMYFUNCTION("""COMPUTED_VALUE"""),"G")</f>
        <v>G</v>
      </c>
      <c r="E1681" s="118" t="str">
        <f ca="1">IFERROR(__xludf.DUMMYFUNCTION("""COMPUTED_VALUE"""),"F")</f>
        <v>F</v>
      </c>
      <c r="F1681" s="118" t="str">
        <f ca="1">IFERROR(__xludf.DUMMYFUNCTION("""COMPUTED_VALUE"""),"J")</f>
        <v>J</v>
      </c>
      <c r="G1681" s="118">
        <f ca="1">IFERROR(__xludf.DUMMYFUNCTION("""COMPUTED_VALUE"""),7)</f>
        <v>7</v>
      </c>
      <c r="H1681" s="118" t="str">
        <f ca="1">IFERROR(__xludf.DUMMYFUNCTION("""COMPUTED_VALUE"""),"S")</f>
        <v>S</v>
      </c>
      <c r="I1681" s="118">
        <f ca="1">IFERROR(__xludf.DUMMYFUNCTION("""COMPUTED_VALUE"""),4)</f>
        <v>4</v>
      </c>
      <c r="J1681" s="118">
        <f ca="1">IFERROR(__xludf.DUMMYFUNCTION("""COMPUTED_VALUE"""),1)</f>
        <v>1</v>
      </c>
      <c r="K1681" s="120"/>
      <c r="L1681" s="121"/>
      <c r="M1681" s="120"/>
      <c r="N1681" s="121"/>
      <c r="O1681" s="120"/>
      <c r="P1681" s="122"/>
      <c r="Q1681" s="123"/>
      <c r="R1681" s="123"/>
      <c r="S1681" s="123"/>
      <c r="T1681" s="123"/>
    </row>
    <row r="1682" spans="1:20" ht="13.8">
      <c r="A1682" s="118" t="str">
        <f ca="1">IFERROR(__xludf.DUMMYFUNCTION("""COMPUTED_VALUE"""),"S")</f>
        <v>S</v>
      </c>
      <c r="B1682" s="119" t="str">
        <f ca="1">IFERROR(__xludf.DUMMYFUNCTION("""COMPUTED_VALUE"""),"Ella Scharre")</f>
        <v>Ella Scharre</v>
      </c>
      <c r="C1682" s="118">
        <f ca="1">IFERROR(__xludf.DUMMYFUNCTION("""COMPUTED_VALUE"""),8)</f>
        <v>8</v>
      </c>
      <c r="D1682" s="118" t="str">
        <f ca="1">IFERROR(__xludf.DUMMYFUNCTION("""COMPUTED_VALUE"""),"G")</f>
        <v>G</v>
      </c>
      <c r="E1682" s="118" t="str">
        <f ca="1">IFERROR(__xludf.DUMMYFUNCTION("""COMPUTED_VALUE"""),"F")</f>
        <v>F</v>
      </c>
      <c r="F1682" s="118" t="str">
        <f ca="1">IFERROR(__xludf.DUMMYFUNCTION("""COMPUTED_VALUE"""),"J")</f>
        <v>J</v>
      </c>
      <c r="G1682" s="118">
        <f ca="1">IFERROR(__xludf.DUMMYFUNCTION("""COMPUTED_VALUE"""),7)</f>
        <v>7</v>
      </c>
      <c r="H1682" s="118" t="str">
        <f ca="1">IFERROR(__xludf.DUMMYFUNCTION("""COMPUTED_VALUE"""),"S")</f>
        <v>S</v>
      </c>
      <c r="I1682" s="118">
        <f ca="1">IFERROR(__xludf.DUMMYFUNCTION("""COMPUTED_VALUE"""),4)</f>
        <v>4</v>
      </c>
      <c r="J1682" s="118">
        <f ca="1">IFERROR(__xludf.DUMMYFUNCTION("""COMPUTED_VALUE"""),0)</f>
        <v>0</v>
      </c>
      <c r="K1682" s="120"/>
      <c r="L1682" s="121"/>
      <c r="M1682" s="120"/>
      <c r="N1682" s="121"/>
      <c r="O1682" s="120"/>
      <c r="P1682" s="122"/>
      <c r="Q1682" s="123"/>
      <c r="R1682" s="123"/>
      <c r="S1682" s="123"/>
      <c r="T1682" s="123"/>
    </row>
    <row r="1683" spans="1:20" ht="13.8">
      <c r="A1683" s="118" t="str">
        <f ca="1">IFERROR(__xludf.DUMMYFUNCTION("""COMPUTED_VALUE"""),"S")</f>
        <v>S</v>
      </c>
      <c r="B1683" s="119" t="str">
        <f ca="1">IFERROR(__xludf.DUMMYFUNCTION("""COMPUTED_VALUE"""),"Jules Hiner")</f>
        <v>Jules Hiner</v>
      </c>
      <c r="C1683" s="118">
        <f ca="1">IFERROR(__xludf.DUMMYFUNCTION("""COMPUTED_VALUE"""),6)</f>
        <v>6</v>
      </c>
      <c r="D1683" s="118" t="str">
        <f ca="1">IFERROR(__xludf.DUMMYFUNCTION("""COMPUTED_VALUE"""),"G")</f>
        <v>G</v>
      </c>
      <c r="E1683" s="118" t="str">
        <f ca="1">IFERROR(__xludf.DUMMYFUNCTION("""COMPUTED_VALUE"""),"F")</f>
        <v>F</v>
      </c>
      <c r="F1683" s="118" t="str">
        <f ca="1">IFERROR(__xludf.DUMMYFUNCTION("""COMPUTED_VALUE"""),"J")</f>
        <v>J</v>
      </c>
      <c r="G1683" s="118">
        <f ca="1">IFERROR(__xludf.DUMMYFUNCTION("""COMPUTED_VALUE"""),7)</f>
        <v>7</v>
      </c>
      <c r="H1683" s="118" t="str">
        <f ca="1">IFERROR(__xludf.DUMMYFUNCTION("""COMPUTED_VALUE"""),"S")</f>
        <v>S</v>
      </c>
      <c r="I1683" s="118">
        <f ca="1">IFERROR(__xludf.DUMMYFUNCTION("""COMPUTED_VALUE"""),4)</f>
        <v>4</v>
      </c>
      <c r="J1683" s="118">
        <f ca="1">IFERROR(__xludf.DUMMYFUNCTION("""COMPUTED_VALUE"""),5)</f>
        <v>5</v>
      </c>
      <c r="K1683" s="120">
        <f ca="1">IFERROR(__xludf.DUMMYFUNCTION("""COMPUTED_VALUE"""),41.05)</f>
        <v>41.05</v>
      </c>
      <c r="L1683" s="121"/>
      <c r="M1683" s="120">
        <f ca="1">IFERROR(__xludf.DUMMYFUNCTION("""COMPUTED_VALUE"""),24.5)</f>
        <v>24.5</v>
      </c>
      <c r="N1683" s="121"/>
      <c r="O1683" s="120">
        <f ca="1">IFERROR(__xludf.DUMMYFUNCTION("""COMPUTED_VALUE"""),23.7)</f>
        <v>23.7</v>
      </c>
      <c r="P1683" s="122"/>
      <c r="Q1683" s="123"/>
      <c r="R1683" s="123"/>
      <c r="S1683" s="123"/>
      <c r="T1683" s="123"/>
    </row>
    <row r="1684" spans="1:20" ht="13.8">
      <c r="A1684" s="118" t="str">
        <f ca="1">IFERROR(__xludf.DUMMYFUNCTION("""COMPUTED_VALUE"""),"S")</f>
        <v>S</v>
      </c>
      <c r="B1684" s="119" t="str">
        <f ca="1">IFERROR(__xludf.DUMMYFUNCTION("""COMPUTED_VALUE"""),"Kennedy Lorah")</f>
        <v>Kennedy Lorah</v>
      </c>
      <c r="C1684" s="118">
        <f ca="1">IFERROR(__xludf.DUMMYFUNCTION("""COMPUTED_VALUE"""),7)</f>
        <v>7</v>
      </c>
      <c r="D1684" s="118" t="str">
        <f ca="1">IFERROR(__xludf.DUMMYFUNCTION("""COMPUTED_VALUE"""),"G")</f>
        <v>G</v>
      </c>
      <c r="E1684" s="118" t="str">
        <f ca="1">IFERROR(__xludf.DUMMYFUNCTION("""COMPUTED_VALUE"""),"F")</f>
        <v>F</v>
      </c>
      <c r="F1684" s="118" t="str">
        <f ca="1">IFERROR(__xludf.DUMMYFUNCTION("""COMPUTED_VALUE"""),"J")</f>
        <v>J</v>
      </c>
      <c r="G1684" s="118">
        <f ca="1">IFERROR(__xludf.DUMMYFUNCTION("""COMPUTED_VALUE"""),7)</f>
        <v>7</v>
      </c>
      <c r="H1684" s="118" t="str">
        <f ca="1">IFERROR(__xludf.DUMMYFUNCTION("""COMPUTED_VALUE"""),"S")</f>
        <v>S</v>
      </c>
      <c r="I1684" s="118">
        <f ca="1">IFERROR(__xludf.DUMMYFUNCTION("""COMPUTED_VALUE"""),4)</f>
        <v>4</v>
      </c>
      <c r="J1684" s="118">
        <f ca="1">IFERROR(__xludf.DUMMYFUNCTION("""COMPUTED_VALUE"""),1)</f>
        <v>1</v>
      </c>
      <c r="K1684" s="120">
        <f ca="1">IFERROR(__xludf.DUMMYFUNCTION("""COMPUTED_VALUE"""),25.2)</f>
        <v>25.2</v>
      </c>
      <c r="L1684" s="121"/>
      <c r="M1684" s="120"/>
      <c r="N1684" s="121"/>
      <c r="O1684" s="120"/>
      <c r="P1684" s="122"/>
      <c r="Q1684" s="123"/>
      <c r="R1684" s="123"/>
      <c r="S1684" s="123"/>
      <c r="T1684" s="123"/>
    </row>
    <row r="1685" spans="1:20" ht="13.8">
      <c r="A1685" s="118" t="str">
        <f ca="1">IFERROR(__xludf.DUMMYFUNCTION("""COMPUTED_VALUE"""),"S")</f>
        <v>S</v>
      </c>
      <c r="B1685" s="119" t="str">
        <f ca="1">IFERROR(__xludf.DUMMYFUNCTION("""COMPUTED_VALUE"""),"Maeve Cahill")</f>
        <v>Maeve Cahill</v>
      </c>
      <c r="C1685" s="118">
        <f ca="1">IFERROR(__xludf.DUMMYFUNCTION("""COMPUTED_VALUE"""),9)</f>
        <v>9</v>
      </c>
      <c r="D1685" s="118" t="str">
        <f ca="1">IFERROR(__xludf.DUMMYFUNCTION("""COMPUTED_VALUE"""),"G")</f>
        <v>G</v>
      </c>
      <c r="E1685" s="118" t="str">
        <f ca="1">IFERROR(__xludf.DUMMYFUNCTION("""COMPUTED_VALUE"""),"F")</f>
        <v>F</v>
      </c>
      <c r="F1685" s="118" t="str">
        <f ca="1">IFERROR(__xludf.DUMMYFUNCTION("""COMPUTED_VALUE"""),"J")</f>
        <v>J</v>
      </c>
      <c r="G1685" s="118">
        <f ca="1">IFERROR(__xludf.DUMMYFUNCTION("""COMPUTED_VALUE"""),7)</f>
        <v>7</v>
      </c>
      <c r="H1685" s="118" t="str">
        <f ca="1">IFERROR(__xludf.DUMMYFUNCTION("""COMPUTED_VALUE"""),"S")</f>
        <v>S</v>
      </c>
      <c r="I1685" s="118">
        <f ca="1">IFERROR(__xludf.DUMMYFUNCTION("""COMPUTED_VALUE"""),4)</f>
        <v>4</v>
      </c>
      <c r="J1685" s="118">
        <f ca="1">IFERROR(__xludf.DUMMYFUNCTION("""COMPUTED_VALUE"""),5)</f>
        <v>5</v>
      </c>
      <c r="K1685" s="120">
        <f ca="1">IFERROR(__xludf.DUMMYFUNCTION("""COMPUTED_VALUE"""),59.9)</f>
        <v>59.9</v>
      </c>
      <c r="L1685" s="121"/>
      <c r="M1685" s="120">
        <f ca="1">IFERROR(__xludf.DUMMYFUNCTION("""COMPUTED_VALUE"""),52)</f>
        <v>52</v>
      </c>
      <c r="N1685" s="121"/>
      <c r="O1685" s="120">
        <f ca="1">IFERROR(__xludf.DUMMYFUNCTION("""COMPUTED_VALUE"""),45.65)</f>
        <v>45.65</v>
      </c>
      <c r="P1685" s="122"/>
      <c r="Q1685" s="123"/>
      <c r="R1685" s="123"/>
      <c r="S1685" s="123"/>
      <c r="T1685" s="123"/>
    </row>
    <row r="1686" spans="1:20" ht="13.8">
      <c r="A1686" s="118" t="str">
        <f ca="1">IFERROR(__xludf.DUMMYFUNCTION("""COMPUTED_VALUE"""),"S")</f>
        <v>S</v>
      </c>
      <c r="B1686" s="119" t="str">
        <f ca="1">IFERROR(__xludf.DUMMYFUNCTION("""COMPUTED_VALUE"""),"Penelope Ricaldes")</f>
        <v>Penelope Ricaldes</v>
      </c>
      <c r="C1686" s="118">
        <f ca="1">IFERROR(__xludf.DUMMYFUNCTION("""COMPUTED_VALUE"""),9)</f>
        <v>9</v>
      </c>
      <c r="D1686" s="118" t="str">
        <f ca="1">IFERROR(__xludf.DUMMYFUNCTION("""COMPUTED_VALUE"""),"G")</f>
        <v>G</v>
      </c>
      <c r="E1686" s="118" t="str">
        <f ca="1">IFERROR(__xludf.DUMMYFUNCTION("""COMPUTED_VALUE"""),"F")</f>
        <v>F</v>
      </c>
      <c r="F1686" s="118" t="str">
        <f ca="1">IFERROR(__xludf.DUMMYFUNCTION("""COMPUTED_VALUE"""),"J")</f>
        <v>J</v>
      </c>
      <c r="G1686" s="118">
        <f ca="1">IFERROR(__xludf.DUMMYFUNCTION("""COMPUTED_VALUE"""),7)</f>
        <v>7</v>
      </c>
      <c r="H1686" s="118" t="str">
        <f ca="1">IFERROR(__xludf.DUMMYFUNCTION("""COMPUTED_VALUE"""),"S")</f>
        <v>S</v>
      </c>
      <c r="I1686" s="118">
        <f ca="1">IFERROR(__xludf.DUMMYFUNCTION("""COMPUTED_VALUE"""),4)</f>
        <v>4</v>
      </c>
      <c r="J1686" s="118">
        <f ca="1">IFERROR(__xludf.DUMMYFUNCTION("""COMPUTED_VALUE"""),4)</f>
        <v>4</v>
      </c>
      <c r="K1686" s="120">
        <f ca="1">IFERROR(__xludf.DUMMYFUNCTION("""COMPUTED_VALUE"""),59.45)</f>
        <v>59.45</v>
      </c>
      <c r="L1686" s="121"/>
      <c r="M1686" s="120">
        <f ca="1">IFERROR(__xludf.DUMMYFUNCTION("""COMPUTED_VALUE"""),35.6)</f>
        <v>35.6</v>
      </c>
      <c r="N1686" s="121"/>
      <c r="O1686" s="120">
        <f ca="1">IFERROR(__xludf.DUMMYFUNCTION("""COMPUTED_VALUE"""),32.55)</f>
        <v>32.549999999999997</v>
      </c>
      <c r="P1686" s="122"/>
      <c r="Q1686" s="123"/>
      <c r="R1686" s="123"/>
      <c r="S1686" s="123"/>
      <c r="T1686" s="123"/>
    </row>
    <row r="1687" spans="1:20" ht="13.8">
      <c r="A1687" s="118" t="str">
        <f ca="1">IFERROR(__xludf.DUMMYFUNCTION("""COMPUTED_VALUE"""),"S")</f>
        <v>S</v>
      </c>
      <c r="B1687" s="119" t="str">
        <f ca="1">IFERROR(__xludf.DUMMYFUNCTION("""COMPUTED_VALUE"""),"Rachel Wing")</f>
        <v>Rachel Wing</v>
      </c>
      <c r="C1687" s="118">
        <f ca="1">IFERROR(__xludf.DUMMYFUNCTION("""COMPUTED_VALUE"""),9)</f>
        <v>9</v>
      </c>
      <c r="D1687" s="118" t="str">
        <f ca="1">IFERROR(__xludf.DUMMYFUNCTION("""COMPUTED_VALUE"""),"G")</f>
        <v>G</v>
      </c>
      <c r="E1687" s="118" t="str">
        <f ca="1">IFERROR(__xludf.DUMMYFUNCTION("""COMPUTED_VALUE"""),"F")</f>
        <v>F</v>
      </c>
      <c r="F1687" s="118" t="str">
        <f ca="1">IFERROR(__xludf.DUMMYFUNCTION("""COMPUTED_VALUE"""),"J")</f>
        <v>J</v>
      </c>
      <c r="G1687" s="118">
        <f ca="1">IFERROR(__xludf.DUMMYFUNCTION("""COMPUTED_VALUE"""),7)</f>
        <v>7</v>
      </c>
      <c r="H1687" s="118" t="str">
        <f ca="1">IFERROR(__xludf.DUMMYFUNCTION("""COMPUTED_VALUE"""),"S")</f>
        <v>S</v>
      </c>
      <c r="I1687" s="118">
        <f ca="1">IFERROR(__xludf.DUMMYFUNCTION("""COMPUTED_VALUE"""),4)</f>
        <v>4</v>
      </c>
      <c r="J1687" s="118">
        <f ca="1">IFERROR(__xludf.DUMMYFUNCTION("""COMPUTED_VALUE"""),4)</f>
        <v>4</v>
      </c>
      <c r="K1687" s="120">
        <f ca="1">IFERROR(__xludf.DUMMYFUNCTION("""COMPUTED_VALUE"""),36.5)</f>
        <v>36.5</v>
      </c>
      <c r="L1687" s="121"/>
      <c r="M1687" s="120"/>
      <c r="N1687" s="121"/>
      <c r="O1687" s="120">
        <f ca="1">IFERROR(__xludf.DUMMYFUNCTION("""COMPUTED_VALUE"""),28.75)</f>
        <v>28.75</v>
      </c>
      <c r="P1687" s="122"/>
      <c r="Q1687" s="123"/>
      <c r="R1687" s="123"/>
      <c r="S1687" s="123"/>
      <c r="T1687" s="123"/>
    </row>
    <row r="1688" spans="1:20" ht="13.8">
      <c r="A1688" s="118" t="str">
        <f ca="1">IFERROR(__xludf.DUMMYFUNCTION("""COMPUTED_VALUE"""),"S")</f>
        <v>S</v>
      </c>
      <c r="B1688" s="119" t="str">
        <f ca="1">IFERROR(__xludf.DUMMYFUNCTION("""COMPUTED_VALUE"""),"Susannah Hill")</f>
        <v>Susannah Hill</v>
      </c>
      <c r="C1688" s="118">
        <f ca="1">IFERROR(__xludf.DUMMYFUNCTION("""COMPUTED_VALUE"""),8)</f>
        <v>8</v>
      </c>
      <c r="D1688" s="118" t="str">
        <f ca="1">IFERROR(__xludf.DUMMYFUNCTION("""COMPUTED_VALUE"""),"G")</f>
        <v>G</v>
      </c>
      <c r="E1688" s="118" t="str">
        <f ca="1">IFERROR(__xludf.DUMMYFUNCTION("""COMPUTED_VALUE"""),"F")</f>
        <v>F</v>
      </c>
      <c r="F1688" s="118" t="str">
        <f ca="1">IFERROR(__xludf.DUMMYFUNCTION("""COMPUTED_VALUE"""),"J")</f>
        <v>J</v>
      </c>
      <c r="G1688" s="118">
        <f ca="1">IFERROR(__xludf.DUMMYFUNCTION("""COMPUTED_VALUE"""),7)</f>
        <v>7</v>
      </c>
      <c r="H1688" s="118" t="str">
        <f ca="1">IFERROR(__xludf.DUMMYFUNCTION("""COMPUTED_VALUE"""),"S")</f>
        <v>S</v>
      </c>
      <c r="I1688" s="118">
        <f ca="1">IFERROR(__xludf.DUMMYFUNCTION("""COMPUTED_VALUE"""),4)</f>
        <v>4</v>
      </c>
      <c r="J1688" s="118">
        <f ca="1">IFERROR(__xludf.DUMMYFUNCTION("""COMPUTED_VALUE"""),4)</f>
        <v>4</v>
      </c>
      <c r="K1688" s="120">
        <f ca="1">IFERROR(__xludf.DUMMYFUNCTION("""COMPUTED_VALUE"""),40.55)</f>
        <v>40.549999999999997</v>
      </c>
      <c r="L1688" s="121"/>
      <c r="M1688" s="120"/>
      <c r="N1688" s="121"/>
      <c r="O1688" s="120">
        <f ca="1">IFERROR(__xludf.DUMMYFUNCTION("""COMPUTED_VALUE"""),25.35)</f>
        <v>25.35</v>
      </c>
      <c r="P1688" s="122"/>
      <c r="Q1688" s="123"/>
      <c r="R1688" s="123"/>
      <c r="S1688" s="123"/>
      <c r="T1688" s="123"/>
    </row>
    <row r="1689" spans="1:20" ht="13.8">
      <c r="A1689" s="118" t="str">
        <f ca="1">IFERROR(__xludf.DUMMYFUNCTION("""COMPUTED_VALUE"""),"S")</f>
        <v>S</v>
      </c>
      <c r="B1689" s="119" t="str">
        <f ca="1">IFERROR(__xludf.DUMMYFUNCTION("""COMPUTED_VALUE"""),"Fionn Cahill")</f>
        <v>Fionn Cahill</v>
      </c>
      <c r="C1689" s="118">
        <f ca="1">IFERROR(__xludf.DUMMYFUNCTION("""COMPUTED_VALUE"""),9)</f>
        <v>9</v>
      </c>
      <c r="D1689" s="118" t="str">
        <f ca="1">IFERROR(__xludf.DUMMYFUNCTION("""COMPUTED_VALUE"""),"B")</f>
        <v>B</v>
      </c>
      <c r="E1689" s="118" t="str">
        <f ca="1">IFERROR(__xludf.DUMMYFUNCTION("""COMPUTED_VALUE"""),"F")</f>
        <v>F</v>
      </c>
      <c r="F1689" s="118" t="str">
        <f ca="1">IFERROR(__xludf.DUMMYFUNCTION("""COMPUTED_VALUE"""),"J")</f>
        <v>J</v>
      </c>
      <c r="G1689" s="118">
        <f ca="1">IFERROR(__xludf.DUMMYFUNCTION("""COMPUTED_VALUE"""),7)</f>
        <v>7</v>
      </c>
      <c r="H1689" s="118" t="str">
        <f ca="1">IFERROR(__xludf.DUMMYFUNCTION("""COMPUTED_VALUE"""),"S")</f>
        <v>S</v>
      </c>
      <c r="I1689" s="118">
        <f ca="1">IFERROR(__xludf.DUMMYFUNCTION("""COMPUTED_VALUE"""),5)</f>
        <v>5</v>
      </c>
      <c r="J1689" s="118">
        <f ca="1">IFERROR(__xludf.DUMMYFUNCTION("""COMPUTED_VALUE"""),5)</f>
        <v>5</v>
      </c>
      <c r="K1689" s="120">
        <f ca="1">IFERROR(__xludf.DUMMYFUNCTION("""COMPUTED_VALUE"""),59.45)</f>
        <v>59.45</v>
      </c>
      <c r="L1689" s="121"/>
      <c r="M1689" s="120">
        <f ca="1">IFERROR(__xludf.DUMMYFUNCTION("""COMPUTED_VALUE"""),57.85)</f>
        <v>57.85</v>
      </c>
      <c r="N1689" s="121"/>
      <c r="O1689" s="120">
        <f ca="1">IFERROR(__xludf.DUMMYFUNCTION("""COMPUTED_VALUE"""),59.45)</f>
        <v>59.45</v>
      </c>
      <c r="P1689" s="122"/>
      <c r="Q1689" s="123"/>
      <c r="R1689" s="123"/>
      <c r="S1689" s="123"/>
      <c r="T1689" s="123"/>
    </row>
    <row r="1690" spans="1:20" ht="13.8">
      <c r="A1690" s="118" t="str">
        <f ca="1">IFERROR(__xludf.DUMMYFUNCTION("""COMPUTED_VALUE"""),"S")</f>
        <v>S</v>
      </c>
      <c r="B1690" s="119" t="str">
        <f ca="1">IFERROR(__xludf.DUMMYFUNCTION("""COMPUTED_VALUE"""),"Jimmy Cameron")</f>
        <v>Jimmy Cameron</v>
      </c>
      <c r="C1690" s="118">
        <f ca="1">IFERROR(__xludf.DUMMYFUNCTION("""COMPUTED_VALUE"""),5)</f>
        <v>5</v>
      </c>
      <c r="D1690" s="118" t="str">
        <f ca="1">IFERROR(__xludf.DUMMYFUNCTION("""COMPUTED_VALUE"""),"B")</f>
        <v>B</v>
      </c>
      <c r="E1690" s="118" t="str">
        <f ca="1">IFERROR(__xludf.DUMMYFUNCTION("""COMPUTED_VALUE"""),"F")</f>
        <v>F</v>
      </c>
      <c r="F1690" s="118" t="str">
        <f ca="1">IFERROR(__xludf.DUMMYFUNCTION("""COMPUTED_VALUE"""),"J")</f>
        <v>J</v>
      </c>
      <c r="G1690" s="118">
        <f ca="1">IFERROR(__xludf.DUMMYFUNCTION("""COMPUTED_VALUE"""),7)</f>
        <v>7</v>
      </c>
      <c r="H1690" s="118" t="str">
        <f ca="1">IFERROR(__xludf.DUMMYFUNCTION("""COMPUTED_VALUE"""),"S")</f>
        <v>S</v>
      </c>
      <c r="I1690" s="118">
        <f ca="1">IFERROR(__xludf.DUMMYFUNCTION("""COMPUTED_VALUE"""),5)</f>
        <v>5</v>
      </c>
      <c r="J1690" s="118">
        <f ca="1">IFERROR(__xludf.DUMMYFUNCTION("""COMPUTED_VALUE"""),1)</f>
        <v>1</v>
      </c>
      <c r="K1690" s="120"/>
      <c r="L1690" s="121"/>
      <c r="M1690" s="120"/>
      <c r="N1690" s="121"/>
      <c r="O1690" s="120"/>
      <c r="P1690" s="122"/>
      <c r="Q1690" s="123"/>
      <c r="R1690" s="123"/>
      <c r="S1690" s="123"/>
      <c r="T1690" s="123"/>
    </row>
    <row r="1691" spans="1:20" ht="13.8">
      <c r="A1691" s="118" t="str">
        <f ca="1">IFERROR(__xludf.DUMMYFUNCTION("""COMPUTED_VALUE"""),"S")</f>
        <v>S</v>
      </c>
      <c r="B1691" s="119" t="str">
        <f ca="1">IFERROR(__xludf.DUMMYFUNCTION("""COMPUTED_VALUE"""),"Matthew Rempe")</f>
        <v>Matthew Rempe</v>
      </c>
      <c r="C1691" s="118">
        <f ca="1">IFERROR(__xludf.DUMMYFUNCTION("""COMPUTED_VALUE"""),10)</f>
        <v>10</v>
      </c>
      <c r="D1691" s="118" t="str">
        <f ca="1">IFERROR(__xludf.DUMMYFUNCTION("""COMPUTED_VALUE"""),"B")</f>
        <v>B</v>
      </c>
      <c r="E1691" s="118" t="str">
        <f ca="1">IFERROR(__xludf.DUMMYFUNCTION("""COMPUTED_VALUE"""),"F")</f>
        <v>F</v>
      </c>
      <c r="F1691" s="118" t="str">
        <f ca="1">IFERROR(__xludf.DUMMYFUNCTION("""COMPUTED_VALUE"""),"J")</f>
        <v>J</v>
      </c>
      <c r="G1691" s="118">
        <f ca="1">IFERROR(__xludf.DUMMYFUNCTION("""COMPUTED_VALUE"""),7)</f>
        <v>7</v>
      </c>
      <c r="H1691" s="118" t="str">
        <f ca="1">IFERROR(__xludf.DUMMYFUNCTION("""COMPUTED_VALUE"""),"S")</f>
        <v>S</v>
      </c>
      <c r="I1691" s="118">
        <f ca="1">IFERROR(__xludf.DUMMYFUNCTION("""COMPUTED_VALUE"""),5)</f>
        <v>5</v>
      </c>
      <c r="J1691" s="118">
        <f ca="1">IFERROR(__xludf.DUMMYFUNCTION("""COMPUTED_VALUE"""),5)</f>
        <v>5</v>
      </c>
      <c r="K1691" s="120">
        <f ca="1">IFERROR(__xludf.DUMMYFUNCTION("""COMPUTED_VALUE"""),63.3)</f>
        <v>63.3</v>
      </c>
      <c r="L1691" s="121"/>
      <c r="M1691" s="120">
        <f ca="1">IFERROR(__xludf.DUMMYFUNCTION("""COMPUTED_VALUE"""),63.3)</f>
        <v>63.3</v>
      </c>
      <c r="N1691" s="121"/>
      <c r="O1691" s="120">
        <f ca="1">IFERROR(__xludf.DUMMYFUNCTION("""COMPUTED_VALUE"""),46.25)</f>
        <v>46.25</v>
      </c>
      <c r="P1691" s="122"/>
      <c r="Q1691" s="123"/>
      <c r="R1691" s="123"/>
      <c r="S1691" s="123"/>
      <c r="T1691" s="123"/>
    </row>
    <row r="1692" spans="1:20" ht="13.8">
      <c r="A1692" s="118" t="str">
        <f ca="1">IFERROR(__xludf.DUMMYFUNCTION("""COMPUTED_VALUE"""),"S")</f>
        <v>S</v>
      </c>
      <c r="B1692" s="119" t="str">
        <f ca="1">IFERROR(__xludf.DUMMYFUNCTION("""COMPUTED_VALUE"""),"Thomas Hiner")</f>
        <v>Thomas Hiner</v>
      </c>
      <c r="C1692" s="118">
        <f ca="1">IFERROR(__xludf.DUMMYFUNCTION("""COMPUTED_VALUE"""),9)</f>
        <v>9</v>
      </c>
      <c r="D1692" s="118" t="str">
        <f ca="1">IFERROR(__xludf.DUMMYFUNCTION("""COMPUTED_VALUE"""),"B")</f>
        <v>B</v>
      </c>
      <c r="E1692" s="118" t="str">
        <f ca="1">IFERROR(__xludf.DUMMYFUNCTION("""COMPUTED_VALUE"""),"F")</f>
        <v>F</v>
      </c>
      <c r="F1692" s="118" t="str">
        <f ca="1">IFERROR(__xludf.DUMMYFUNCTION("""COMPUTED_VALUE"""),"J")</f>
        <v>J</v>
      </c>
      <c r="G1692" s="118">
        <f ca="1">IFERROR(__xludf.DUMMYFUNCTION("""COMPUTED_VALUE"""),7)</f>
        <v>7</v>
      </c>
      <c r="H1692" s="118" t="str">
        <f ca="1">IFERROR(__xludf.DUMMYFUNCTION("""COMPUTED_VALUE"""),"S")</f>
        <v>S</v>
      </c>
      <c r="I1692" s="118">
        <f ca="1">IFERROR(__xludf.DUMMYFUNCTION("""COMPUTED_VALUE"""),5)</f>
        <v>5</v>
      </c>
      <c r="J1692" s="118">
        <f ca="1">IFERROR(__xludf.DUMMYFUNCTION("""COMPUTED_VALUE"""),5)</f>
        <v>5</v>
      </c>
      <c r="K1692" s="120">
        <f ca="1">IFERROR(__xludf.DUMMYFUNCTION("""COMPUTED_VALUE"""),39.55)</f>
        <v>39.549999999999997</v>
      </c>
      <c r="L1692" s="121"/>
      <c r="M1692" s="120">
        <f ca="1">IFERROR(__xludf.DUMMYFUNCTION("""COMPUTED_VALUE"""),23)</f>
        <v>23</v>
      </c>
      <c r="N1692" s="121"/>
      <c r="O1692" s="120">
        <f ca="1">IFERROR(__xludf.DUMMYFUNCTION("""COMPUTED_VALUE"""),22.3)</f>
        <v>22.3</v>
      </c>
      <c r="P1692" s="122"/>
      <c r="Q1692" s="123"/>
      <c r="R1692" s="123"/>
      <c r="S1692" s="123"/>
      <c r="T1692" s="123"/>
    </row>
    <row r="1693" spans="1:20" ht="13.8">
      <c r="A1693" s="118" t="str">
        <f ca="1">IFERROR(__xludf.DUMMYFUNCTION("""COMPUTED_VALUE"""),"S")</f>
        <v>S</v>
      </c>
      <c r="B1693" s="119" t="str">
        <f ca="1">IFERROR(__xludf.DUMMYFUNCTION("""COMPUTED_VALUE"""),"Belle Amatuzzi")</f>
        <v>Belle Amatuzzi</v>
      </c>
      <c r="C1693" s="118">
        <f ca="1">IFERROR(__xludf.DUMMYFUNCTION("""COMPUTED_VALUE"""),11)</f>
        <v>11</v>
      </c>
      <c r="D1693" s="118" t="str">
        <f ca="1">IFERROR(__xludf.DUMMYFUNCTION("""COMPUTED_VALUE"""),"G")</f>
        <v>G</v>
      </c>
      <c r="E1693" s="118" t="str">
        <f ca="1">IFERROR(__xludf.DUMMYFUNCTION("""COMPUTED_VALUE"""),"J")</f>
        <v>J</v>
      </c>
      <c r="F1693" s="118" t="str">
        <f ca="1">IFERROR(__xludf.DUMMYFUNCTION("""COMPUTED_VALUE"""),"I")</f>
        <v>I</v>
      </c>
      <c r="G1693" s="118">
        <f ca="1">IFERROR(__xludf.DUMMYFUNCTION("""COMPUTED_VALUE"""),7)</f>
        <v>7</v>
      </c>
      <c r="H1693" s="118" t="str">
        <f ca="1">IFERROR(__xludf.DUMMYFUNCTION("""COMPUTED_VALUE"""),"S")</f>
        <v>S</v>
      </c>
      <c r="I1693" s="118">
        <f ca="1">IFERROR(__xludf.DUMMYFUNCTION("""COMPUTED_VALUE"""),6)</f>
        <v>6</v>
      </c>
      <c r="J1693" s="118">
        <f ca="1">IFERROR(__xludf.DUMMYFUNCTION("""COMPUTED_VALUE"""),2)</f>
        <v>2</v>
      </c>
      <c r="K1693" s="120">
        <f ca="1">IFERROR(__xludf.DUMMYFUNCTION("""COMPUTED_VALUE"""),85.3)</f>
        <v>85.3</v>
      </c>
      <c r="L1693" s="121"/>
      <c r="M1693" s="120">
        <f ca="1">IFERROR(__xludf.DUMMYFUNCTION("""COMPUTED_VALUE"""),85.3)</f>
        <v>85.3</v>
      </c>
      <c r="N1693" s="121"/>
      <c r="O1693" s="120"/>
      <c r="P1693" s="122"/>
      <c r="Q1693" s="123"/>
      <c r="R1693" s="123"/>
      <c r="S1693" s="123"/>
      <c r="T1693" s="123"/>
    </row>
    <row r="1694" spans="1:20" ht="13.8">
      <c r="A1694" s="118" t="str">
        <f ca="1">IFERROR(__xludf.DUMMYFUNCTION("""COMPUTED_VALUE"""),"S")</f>
        <v>S</v>
      </c>
      <c r="B1694" s="119" t="str">
        <f ca="1">IFERROR(__xludf.DUMMYFUNCTION("""COMPUTED_VALUE"""),"Brigid Cahill")</f>
        <v>Brigid Cahill</v>
      </c>
      <c r="C1694" s="118">
        <f ca="1">IFERROR(__xludf.DUMMYFUNCTION("""COMPUTED_VALUE"""),11)</f>
        <v>11</v>
      </c>
      <c r="D1694" s="118" t="str">
        <f ca="1">IFERROR(__xludf.DUMMYFUNCTION("""COMPUTED_VALUE"""),"G")</f>
        <v>G</v>
      </c>
      <c r="E1694" s="118" t="str">
        <f ca="1">IFERROR(__xludf.DUMMYFUNCTION("""COMPUTED_VALUE"""),"J")</f>
        <v>J</v>
      </c>
      <c r="F1694" s="118" t="str">
        <f ca="1">IFERROR(__xludf.DUMMYFUNCTION("""COMPUTED_VALUE"""),"I")</f>
        <v>I</v>
      </c>
      <c r="G1694" s="118">
        <f ca="1">IFERROR(__xludf.DUMMYFUNCTION("""COMPUTED_VALUE"""),7)</f>
        <v>7</v>
      </c>
      <c r="H1694" s="118" t="str">
        <f ca="1">IFERROR(__xludf.DUMMYFUNCTION("""COMPUTED_VALUE"""),"S")</f>
        <v>S</v>
      </c>
      <c r="I1694" s="118">
        <f ca="1">IFERROR(__xludf.DUMMYFUNCTION("""COMPUTED_VALUE"""),6)</f>
        <v>6</v>
      </c>
      <c r="J1694" s="118">
        <f ca="1">IFERROR(__xludf.DUMMYFUNCTION("""COMPUTED_VALUE"""),5)</f>
        <v>5</v>
      </c>
      <c r="K1694" s="120">
        <f ca="1">IFERROR(__xludf.DUMMYFUNCTION("""COMPUTED_VALUE"""),90.2)</f>
        <v>90.2</v>
      </c>
      <c r="L1694" s="121"/>
      <c r="M1694" s="120">
        <f ca="1">IFERROR(__xludf.DUMMYFUNCTION("""COMPUTED_VALUE"""),90.2)</f>
        <v>90.2</v>
      </c>
      <c r="N1694" s="121"/>
      <c r="O1694" s="120">
        <f ca="1">IFERROR(__xludf.DUMMYFUNCTION("""COMPUTED_VALUE"""),82.5)</f>
        <v>82.5</v>
      </c>
      <c r="P1694" s="122"/>
      <c r="Q1694" s="123"/>
      <c r="R1694" s="123"/>
      <c r="S1694" s="123"/>
      <c r="T1694" s="123"/>
    </row>
    <row r="1695" spans="1:20" ht="13.8">
      <c r="A1695" s="118" t="str">
        <f ca="1">IFERROR(__xludf.DUMMYFUNCTION("""COMPUTED_VALUE"""),"S")</f>
        <v>S</v>
      </c>
      <c r="B1695" s="119" t="str">
        <f ca="1">IFERROR(__xludf.DUMMYFUNCTION("""COMPUTED_VALUE"""),"Mila Garcia")</f>
        <v>Mila Garcia</v>
      </c>
      <c r="C1695" s="118">
        <f ca="1">IFERROR(__xludf.DUMMYFUNCTION("""COMPUTED_VALUE"""),11)</f>
        <v>11</v>
      </c>
      <c r="D1695" s="118" t="str">
        <f ca="1">IFERROR(__xludf.DUMMYFUNCTION("""COMPUTED_VALUE"""),"G")</f>
        <v>G</v>
      </c>
      <c r="E1695" s="118" t="str">
        <f ca="1">IFERROR(__xludf.DUMMYFUNCTION("""COMPUTED_VALUE"""),"J")</f>
        <v>J</v>
      </c>
      <c r="F1695" s="118" t="str">
        <f ca="1">IFERROR(__xludf.DUMMYFUNCTION("""COMPUTED_VALUE"""),"I")</f>
        <v>I</v>
      </c>
      <c r="G1695" s="118">
        <f ca="1">IFERROR(__xludf.DUMMYFUNCTION("""COMPUTED_VALUE"""),7)</f>
        <v>7</v>
      </c>
      <c r="H1695" s="118" t="str">
        <f ca="1">IFERROR(__xludf.DUMMYFUNCTION("""COMPUTED_VALUE"""),"S")</f>
        <v>S</v>
      </c>
      <c r="I1695" s="118">
        <f ca="1">IFERROR(__xludf.DUMMYFUNCTION("""COMPUTED_VALUE"""),6)</f>
        <v>6</v>
      </c>
      <c r="J1695" s="118">
        <f ca="1">IFERROR(__xludf.DUMMYFUNCTION("""COMPUTED_VALUE"""),1)</f>
        <v>1</v>
      </c>
      <c r="K1695" s="120"/>
      <c r="L1695" s="121"/>
      <c r="M1695" s="120"/>
      <c r="N1695" s="121"/>
      <c r="O1695" s="120"/>
      <c r="P1695" s="122"/>
      <c r="Q1695" s="123"/>
      <c r="R1695" s="123"/>
      <c r="S1695" s="123"/>
      <c r="T1695" s="123"/>
    </row>
    <row r="1696" spans="1:20" ht="13.8">
      <c r="A1696" s="118" t="str">
        <f ca="1">IFERROR(__xludf.DUMMYFUNCTION("""COMPUTED_VALUE"""),"S")</f>
        <v>S</v>
      </c>
      <c r="B1696" s="119" t="str">
        <f ca="1">IFERROR(__xludf.DUMMYFUNCTION("""COMPUTED_VALUE"""),"Davey Scharre")</f>
        <v>Davey Scharre</v>
      </c>
      <c r="C1696" s="118">
        <f ca="1">IFERROR(__xludf.DUMMYFUNCTION("""COMPUTED_VALUE"""),11)</f>
        <v>11</v>
      </c>
      <c r="D1696" s="118" t="str">
        <f ca="1">IFERROR(__xludf.DUMMYFUNCTION("""COMPUTED_VALUE"""),"B")</f>
        <v>B</v>
      </c>
      <c r="E1696" s="118" t="str">
        <f ca="1">IFERROR(__xludf.DUMMYFUNCTION("""COMPUTED_VALUE"""),"J")</f>
        <v>J</v>
      </c>
      <c r="F1696" s="124" t="str">
        <f ca="1">IFERROR(__xludf.DUMMYFUNCTION("""COMPUTED_VALUE"""),"I")</f>
        <v>I</v>
      </c>
      <c r="G1696" s="124">
        <f ca="1">IFERROR(__xludf.DUMMYFUNCTION("""COMPUTED_VALUE"""),7)</f>
        <v>7</v>
      </c>
      <c r="H1696" s="124" t="str">
        <f ca="1">IFERROR(__xludf.DUMMYFUNCTION("""COMPUTED_VALUE"""),"S")</f>
        <v>S</v>
      </c>
      <c r="I1696" s="124">
        <f ca="1">IFERROR(__xludf.DUMMYFUNCTION("""COMPUTED_VALUE"""),7)</f>
        <v>7</v>
      </c>
      <c r="J1696" s="124">
        <f ca="1">IFERROR(__xludf.DUMMYFUNCTION("""COMPUTED_VALUE"""),5)</f>
        <v>5</v>
      </c>
      <c r="K1696" s="125">
        <f ca="1">IFERROR(__xludf.DUMMYFUNCTION("""COMPUTED_VALUE"""),83.15)</f>
        <v>83.15</v>
      </c>
      <c r="L1696" s="121"/>
      <c r="M1696" s="125">
        <f ca="1">IFERROR(__xludf.DUMMYFUNCTION("""COMPUTED_VALUE"""),83.15)</f>
        <v>83.15</v>
      </c>
      <c r="N1696" s="121"/>
      <c r="O1696" s="125">
        <f ca="1">IFERROR(__xludf.DUMMYFUNCTION("""COMPUTED_VALUE"""),76.6)</f>
        <v>76.599999999999994</v>
      </c>
      <c r="P1696" s="126"/>
      <c r="Q1696" s="127"/>
      <c r="R1696" s="127"/>
      <c r="S1696" s="127"/>
      <c r="T1696" s="127"/>
    </row>
    <row r="1697" spans="1:20" ht="13.8">
      <c r="A1697" s="118" t="str">
        <f ca="1">IFERROR(__xludf.DUMMYFUNCTION("""COMPUTED_VALUE"""),"S")</f>
        <v>S</v>
      </c>
      <c r="B1697" s="119" t="str">
        <f ca="1">IFERROR(__xludf.DUMMYFUNCTION("""COMPUTED_VALUE"""),"Henry Martin")</f>
        <v>Henry Martin</v>
      </c>
      <c r="C1697" s="118">
        <f ca="1">IFERROR(__xludf.DUMMYFUNCTION("""COMPUTED_VALUE"""),11)</f>
        <v>11</v>
      </c>
      <c r="D1697" s="118" t="str">
        <f ca="1">IFERROR(__xludf.DUMMYFUNCTION("""COMPUTED_VALUE"""),"B")</f>
        <v>B</v>
      </c>
      <c r="E1697" s="118" t="str">
        <f ca="1">IFERROR(__xludf.DUMMYFUNCTION("""COMPUTED_VALUE"""),"J")</f>
        <v>J</v>
      </c>
      <c r="F1697" s="124" t="str">
        <f ca="1">IFERROR(__xludf.DUMMYFUNCTION("""COMPUTED_VALUE"""),"I")</f>
        <v>I</v>
      </c>
      <c r="G1697" s="124">
        <f ca="1">IFERROR(__xludf.DUMMYFUNCTION("""COMPUTED_VALUE"""),7)</f>
        <v>7</v>
      </c>
      <c r="H1697" s="124" t="str">
        <f ca="1">IFERROR(__xludf.DUMMYFUNCTION("""COMPUTED_VALUE"""),"S")</f>
        <v>S</v>
      </c>
      <c r="I1697" s="124">
        <f ca="1">IFERROR(__xludf.DUMMYFUNCTION("""COMPUTED_VALUE"""),7)</f>
        <v>7</v>
      </c>
      <c r="J1697" s="124">
        <f ca="1">IFERROR(__xludf.DUMMYFUNCTION("""COMPUTED_VALUE"""),5)</f>
        <v>5</v>
      </c>
      <c r="K1697" s="125">
        <f ca="1">IFERROR(__xludf.DUMMYFUNCTION("""COMPUTED_VALUE"""),-124.45)</f>
        <v>-124.45</v>
      </c>
      <c r="L1697" s="121"/>
      <c r="M1697" s="125">
        <f ca="1">IFERROR(__xludf.DUMMYFUNCTION("""COMPUTED_VALUE"""),-153.95)</f>
        <v>-153.94999999999999</v>
      </c>
      <c r="N1697" s="121"/>
      <c r="O1697" s="125">
        <f ca="1">IFERROR(__xludf.DUMMYFUNCTION("""COMPUTED_VALUE"""),-124.45)</f>
        <v>-124.45</v>
      </c>
      <c r="P1697" s="126"/>
      <c r="Q1697" s="127"/>
      <c r="R1697" s="127"/>
      <c r="S1697" s="127"/>
      <c r="T1697" s="127"/>
    </row>
    <row r="1698" spans="1:20" ht="13.8">
      <c r="A1698" s="118" t="str">
        <f ca="1">IFERROR(__xludf.DUMMYFUNCTION("""COMPUTED_VALUE"""),"S")</f>
        <v>S</v>
      </c>
      <c r="B1698" s="119" t="str">
        <f ca="1">IFERROR(__xludf.DUMMYFUNCTION("""COMPUTED_VALUE"""),"Liam Cahill")</f>
        <v>Liam Cahill</v>
      </c>
      <c r="C1698" s="118">
        <f ca="1">IFERROR(__xludf.DUMMYFUNCTION("""COMPUTED_VALUE"""),11)</f>
        <v>11</v>
      </c>
      <c r="D1698" s="118" t="str">
        <f ca="1">IFERROR(__xludf.DUMMYFUNCTION("""COMPUTED_VALUE"""),"B")</f>
        <v>B</v>
      </c>
      <c r="E1698" s="118" t="str">
        <f ca="1">IFERROR(__xludf.DUMMYFUNCTION("""COMPUTED_VALUE"""),"J")</f>
        <v>J</v>
      </c>
      <c r="F1698" s="124" t="str">
        <f ca="1">IFERROR(__xludf.DUMMYFUNCTION("""COMPUTED_VALUE"""),"I")</f>
        <v>I</v>
      </c>
      <c r="G1698" s="124">
        <f ca="1">IFERROR(__xludf.DUMMYFUNCTION("""COMPUTED_VALUE"""),7)</f>
        <v>7</v>
      </c>
      <c r="H1698" s="124" t="str">
        <f ca="1">IFERROR(__xludf.DUMMYFUNCTION("""COMPUTED_VALUE"""),"S")</f>
        <v>S</v>
      </c>
      <c r="I1698" s="124">
        <f ca="1">IFERROR(__xludf.DUMMYFUNCTION("""COMPUTED_VALUE"""),7)</f>
        <v>7</v>
      </c>
      <c r="J1698" s="124">
        <f ca="1">IFERROR(__xludf.DUMMYFUNCTION("""COMPUTED_VALUE"""),5)</f>
        <v>5</v>
      </c>
      <c r="K1698" s="125">
        <f ca="1">IFERROR(__xludf.DUMMYFUNCTION("""COMPUTED_VALUE"""),79.6)</f>
        <v>79.599999999999994</v>
      </c>
      <c r="L1698" s="121"/>
      <c r="M1698" s="125">
        <f ca="1">IFERROR(__xludf.DUMMYFUNCTION("""COMPUTED_VALUE"""),79.6)</f>
        <v>79.599999999999994</v>
      </c>
      <c r="N1698" s="121"/>
      <c r="O1698" s="125">
        <f ca="1">IFERROR(__xludf.DUMMYFUNCTION("""COMPUTED_VALUE"""),78.25)</f>
        <v>78.25</v>
      </c>
      <c r="P1698" s="126"/>
      <c r="Q1698" s="127"/>
      <c r="R1698" s="127"/>
      <c r="S1698" s="127"/>
      <c r="T1698" s="127"/>
    </row>
    <row r="1699" spans="1:20" ht="13.8">
      <c r="A1699" s="118" t="str">
        <f ca="1">IFERROR(__xludf.DUMMYFUNCTION("""COMPUTED_VALUE"""),"S")</f>
        <v>S</v>
      </c>
      <c r="B1699" s="119" t="str">
        <f ca="1">IFERROR(__xludf.DUMMYFUNCTION("""COMPUTED_VALUE"""),"Samuel Rempe")</f>
        <v>Samuel Rempe</v>
      </c>
      <c r="C1699" s="118">
        <f ca="1">IFERROR(__xludf.DUMMYFUNCTION("""COMPUTED_VALUE"""),11)</f>
        <v>11</v>
      </c>
      <c r="D1699" s="118" t="str">
        <f ca="1">IFERROR(__xludf.DUMMYFUNCTION("""COMPUTED_VALUE"""),"B")</f>
        <v>B</v>
      </c>
      <c r="E1699" s="118" t="str">
        <f ca="1">IFERROR(__xludf.DUMMYFUNCTION("""COMPUTED_VALUE"""),"J")</f>
        <v>J</v>
      </c>
      <c r="F1699" s="124" t="str">
        <f ca="1">IFERROR(__xludf.DUMMYFUNCTION("""COMPUTED_VALUE"""),"I")</f>
        <v>I</v>
      </c>
      <c r="G1699" s="124">
        <f ca="1">IFERROR(__xludf.DUMMYFUNCTION("""COMPUTED_VALUE"""),7)</f>
        <v>7</v>
      </c>
      <c r="H1699" s="124" t="str">
        <f ca="1">IFERROR(__xludf.DUMMYFUNCTION("""COMPUTED_VALUE"""),"S")</f>
        <v>S</v>
      </c>
      <c r="I1699" s="124">
        <f ca="1">IFERROR(__xludf.DUMMYFUNCTION("""COMPUTED_VALUE"""),7)</f>
        <v>7</v>
      </c>
      <c r="J1699" s="124">
        <f ca="1">IFERROR(__xludf.DUMMYFUNCTION("""COMPUTED_VALUE"""),2)</f>
        <v>2</v>
      </c>
      <c r="K1699" s="125">
        <f ca="1">IFERROR(__xludf.DUMMYFUNCTION("""COMPUTED_VALUE"""),73.7)</f>
        <v>73.7</v>
      </c>
      <c r="L1699" s="121"/>
      <c r="M1699" s="125">
        <f ca="1">IFERROR(__xludf.DUMMYFUNCTION("""COMPUTED_VALUE"""),73.7)</f>
        <v>73.7</v>
      </c>
      <c r="N1699" s="121"/>
      <c r="O1699" s="125">
        <f ca="1">IFERROR(__xludf.DUMMYFUNCTION("""COMPUTED_VALUE"""),54.25)</f>
        <v>54.25</v>
      </c>
      <c r="P1699" s="126"/>
      <c r="Q1699" s="127"/>
      <c r="R1699" s="127"/>
      <c r="S1699" s="127"/>
      <c r="T1699" s="127"/>
    </row>
    <row r="1700" spans="1:20" ht="13.8">
      <c r="A1700" s="118" t="str">
        <f ca="1">IFERROR(__xludf.DUMMYFUNCTION("""COMPUTED_VALUE"""),"S")</f>
        <v>S</v>
      </c>
      <c r="B1700" s="119" t="str">
        <f ca="1">IFERROR(__xludf.DUMMYFUNCTION("""COMPUTED_VALUE"""),"Caedin Calhoun")</f>
        <v>Caedin Calhoun</v>
      </c>
      <c r="C1700" s="118">
        <f ca="1">IFERROR(__xludf.DUMMYFUNCTION("""COMPUTED_VALUE"""),13)</f>
        <v>13</v>
      </c>
      <c r="D1700" s="118" t="str">
        <f ca="1">IFERROR(__xludf.DUMMYFUNCTION("""COMPUTED_VALUE"""),"B")</f>
        <v>B</v>
      </c>
      <c r="E1700" s="118" t="str">
        <f ca="1">IFERROR(__xludf.DUMMYFUNCTION("""COMPUTED_VALUE"""),"I")</f>
        <v>I</v>
      </c>
      <c r="F1700" s="124" t="str">
        <f ca="1">IFERROR(__xludf.DUMMYFUNCTION("""COMPUTED_VALUE"""),"S")</f>
        <v>S</v>
      </c>
      <c r="G1700" s="124">
        <f ca="1">IFERROR(__xludf.DUMMYFUNCTION("""COMPUTED_VALUE"""),7)</f>
        <v>7</v>
      </c>
      <c r="H1700" s="124" t="str">
        <f ca="1">IFERROR(__xludf.DUMMYFUNCTION("""COMPUTED_VALUE"""),"S")</f>
        <v>S</v>
      </c>
      <c r="I1700" s="124">
        <f ca="1">IFERROR(__xludf.DUMMYFUNCTION("""COMPUTED_VALUE"""),9)</f>
        <v>9</v>
      </c>
      <c r="J1700" s="124">
        <f ca="1">IFERROR(__xludf.DUMMYFUNCTION("""COMPUTED_VALUE"""),3)</f>
        <v>3</v>
      </c>
      <c r="K1700" s="125">
        <f ca="1">IFERROR(__xludf.DUMMYFUNCTION("""COMPUTED_VALUE"""),122)</f>
        <v>122</v>
      </c>
      <c r="L1700" s="121"/>
      <c r="M1700" s="125">
        <f ca="1">IFERROR(__xludf.DUMMYFUNCTION("""COMPUTED_VALUE"""),122)</f>
        <v>122</v>
      </c>
      <c r="N1700" s="121"/>
      <c r="O1700" s="125"/>
      <c r="P1700" s="126"/>
      <c r="Q1700" s="127"/>
      <c r="R1700" s="127"/>
      <c r="S1700" s="127"/>
      <c r="T1700" s="127"/>
    </row>
    <row r="1701" spans="1:20" ht="13.8">
      <c r="A1701" s="118" t="str">
        <f ca="1">IFERROR(__xludf.DUMMYFUNCTION("""COMPUTED_VALUE"""),"S")</f>
        <v>S</v>
      </c>
      <c r="B1701" s="119" t="str">
        <f ca="1">IFERROR(__xludf.DUMMYFUNCTION("""COMPUTED_VALUE"""),"Cristiano Garcia")</f>
        <v>Cristiano Garcia</v>
      </c>
      <c r="C1701" s="118">
        <f ca="1">IFERROR(__xludf.DUMMYFUNCTION("""COMPUTED_VALUE"""),13)</f>
        <v>13</v>
      </c>
      <c r="D1701" s="118" t="str">
        <f ca="1">IFERROR(__xludf.DUMMYFUNCTION("""COMPUTED_VALUE"""),"B")</f>
        <v>B</v>
      </c>
      <c r="E1701" s="118" t="str">
        <f ca="1">IFERROR(__xludf.DUMMYFUNCTION("""COMPUTED_VALUE"""),"I")</f>
        <v>I</v>
      </c>
      <c r="F1701" s="124" t="str">
        <f ca="1">IFERROR(__xludf.DUMMYFUNCTION("""COMPUTED_VALUE"""),"S")</f>
        <v>S</v>
      </c>
      <c r="G1701" s="124">
        <f ca="1">IFERROR(__xludf.DUMMYFUNCTION("""COMPUTED_VALUE"""),7)</f>
        <v>7</v>
      </c>
      <c r="H1701" s="124" t="str">
        <f ca="1">IFERROR(__xludf.DUMMYFUNCTION("""COMPUTED_VALUE"""),"S")</f>
        <v>S</v>
      </c>
      <c r="I1701" s="124">
        <f ca="1">IFERROR(__xludf.DUMMYFUNCTION("""COMPUTED_VALUE"""),9)</f>
        <v>9</v>
      </c>
      <c r="J1701" s="124">
        <f ca="1">IFERROR(__xludf.DUMMYFUNCTION("""COMPUTED_VALUE"""),5)</f>
        <v>5</v>
      </c>
      <c r="K1701" s="125">
        <f ca="1">IFERROR(__xludf.DUMMYFUNCTION("""COMPUTED_VALUE"""),-245.7)</f>
        <v>-245.7</v>
      </c>
      <c r="L1701" s="121"/>
      <c r="M1701" s="125">
        <f ca="1">IFERROR(__xludf.DUMMYFUNCTION("""COMPUTED_VALUE"""),-256.2)</f>
        <v>-256.2</v>
      </c>
      <c r="N1701" s="121"/>
      <c r="O1701" s="125">
        <f ca="1">IFERROR(__xludf.DUMMYFUNCTION("""COMPUTED_VALUE"""),-268.1)</f>
        <v>-268.10000000000002</v>
      </c>
      <c r="P1701" s="126"/>
      <c r="Q1701" s="127"/>
      <c r="R1701" s="127"/>
      <c r="S1701" s="127"/>
      <c r="T1701" s="127"/>
    </row>
    <row r="1702" spans="1:20" ht="13.8">
      <c r="A1702" s="118" t="str">
        <f ca="1">IFERROR(__xludf.DUMMYFUNCTION("""COMPUTED_VALUE"""),"S")</f>
        <v>S</v>
      </c>
      <c r="B1702" s="119" t="str">
        <f ca="1">IFERROR(__xludf.DUMMYFUNCTION("""COMPUTED_VALUE"""),"Addy Vandenbemden")</f>
        <v>Addy Vandenbemden</v>
      </c>
      <c r="C1702" s="118">
        <f ca="1">IFERROR(__xludf.DUMMYFUNCTION("""COMPUTED_VALUE"""),15)</f>
        <v>15</v>
      </c>
      <c r="D1702" s="118" t="str">
        <f ca="1">IFERROR(__xludf.DUMMYFUNCTION("""COMPUTED_VALUE"""),"G")</f>
        <v>G</v>
      </c>
      <c r="E1702" s="118" t="str">
        <f ca="1">IFERROR(__xludf.DUMMYFUNCTION("""COMPUTED_VALUE"""),"S")</f>
        <v>S</v>
      </c>
      <c r="F1702" s="124" t="str">
        <f ca="1">IFERROR(__xludf.DUMMYFUNCTION("""COMPUTED_VALUE"""),"S")</f>
        <v>S</v>
      </c>
      <c r="G1702" s="124">
        <f ca="1">IFERROR(__xludf.DUMMYFUNCTION("""COMPUTED_VALUE"""),7)</f>
        <v>7</v>
      </c>
      <c r="H1702" s="124" t="str">
        <f ca="1">IFERROR(__xludf.DUMMYFUNCTION("""COMPUTED_VALUE"""),"S")</f>
        <v>S</v>
      </c>
      <c r="I1702" s="124">
        <f ca="1">IFERROR(__xludf.DUMMYFUNCTION("""COMPUTED_VALUE"""),10)</f>
        <v>10</v>
      </c>
      <c r="J1702" s="124">
        <f ca="1">IFERROR(__xludf.DUMMYFUNCTION("""COMPUTED_VALUE"""),5)</f>
        <v>5</v>
      </c>
      <c r="K1702" s="125">
        <f ca="1">IFERROR(__xludf.DUMMYFUNCTION("""COMPUTED_VALUE"""),133.35)</f>
        <v>133.35</v>
      </c>
      <c r="L1702" s="121"/>
      <c r="M1702" s="125">
        <f ca="1">IFERROR(__xludf.DUMMYFUNCTION("""COMPUTED_VALUE"""),133.35)</f>
        <v>133.35</v>
      </c>
      <c r="N1702" s="121"/>
      <c r="O1702" s="125">
        <f ca="1">IFERROR(__xludf.DUMMYFUNCTION("""COMPUTED_VALUE"""),128.5)</f>
        <v>128.5</v>
      </c>
      <c r="P1702" s="126"/>
      <c r="Q1702" s="127"/>
      <c r="R1702" s="127"/>
      <c r="S1702" s="127"/>
      <c r="T1702" s="127"/>
    </row>
    <row r="1703" spans="1:20" ht="13.8">
      <c r="A1703" s="118" t="str">
        <f ca="1">IFERROR(__xludf.DUMMYFUNCTION("""COMPUTED_VALUE"""),"S")</f>
        <v>S</v>
      </c>
      <c r="B1703" s="119" t="str">
        <f ca="1">IFERROR(__xludf.DUMMYFUNCTION("""COMPUTED_VALUE"""),"Grace Partain")</f>
        <v>Grace Partain</v>
      </c>
      <c r="C1703" s="118">
        <f ca="1">IFERROR(__xludf.DUMMYFUNCTION("""COMPUTED_VALUE"""),18)</f>
        <v>18</v>
      </c>
      <c r="D1703" s="118" t="str">
        <f ca="1">IFERROR(__xludf.DUMMYFUNCTION("""COMPUTED_VALUE"""),"G")</f>
        <v>G</v>
      </c>
      <c r="E1703" s="118" t="str">
        <f ca="1">IFERROR(__xludf.DUMMYFUNCTION("""COMPUTED_VALUE"""),"S")</f>
        <v>S</v>
      </c>
      <c r="F1703" s="124" t="str">
        <f ca="1">IFERROR(__xludf.DUMMYFUNCTION("""COMPUTED_VALUE"""),"S")</f>
        <v>S</v>
      </c>
      <c r="G1703" s="124">
        <f ca="1">IFERROR(__xludf.DUMMYFUNCTION("""COMPUTED_VALUE"""),7)</f>
        <v>7</v>
      </c>
      <c r="H1703" s="124" t="str">
        <f ca="1">IFERROR(__xludf.DUMMYFUNCTION("""COMPUTED_VALUE"""),"S")</f>
        <v>S</v>
      </c>
      <c r="I1703" s="124">
        <f ca="1">IFERROR(__xludf.DUMMYFUNCTION("""COMPUTED_VALUE"""),10)</f>
        <v>10</v>
      </c>
      <c r="J1703" s="124">
        <f ca="1">IFERROR(__xludf.DUMMYFUNCTION("""COMPUTED_VALUE"""),5)</f>
        <v>5</v>
      </c>
      <c r="K1703" s="125">
        <f ca="1">IFERROR(__xludf.DUMMYFUNCTION("""COMPUTED_VALUE"""),158.95)</f>
        <v>158.94999999999999</v>
      </c>
      <c r="L1703" s="121"/>
      <c r="M1703" s="125">
        <f ca="1">IFERROR(__xludf.DUMMYFUNCTION("""COMPUTED_VALUE"""),158.95)</f>
        <v>158.94999999999999</v>
      </c>
      <c r="N1703" s="121"/>
      <c r="O1703" s="125">
        <f ca="1">IFERROR(__xludf.DUMMYFUNCTION("""COMPUTED_VALUE"""),138)</f>
        <v>138</v>
      </c>
      <c r="P1703" s="126"/>
      <c r="Q1703" s="127"/>
      <c r="R1703" s="127"/>
      <c r="S1703" s="127"/>
      <c r="T1703" s="127"/>
    </row>
    <row r="1704" spans="1:20" ht="13.8">
      <c r="A1704" s="118" t="str">
        <f ca="1">IFERROR(__xludf.DUMMYFUNCTION("""COMPUTED_VALUE"""),"S")</f>
        <v>S</v>
      </c>
      <c r="B1704" s="119" t="str">
        <f ca="1">IFERROR(__xludf.DUMMYFUNCTION("""COMPUTED_VALUE"""),"Molka Hammouda")</f>
        <v>Molka Hammouda</v>
      </c>
      <c r="C1704" s="118">
        <f ca="1">IFERROR(__xludf.DUMMYFUNCTION("""COMPUTED_VALUE"""),17)</f>
        <v>17</v>
      </c>
      <c r="D1704" s="118" t="str">
        <f ca="1">IFERROR(__xludf.DUMMYFUNCTION("""COMPUTED_VALUE"""),"G")</f>
        <v>G</v>
      </c>
      <c r="E1704" s="118" t="str">
        <f ca="1">IFERROR(__xludf.DUMMYFUNCTION("""COMPUTED_VALUE"""),"S")</f>
        <v>S</v>
      </c>
      <c r="F1704" s="124" t="str">
        <f ca="1">IFERROR(__xludf.DUMMYFUNCTION("""COMPUTED_VALUE"""),"S")</f>
        <v>S</v>
      </c>
      <c r="G1704" s="124">
        <f ca="1">IFERROR(__xludf.DUMMYFUNCTION("""COMPUTED_VALUE"""),7)</f>
        <v>7</v>
      </c>
      <c r="H1704" s="124" t="str">
        <f ca="1">IFERROR(__xludf.DUMMYFUNCTION("""COMPUTED_VALUE"""),"S")</f>
        <v>S</v>
      </c>
      <c r="I1704" s="124">
        <f ca="1">IFERROR(__xludf.DUMMYFUNCTION("""COMPUTED_VALUE"""),10)</f>
        <v>10</v>
      </c>
      <c r="J1704" s="124">
        <f ca="1">IFERROR(__xludf.DUMMYFUNCTION("""COMPUTED_VALUE"""),0)</f>
        <v>0</v>
      </c>
      <c r="K1704" s="125"/>
      <c r="L1704" s="121"/>
      <c r="M1704" s="125"/>
      <c r="N1704" s="121"/>
      <c r="O1704" s="125"/>
      <c r="P1704" s="126"/>
      <c r="Q1704" s="127"/>
      <c r="R1704" s="127"/>
      <c r="S1704" s="127"/>
      <c r="T1704" s="127"/>
    </row>
    <row r="1705" spans="1:20" ht="13.8">
      <c r="A1705" s="118" t="str">
        <f ca="1">IFERROR(__xludf.DUMMYFUNCTION("""COMPUTED_VALUE"""),"S")</f>
        <v>S</v>
      </c>
      <c r="B1705" s="119" t="str">
        <f ca="1">IFERROR(__xludf.DUMMYFUNCTION("""COMPUTED_VALUE"""),"Rylea Vandenbemden")</f>
        <v>Rylea Vandenbemden</v>
      </c>
      <c r="C1705" s="118">
        <f ca="1">IFERROR(__xludf.DUMMYFUNCTION("""COMPUTED_VALUE"""),15)</f>
        <v>15</v>
      </c>
      <c r="D1705" s="118" t="str">
        <f ca="1">IFERROR(__xludf.DUMMYFUNCTION("""COMPUTED_VALUE"""),"G")</f>
        <v>G</v>
      </c>
      <c r="E1705" s="118" t="str">
        <f ca="1">IFERROR(__xludf.DUMMYFUNCTION("""COMPUTED_VALUE"""),"S")</f>
        <v>S</v>
      </c>
      <c r="F1705" s="124" t="str">
        <f ca="1">IFERROR(__xludf.DUMMYFUNCTION("""COMPUTED_VALUE"""),"S")</f>
        <v>S</v>
      </c>
      <c r="G1705" s="124">
        <f ca="1">IFERROR(__xludf.DUMMYFUNCTION("""COMPUTED_VALUE"""),7)</f>
        <v>7</v>
      </c>
      <c r="H1705" s="124" t="str">
        <f ca="1">IFERROR(__xludf.DUMMYFUNCTION("""COMPUTED_VALUE"""),"S")</f>
        <v>S</v>
      </c>
      <c r="I1705" s="124">
        <f ca="1">IFERROR(__xludf.DUMMYFUNCTION("""COMPUTED_VALUE"""),10)</f>
        <v>10</v>
      </c>
      <c r="J1705" s="124">
        <f ca="1">IFERROR(__xludf.DUMMYFUNCTION("""COMPUTED_VALUE"""),5)</f>
        <v>5</v>
      </c>
      <c r="K1705" s="125">
        <f ca="1">IFERROR(__xludf.DUMMYFUNCTION("""COMPUTED_VALUE"""),152.95)</f>
        <v>152.94999999999999</v>
      </c>
      <c r="L1705" s="121"/>
      <c r="M1705" s="125">
        <f ca="1">IFERROR(__xludf.DUMMYFUNCTION("""COMPUTED_VALUE"""),152.95)</f>
        <v>152.94999999999999</v>
      </c>
      <c r="N1705" s="121"/>
      <c r="O1705" s="125">
        <f ca="1">IFERROR(__xludf.DUMMYFUNCTION("""COMPUTED_VALUE"""),99.9)</f>
        <v>99.9</v>
      </c>
      <c r="P1705" s="126"/>
      <c r="Q1705" s="127"/>
      <c r="R1705" s="127"/>
      <c r="S1705" s="127"/>
      <c r="T1705" s="127"/>
    </row>
    <row r="1706" spans="1:20" ht="13.8">
      <c r="A1706" s="118" t="str">
        <f ca="1">IFERROR(__xludf.DUMMYFUNCTION("""COMPUTED_VALUE"""),"S")</f>
        <v>S</v>
      </c>
      <c r="B1706" s="119" t="str">
        <f ca="1">IFERROR(__xludf.DUMMYFUNCTION("""COMPUTED_VALUE"""),"Tien Do")</f>
        <v>Tien Do</v>
      </c>
      <c r="C1706" s="118">
        <f ca="1">IFERROR(__xludf.DUMMYFUNCTION("""COMPUTED_VALUE"""),16)</f>
        <v>16</v>
      </c>
      <c r="D1706" s="118" t="str">
        <f ca="1">IFERROR(__xludf.DUMMYFUNCTION("""COMPUTED_VALUE"""),"G")</f>
        <v>G</v>
      </c>
      <c r="E1706" s="118" t="str">
        <f ca="1">IFERROR(__xludf.DUMMYFUNCTION("""COMPUTED_VALUE"""),"S")</f>
        <v>S</v>
      </c>
      <c r="F1706" s="124" t="str">
        <f ca="1">IFERROR(__xludf.DUMMYFUNCTION("""COMPUTED_VALUE"""),"S")</f>
        <v>S</v>
      </c>
      <c r="G1706" s="124">
        <f ca="1">IFERROR(__xludf.DUMMYFUNCTION("""COMPUTED_VALUE"""),7)</f>
        <v>7</v>
      </c>
      <c r="H1706" s="124" t="str">
        <f ca="1">IFERROR(__xludf.DUMMYFUNCTION("""COMPUTED_VALUE"""),"S")</f>
        <v>S</v>
      </c>
      <c r="I1706" s="124">
        <f ca="1">IFERROR(__xludf.DUMMYFUNCTION("""COMPUTED_VALUE"""),10)</f>
        <v>10</v>
      </c>
      <c r="J1706" s="124">
        <f ca="1">IFERROR(__xludf.DUMMYFUNCTION("""COMPUTED_VALUE"""),4)</f>
        <v>4</v>
      </c>
      <c r="K1706" s="125">
        <f ca="1">IFERROR(__xludf.DUMMYFUNCTION("""COMPUTED_VALUE"""),101.65)</f>
        <v>101.65</v>
      </c>
      <c r="L1706" s="121"/>
      <c r="M1706" s="125"/>
      <c r="N1706" s="121"/>
      <c r="O1706" s="125">
        <f ca="1">IFERROR(__xludf.DUMMYFUNCTION("""COMPUTED_VALUE"""),89.8)</f>
        <v>89.8</v>
      </c>
      <c r="P1706" s="126"/>
      <c r="Q1706" s="127"/>
      <c r="R1706" s="127"/>
      <c r="S1706" s="127"/>
      <c r="T1706" s="127"/>
    </row>
    <row r="1707" spans="1:20" ht="13.8">
      <c r="A1707" s="118" t="str">
        <f ca="1">IFERROR(__xludf.DUMMYFUNCTION("""COMPUTED_VALUE"""),"SB")</f>
        <v>SB</v>
      </c>
      <c r="B1707" s="119" t="str">
        <f ca="1">IFERROR(__xludf.DUMMYFUNCTION("""COMPUTED_VALUE"""),"Anna Hunt")</f>
        <v>Anna Hunt</v>
      </c>
      <c r="C1707" s="118">
        <f ca="1">IFERROR(__xludf.DUMMYFUNCTION("""COMPUTED_VALUE"""),8)</f>
        <v>8</v>
      </c>
      <c r="D1707" s="118" t="str">
        <f ca="1">IFERROR(__xludf.DUMMYFUNCTION("""COMPUTED_VALUE"""),"G")</f>
        <v>G</v>
      </c>
      <c r="E1707" s="118" t="str">
        <f ca="1">IFERROR(__xludf.DUMMYFUNCTION("""COMPUTED_VALUE"""),"F")</f>
        <v>F</v>
      </c>
      <c r="F1707" s="124" t="str">
        <f ca="1">IFERROR(__xludf.DUMMYFUNCTION("""COMPUTED_VALUE"""),"J")</f>
        <v>J</v>
      </c>
      <c r="G1707" s="124">
        <f ca="1">IFERROR(__xludf.DUMMYFUNCTION("""COMPUTED_VALUE"""),8)</f>
        <v>8</v>
      </c>
      <c r="H1707" s="124" t="str">
        <f ca="1">IFERROR(__xludf.DUMMYFUNCTION("""COMPUTED_VALUE"""),"SB")</f>
        <v>SB</v>
      </c>
      <c r="I1707" s="124">
        <f ca="1">IFERROR(__xludf.DUMMYFUNCTION("""COMPUTED_VALUE"""),4)</f>
        <v>4</v>
      </c>
      <c r="J1707" s="124">
        <f ca="1">IFERROR(__xludf.DUMMYFUNCTION("""COMPUTED_VALUE"""),4)</f>
        <v>4</v>
      </c>
      <c r="K1707" s="125">
        <f ca="1">IFERROR(__xludf.DUMMYFUNCTION("""COMPUTED_VALUE"""),42)</f>
        <v>42</v>
      </c>
      <c r="L1707" s="121"/>
      <c r="M1707" s="125"/>
      <c r="N1707" s="121"/>
      <c r="O1707" s="125">
        <f ca="1">IFERROR(__xludf.DUMMYFUNCTION("""COMPUTED_VALUE"""),25.4)</f>
        <v>25.4</v>
      </c>
      <c r="P1707" s="126"/>
      <c r="Q1707" s="127"/>
      <c r="R1707" s="127"/>
      <c r="S1707" s="127"/>
      <c r="T1707" s="127"/>
    </row>
    <row r="1708" spans="1:20" ht="13.8">
      <c r="A1708" s="118" t="str">
        <f ca="1">IFERROR(__xludf.DUMMYFUNCTION("""COMPUTED_VALUE"""),"SB")</f>
        <v>SB</v>
      </c>
      <c r="B1708" s="119" t="str">
        <f ca="1">IFERROR(__xludf.DUMMYFUNCTION("""COMPUTED_VALUE"""),"Bree Doss")</f>
        <v>Bree Doss</v>
      </c>
      <c r="C1708" s="118">
        <f ca="1">IFERROR(__xludf.DUMMYFUNCTION("""COMPUTED_VALUE"""),10)</f>
        <v>10</v>
      </c>
      <c r="D1708" s="118" t="str">
        <f ca="1">IFERROR(__xludf.DUMMYFUNCTION("""COMPUTED_VALUE"""),"G")</f>
        <v>G</v>
      </c>
      <c r="E1708" s="118" t="str">
        <f ca="1">IFERROR(__xludf.DUMMYFUNCTION("""COMPUTED_VALUE"""),"F")</f>
        <v>F</v>
      </c>
      <c r="F1708" s="124" t="str">
        <f ca="1">IFERROR(__xludf.DUMMYFUNCTION("""COMPUTED_VALUE"""),"J")</f>
        <v>J</v>
      </c>
      <c r="G1708" s="124">
        <f ca="1">IFERROR(__xludf.DUMMYFUNCTION("""COMPUTED_VALUE"""),8)</f>
        <v>8</v>
      </c>
      <c r="H1708" s="124" t="str">
        <f ca="1">IFERROR(__xludf.DUMMYFUNCTION("""COMPUTED_VALUE"""),"SB")</f>
        <v>SB</v>
      </c>
      <c r="I1708" s="124">
        <f ca="1">IFERROR(__xludf.DUMMYFUNCTION("""COMPUTED_VALUE"""),4)</f>
        <v>4</v>
      </c>
      <c r="J1708" s="124">
        <f ca="1">IFERROR(__xludf.DUMMYFUNCTION("""COMPUTED_VALUE"""),2)</f>
        <v>2</v>
      </c>
      <c r="K1708" s="125"/>
      <c r="L1708" s="121"/>
      <c r="M1708" s="125"/>
      <c r="N1708" s="121"/>
      <c r="O1708" s="125"/>
      <c r="P1708" s="126"/>
      <c r="Q1708" s="127"/>
      <c r="R1708" s="127"/>
      <c r="S1708" s="127"/>
      <c r="T1708" s="127"/>
    </row>
    <row r="1709" spans="1:20" ht="13.8">
      <c r="A1709" s="118" t="str">
        <f ca="1">IFERROR(__xludf.DUMMYFUNCTION("""COMPUTED_VALUE"""),"SB")</f>
        <v>SB</v>
      </c>
      <c r="B1709" s="119" t="str">
        <f ca="1">IFERROR(__xludf.DUMMYFUNCTION("""COMPUTED_VALUE"""),"Caelyn Kramer")</f>
        <v>Caelyn Kramer</v>
      </c>
      <c r="C1709" s="118">
        <f ca="1">IFERROR(__xludf.DUMMYFUNCTION("""COMPUTED_VALUE"""),10)</f>
        <v>10</v>
      </c>
      <c r="D1709" s="118" t="str">
        <f ca="1">IFERROR(__xludf.DUMMYFUNCTION("""COMPUTED_VALUE"""),"G")</f>
        <v>G</v>
      </c>
      <c r="E1709" s="118" t="str">
        <f ca="1">IFERROR(__xludf.DUMMYFUNCTION("""COMPUTED_VALUE"""),"F")</f>
        <v>F</v>
      </c>
      <c r="F1709" s="124" t="str">
        <f ca="1">IFERROR(__xludf.DUMMYFUNCTION("""COMPUTED_VALUE"""),"J")</f>
        <v>J</v>
      </c>
      <c r="G1709" s="124">
        <f ca="1">IFERROR(__xludf.DUMMYFUNCTION("""COMPUTED_VALUE"""),8)</f>
        <v>8</v>
      </c>
      <c r="H1709" s="124" t="str">
        <f ca="1">IFERROR(__xludf.DUMMYFUNCTION("""COMPUTED_VALUE"""),"SB")</f>
        <v>SB</v>
      </c>
      <c r="I1709" s="124">
        <f ca="1">IFERROR(__xludf.DUMMYFUNCTION("""COMPUTED_VALUE"""),4)</f>
        <v>4</v>
      </c>
      <c r="J1709" s="124">
        <f ca="1">IFERROR(__xludf.DUMMYFUNCTION("""COMPUTED_VALUE"""),5)</f>
        <v>5</v>
      </c>
      <c r="K1709" s="125">
        <f ca="1">IFERROR(__xludf.DUMMYFUNCTION("""COMPUTED_VALUE"""),29.7)</f>
        <v>29.7</v>
      </c>
      <c r="L1709" s="121"/>
      <c r="M1709" s="125">
        <f ca="1">IFERROR(__xludf.DUMMYFUNCTION("""COMPUTED_VALUE"""),15)</f>
        <v>15</v>
      </c>
      <c r="N1709" s="121"/>
      <c r="O1709" s="125">
        <f ca="1">IFERROR(__xludf.DUMMYFUNCTION("""COMPUTED_VALUE"""),15.7)</f>
        <v>15.7</v>
      </c>
      <c r="P1709" s="126"/>
      <c r="Q1709" s="127"/>
      <c r="R1709" s="127"/>
      <c r="S1709" s="127"/>
      <c r="T1709" s="127"/>
    </row>
    <row r="1710" spans="1:20" ht="13.8">
      <c r="A1710" s="118" t="str">
        <f ca="1">IFERROR(__xludf.DUMMYFUNCTION("""COMPUTED_VALUE"""),"SB")</f>
        <v>SB</v>
      </c>
      <c r="B1710" s="119" t="str">
        <f ca="1">IFERROR(__xludf.DUMMYFUNCTION("""COMPUTED_VALUE"""),"Ella Packard")</f>
        <v>Ella Packard</v>
      </c>
      <c r="C1710" s="118">
        <f ca="1">IFERROR(__xludf.DUMMYFUNCTION("""COMPUTED_VALUE"""),8)</f>
        <v>8</v>
      </c>
      <c r="D1710" s="118" t="str">
        <f ca="1">IFERROR(__xludf.DUMMYFUNCTION("""COMPUTED_VALUE"""),"G")</f>
        <v>G</v>
      </c>
      <c r="E1710" s="118" t="str">
        <f ca="1">IFERROR(__xludf.DUMMYFUNCTION("""COMPUTED_VALUE"""),"F")</f>
        <v>F</v>
      </c>
      <c r="F1710" s="124" t="str">
        <f ca="1">IFERROR(__xludf.DUMMYFUNCTION("""COMPUTED_VALUE"""),"J")</f>
        <v>J</v>
      </c>
      <c r="G1710" s="124">
        <f ca="1">IFERROR(__xludf.DUMMYFUNCTION("""COMPUTED_VALUE"""),8)</f>
        <v>8</v>
      </c>
      <c r="H1710" s="124" t="str">
        <f ca="1">IFERROR(__xludf.DUMMYFUNCTION("""COMPUTED_VALUE"""),"SB")</f>
        <v>SB</v>
      </c>
      <c r="I1710" s="124">
        <f ca="1">IFERROR(__xludf.DUMMYFUNCTION("""COMPUTED_VALUE"""),4)</f>
        <v>4</v>
      </c>
      <c r="J1710" s="124">
        <f ca="1">IFERROR(__xludf.DUMMYFUNCTION("""COMPUTED_VALUE"""),2)</f>
        <v>2</v>
      </c>
      <c r="K1710" s="125">
        <f ca="1">IFERROR(__xludf.DUMMYFUNCTION("""COMPUTED_VALUE"""),23.8)</f>
        <v>23.8</v>
      </c>
      <c r="L1710" s="121"/>
      <c r="M1710" s="125"/>
      <c r="N1710" s="121"/>
      <c r="O1710" s="125"/>
      <c r="P1710" s="126"/>
      <c r="Q1710" s="127"/>
      <c r="R1710" s="127"/>
      <c r="S1710" s="127"/>
      <c r="T1710" s="127"/>
    </row>
    <row r="1711" spans="1:20" ht="13.8">
      <c r="A1711" s="118" t="str">
        <f ca="1">IFERROR(__xludf.DUMMYFUNCTION("""COMPUTED_VALUE"""),"SB")</f>
        <v>SB</v>
      </c>
      <c r="B1711" s="119" t="str">
        <f ca="1">IFERROR(__xludf.DUMMYFUNCTION("""COMPUTED_VALUE"""),"Kenzie Doss")</f>
        <v>Kenzie Doss</v>
      </c>
      <c r="C1711" s="118">
        <f ca="1">IFERROR(__xludf.DUMMYFUNCTION("""COMPUTED_VALUE"""),9)</f>
        <v>9</v>
      </c>
      <c r="D1711" s="118" t="str">
        <f ca="1">IFERROR(__xludf.DUMMYFUNCTION("""COMPUTED_VALUE"""),"G")</f>
        <v>G</v>
      </c>
      <c r="E1711" s="118" t="str">
        <f ca="1">IFERROR(__xludf.DUMMYFUNCTION("""COMPUTED_VALUE"""),"F")</f>
        <v>F</v>
      </c>
      <c r="F1711" s="124" t="str">
        <f ca="1">IFERROR(__xludf.DUMMYFUNCTION("""COMPUTED_VALUE"""),"J")</f>
        <v>J</v>
      </c>
      <c r="G1711" s="124">
        <f ca="1">IFERROR(__xludf.DUMMYFUNCTION("""COMPUTED_VALUE"""),8)</f>
        <v>8</v>
      </c>
      <c r="H1711" s="124" t="str">
        <f ca="1">IFERROR(__xludf.DUMMYFUNCTION("""COMPUTED_VALUE"""),"SB")</f>
        <v>SB</v>
      </c>
      <c r="I1711" s="124">
        <f ca="1">IFERROR(__xludf.DUMMYFUNCTION("""COMPUTED_VALUE"""),4)</f>
        <v>4</v>
      </c>
      <c r="J1711" s="124">
        <f ca="1">IFERROR(__xludf.DUMMYFUNCTION("""COMPUTED_VALUE"""),1)</f>
        <v>1</v>
      </c>
      <c r="K1711" s="125"/>
      <c r="L1711" s="121"/>
      <c r="M1711" s="125"/>
      <c r="N1711" s="121"/>
      <c r="O1711" s="125"/>
      <c r="P1711" s="126"/>
      <c r="Q1711" s="127"/>
      <c r="R1711" s="127"/>
      <c r="S1711" s="127"/>
      <c r="T1711" s="127"/>
    </row>
    <row r="1712" spans="1:20" ht="13.8">
      <c r="A1712" s="118" t="str">
        <f ca="1">IFERROR(__xludf.DUMMYFUNCTION("""COMPUTED_VALUE"""),"SB")</f>
        <v>SB</v>
      </c>
      <c r="B1712" s="119" t="str">
        <f ca="1">IFERROR(__xludf.DUMMYFUNCTION("""COMPUTED_VALUE"""),"Matilda Duffy")</f>
        <v>Matilda Duffy</v>
      </c>
      <c r="C1712" s="118">
        <f ca="1">IFERROR(__xludf.DUMMYFUNCTION("""COMPUTED_VALUE"""),10)</f>
        <v>10</v>
      </c>
      <c r="D1712" s="118" t="str">
        <f ca="1">IFERROR(__xludf.DUMMYFUNCTION("""COMPUTED_VALUE"""),"G")</f>
        <v>G</v>
      </c>
      <c r="E1712" s="118" t="str">
        <f ca="1">IFERROR(__xludf.DUMMYFUNCTION("""COMPUTED_VALUE"""),"F")</f>
        <v>F</v>
      </c>
      <c r="F1712" s="124" t="str">
        <f ca="1">IFERROR(__xludf.DUMMYFUNCTION("""COMPUTED_VALUE"""),"J")</f>
        <v>J</v>
      </c>
      <c r="G1712" s="124">
        <f ca="1">IFERROR(__xludf.DUMMYFUNCTION("""COMPUTED_VALUE"""),8)</f>
        <v>8</v>
      </c>
      <c r="H1712" s="124" t="str">
        <f ca="1">IFERROR(__xludf.DUMMYFUNCTION("""COMPUTED_VALUE"""),"SB")</f>
        <v>SB</v>
      </c>
      <c r="I1712" s="124">
        <f ca="1">IFERROR(__xludf.DUMMYFUNCTION("""COMPUTED_VALUE"""),4)</f>
        <v>4</v>
      </c>
      <c r="J1712" s="124">
        <f ca="1">IFERROR(__xludf.DUMMYFUNCTION("""COMPUTED_VALUE"""),3)</f>
        <v>3</v>
      </c>
      <c r="K1712" s="125">
        <f ca="1">IFERROR(__xludf.DUMMYFUNCTION("""COMPUTED_VALUE"""),29.6)</f>
        <v>29.6</v>
      </c>
      <c r="L1712" s="121"/>
      <c r="M1712" s="125">
        <f ca="1">IFERROR(__xludf.DUMMYFUNCTION("""COMPUTED_VALUE"""),17.6)</f>
        <v>17.600000000000001</v>
      </c>
      <c r="N1712" s="121"/>
      <c r="O1712" s="125"/>
      <c r="P1712" s="126"/>
      <c r="Q1712" s="127"/>
      <c r="R1712" s="127"/>
      <c r="S1712" s="127"/>
      <c r="T1712" s="127"/>
    </row>
    <row r="1713" spans="1:20" ht="13.8">
      <c r="A1713" s="118" t="str">
        <f ca="1">IFERROR(__xludf.DUMMYFUNCTION("""COMPUTED_VALUE"""),"SB")</f>
        <v>SB</v>
      </c>
      <c r="B1713" s="119" t="str">
        <f ca="1">IFERROR(__xludf.DUMMYFUNCTION("""COMPUTED_VALUE"""),"Mila Gonzales")</f>
        <v>Mila Gonzales</v>
      </c>
      <c r="C1713" s="118">
        <f ca="1">IFERROR(__xludf.DUMMYFUNCTION("""COMPUTED_VALUE"""),9)</f>
        <v>9</v>
      </c>
      <c r="D1713" s="118" t="str">
        <f ca="1">IFERROR(__xludf.DUMMYFUNCTION("""COMPUTED_VALUE"""),"G")</f>
        <v>G</v>
      </c>
      <c r="E1713" s="118" t="str">
        <f ca="1">IFERROR(__xludf.DUMMYFUNCTION("""COMPUTED_VALUE"""),"F")</f>
        <v>F</v>
      </c>
      <c r="F1713" s="124" t="str">
        <f ca="1">IFERROR(__xludf.DUMMYFUNCTION("""COMPUTED_VALUE"""),"J")</f>
        <v>J</v>
      </c>
      <c r="G1713" s="124">
        <f ca="1">IFERROR(__xludf.DUMMYFUNCTION("""COMPUTED_VALUE"""),8)</f>
        <v>8</v>
      </c>
      <c r="H1713" s="124" t="str">
        <f ca="1">IFERROR(__xludf.DUMMYFUNCTION("""COMPUTED_VALUE"""),"SB")</f>
        <v>SB</v>
      </c>
      <c r="I1713" s="124">
        <f ca="1">IFERROR(__xludf.DUMMYFUNCTION("""COMPUTED_VALUE"""),4)</f>
        <v>4</v>
      </c>
      <c r="J1713" s="124">
        <f ca="1">IFERROR(__xludf.DUMMYFUNCTION("""COMPUTED_VALUE"""),4)</f>
        <v>4</v>
      </c>
      <c r="K1713" s="125">
        <f ca="1">IFERROR(__xludf.DUMMYFUNCTION("""COMPUTED_VALUE"""),46.25)</f>
        <v>46.25</v>
      </c>
      <c r="L1713" s="121"/>
      <c r="M1713" s="125">
        <f ca="1">IFERROR(__xludf.DUMMYFUNCTION("""COMPUTED_VALUE"""),38.5)</f>
        <v>38.5</v>
      </c>
      <c r="N1713" s="121"/>
      <c r="O1713" s="125">
        <f ca="1">IFERROR(__xludf.DUMMYFUNCTION("""COMPUTED_VALUE"""),44.45)</f>
        <v>44.45</v>
      </c>
      <c r="P1713" s="126"/>
      <c r="Q1713" s="127"/>
      <c r="R1713" s="127"/>
      <c r="S1713" s="127"/>
      <c r="T1713" s="127"/>
    </row>
    <row r="1714" spans="1:20" ht="13.8">
      <c r="A1714" s="118" t="str">
        <f ca="1">IFERROR(__xludf.DUMMYFUNCTION("""COMPUTED_VALUE"""),"SB")</f>
        <v>SB</v>
      </c>
      <c r="B1714" s="119" t="str">
        <f ca="1">IFERROR(__xludf.DUMMYFUNCTION("""COMPUTED_VALUE"""),"Sydney Lawyer")</f>
        <v>Sydney Lawyer</v>
      </c>
      <c r="C1714" s="118">
        <f ca="1">IFERROR(__xludf.DUMMYFUNCTION("""COMPUTED_VALUE"""),10)</f>
        <v>10</v>
      </c>
      <c r="D1714" s="118" t="str">
        <f ca="1">IFERROR(__xludf.DUMMYFUNCTION("""COMPUTED_VALUE"""),"G")</f>
        <v>G</v>
      </c>
      <c r="E1714" s="118" t="str">
        <f ca="1">IFERROR(__xludf.DUMMYFUNCTION("""COMPUTED_VALUE"""),"F")</f>
        <v>F</v>
      </c>
      <c r="F1714" s="124" t="str">
        <f ca="1">IFERROR(__xludf.DUMMYFUNCTION("""COMPUTED_VALUE"""),"J")</f>
        <v>J</v>
      </c>
      <c r="G1714" s="124">
        <f ca="1">IFERROR(__xludf.DUMMYFUNCTION("""COMPUTED_VALUE"""),8)</f>
        <v>8</v>
      </c>
      <c r="H1714" s="124" t="str">
        <f ca="1">IFERROR(__xludf.DUMMYFUNCTION("""COMPUTED_VALUE"""),"SB")</f>
        <v>SB</v>
      </c>
      <c r="I1714" s="124">
        <f ca="1">IFERROR(__xludf.DUMMYFUNCTION("""COMPUTED_VALUE"""),4)</f>
        <v>4</v>
      </c>
      <c r="J1714" s="124">
        <f ca="1">IFERROR(__xludf.DUMMYFUNCTION("""COMPUTED_VALUE"""),5)</f>
        <v>5</v>
      </c>
      <c r="K1714" s="125">
        <f ca="1">IFERROR(__xludf.DUMMYFUNCTION("""COMPUTED_VALUE"""),48.95)</f>
        <v>48.95</v>
      </c>
      <c r="L1714" s="121"/>
      <c r="M1714" s="125">
        <f ca="1">IFERROR(__xludf.DUMMYFUNCTION("""COMPUTED_VALUE"""),-57.4)</f>
        <v>-57.4</v>
      </c>
      <c r="N1714" s="121"/>
      <c r="O1714" s="125">
        <f ca="1">IFERROR(__xludf.DUMMYFUNCTION("""COMPUTED_VALUE"""),-71.25)</f>
        <v>-71.25</v>
      </c>
      <c r="P1714" s="126"/>
      <c r="Q1714" s="127"/>
      <c r="R1714" s="127"/>
      <c r="S1714" s="127"/>
      <c r="T1714" s="127"/>
    </row>
    <row r="1715" spans="1:20" ht="13.8">
      <c r="A1715" s="118" t="str">
        <f ca="1">IFERROR(__xludf.DUMMYFUNCTION("""COMPUTED_VALUE"""),"SB")</f>
        <v>SB</v>
      </c>
      <c r="B1715" s="119" t="str">
        <f ca="1">IFERROR(__xludf.DUMMYFUNCTION("""COMPUTED_VALUE"""),"Adam Boyd")</f>
        <v>Adam Boyd</v>
      </c>
      <c r="C1715" s="118">
        <f ca="1">IFERROR(__xludf.DUMMYFUNCTION("""COMPUTED_VALUE"""),10)</f>
        <v>10</v>
      </c>
      <c r="D1715" s="118" t="str">
        <f ca="1">IFERROR(__xludf.DUMMYFUNCTION("""COMPUTED_VALUE"""),"B")</f>
        <v>B</v>
      </c>
      <c r="E1715" s="118" t="str">
        <f ca="1">IFERROR(__xludf.DUMMYFUNCTION("""COMPUTED_VALUE"""),"F")</f>
        <v>F</v>
      </c>
      <c r="F1715" s="124" t="str">
        <f ca="1">IFERROR(__xludf.DUMMYFUNCTION("""COMPUTED_VALUE"""),"J")</f>
        <v>J</v>
      </c>
      <c r="G1715" s="124">
        <f ca="1">IFERROR(__xludf.DUMMYFUNCTION("""COMPUTED_VALUE"""),8)</f>
        <v>8</v>
      </c>
      <c r="H1715" s="124" t="str">
        <f ca="1">IFERROR(__xludf.DUMMYFUNCTION("""COMPUTED_VALUE"""),"SB")</f>
        <v>SB</v>
      </c>
      <c r="I1715" s="124">
        <f ca="1">IFERROR(__xludf.DUMMYFUNCTION("""COMPUTED_VALUE"""),5)</f>
        <v>5</v>
      </c>
      <c r="J1715" s="124">
        <f ca="1">IFERROR(__xludf.DUMMYFUNCTION("""COMPUTED_VALUE"""),4)</f>
        <v>4</v>
      </c>
      <c r="K1715" s="125">
        <f ca="1">IFERROR(__xludf.DUMMYFUNCTION("""COMPUTED_VALUE"""),41.55)</f>
        <v>41.55</v>
      </c>
      <c r="L1715" s="121"/>
      <c r="M1715" s="125">
        <f ca="1">IFERROR(__xludf.DUMMYFUNCTION("""COMPUTED_VALUE"""),28.15)</f>
        <v>28.15</v>
      </c>
      <c r="N1715" s="121"/>
      <c r="O1715" s="125"/>
      <c r="P1715" s="126"/>
      <c r="Q1715" s="127"/>
      <c r="R1715" s="127"/>
      <c r="S1715" s="127"/>
      <c r="T1715" s="127"/>
    </row>
    <row r="1716" spans="1:20" ht="13.8">
      <c r="A1716" s="118" t="str">
        <f ca="1">IFERROR(__xludf.DUMMYFUNCTION("""COMPUTED_VALUE"""),"SB")</f>
        <v>SB</v>
      </c>
      <c r="B1716" s="119" t="str">
        <f ca="1">IFERROR(__xludf.DUMMYFUNCTION("""COMPUTED_VALUE"""),"Grant Burgess")</f>
        <v>Grant Burgess</v>
      </c>
      <c r="C1716" s="118">
        <f ca="1">IFERROR(__xludf.DUMMYFUNCTION("""COMPUTED_VALUE"""),9)</f>
        <v>9</v>
      </c>
      <c r="D1716" s="118" t="str">
        <f ca="1">IFERROR(__xludf.DUMMYFUNCTION("""COMPUTED_VALUE"""),"B")</f>
        <v>B</v>
      </c>
      <c r="E1716" s="118" t="str">
        <f ca="1">IFERROR(__xludf.DUMMYFUNCTION("""COMPUTED_VALUE"""),"F")</f>
        <v>F</v>
      </c>
      <c r="F1716" s="124" t="str">
        <f ca="1">IFERROR(__xludf.DUMMYFUNCTION("""COMPUTED_VALUE"""),"J")</f>
        <v>J</v>
      </c>
      <c r="G1716" s="124">
        <f ca="1">IFERROR(__xludf.DUMMYFUNCTION("""COMPUTED_VALUE"""),8)</f>
        <v>8</v>
      </c>
      <c r="H1716" s="124" t="str">
        <f ca="1">IFERROR(__xludf.DUMMYFUNCTION("""COMPUTED_VALUE"""),"SB")</f>
        <v>SB</v>
      </c>
      <c r="I1716" s="124">
        <f ca="1">IFERROR(__xludf.DUMMYFUNCTION("""COMPUTED_VALUE"""),5)</f>
        <v>5</v>
      </c>
      <c r="J1716" s="124">
        <f ca="1">IFERROR(__xludf.DUMMYFUNCTION("""COMPUTED_VALUE"""),3)</f>
        <v>3</v>
      </c>
      <c r="K1716" s="125">
        <f ca="1">IFERROR(__xludf.DUMMYFUNCTION("""COMPUTED_VALUE"""),51.75)</f>
        <v>51.75</v>
      </c>
      <c r="L1716" s="121"/>
      <c r="M1716" s="125">
        <f ca="1">IFERROR(__xludf.DUMMYFUNCTION("""COMPUTED_VALUE"""),40.95)</f>
        <v>40.950000000000003</v>
      </c>
      <c r="N1716" s="121"/>
      <c r="O1716" s="125">
        <f ca="1">IFERROR(__xludf.DUMMYFUNCTION("""COMPUTED_VALUE"""),42.8)</f>
        <v>42.8</v>
      </c>
      <c r="P1716" s="126"/>
      <c r="Q1716" s="127"/>
      <c r="R1716" s="127"/>
      <c r="S1716" s="127"/>
      <c r="T1716" s="127"/>
    </row>
    <row r="1717" spans="1:20" ht="13.8">
      <c r="A1717" s="118" t="str">
        <f ca="1">IFERROR(__xludf.DUMMYFUNCTION("""COMPUTED_VALUE"""),"SB")</f>
        <v>SB</v>
      </c>
      <c r="B1717" s="119" t="str">
        <f ca="1">IFERROR(__xludf.DUMMYFUNCTION("""COMPUTED_VALUE"""),"Samuel Gonzales")</f>
        <v>Samuel Gonzales</v>
      </c>
      <c r="C1717" s="118">
        <f ca="1">IFERROR(__xludf.DUMMYFUNCTION("""COMPUTED_VALUE"""),7)</f>
        <v>7</v>
      </c>
      <c r="D1717" s="118" t="str">
        <f ca="1">IFERROR(__xludf.DUMMYFUNCTION("""COMPUTED_VALUE"""),"B")</f>
        <v>B</v>
      </c>
      <c r="E1717" s="118" t="str">
        <f ca="1">IFERROR(__xludf.DUMMYFUNCTION("""COMPUTED_VALUE"""),"F")</f>
        <v>F</v>
      </c>
      <c r="F1717" s="124" t="str">
        <f ca="1">IFERROR(__xludf.DUMMYFUNCTION("""COMPUTED_VALUE"""),"J")</f>
        <v>J</v>
      </c>
      <c r="G1717" s="124">
        <f ca="1">IFERROR(__xludf.DUMMYFUNCTION("""COMPUTED_VALUE"""),8)</f>
        <v>8</v>
      </c>
      <c r="H1717" s="124" t="str">
        <f ca="1">IFERROR(__xludf.DUMMYFUNCTION("""COMPUTED_VALUE"""),"SB")</f>
        <v>SB</v>
      </c>
      <c r="I1717" s="124">
        <f ca="1">IFERROR(__xludf.DUMMYFUNCTION("""COMPUTED_VALUE"""),5)</f>
        <v>5</v>
      </c>
      <c r="J1717" s="124">
        <f ca="1">IFERROR(__xludf.DUMMYFUNCTION("""COMPUTED_VALUE"""),2)</f>
        <v>2</v>
      </c>
      <c r="K1717" s="125">
        <f ca="1">IFERROR(__xludf.DUMMYFUNCTION("""COMPUTED_VALUE"""),14.2)</f>
        <v>14.2</v>
      </c>
      <c r="L1717" s="121"/>
      <c r="M1717" s="125"/>
      <c r="N1717" s="121"/>
      <c r="O1717" s="125"/>
      <c r="P1717" s="126"/>
      <c r="Q1717" s="127"/>
      <c r="R1717" s="127"/>
      <c r="S1717" s="127"/>
      <c r="T1717" s="127"/>
    </row>
    <row r="1718" spans="1:20" ht="13.8">
      <c r="A1718" s="118" t="str">
        <f ca="1">IFERROR(__xludf.DUMMYFUNCTION("""COMPUTED_VALUE"""),"SB")</f>
        <v>SB</v>
      </c>
      <c r="B1718" s="119" t="str">
        <f ca="1">IFERROR(__xludf.DUMMYFUNCTION("""COMPUTED_VALUE"""),"Samuel Kim")</f>
        <v>Samuel Kim</v>
      </c>
      <c r="C1718" s="118">
        <f ca="1">IFERROR(__xludf.DUMMYFUNCTION("""COMPUTED_VALUE"""),7)</f>
        <v>7</v>
      </c>
      <c r="D1718" s="118" t="str">
        <f ca="1">IFERROR(__xludf.DUMMYFUNCTION("""COMPUTED_VALUE"""),"B")</f>
        <v>B</v>
      </c>
      <c r="E1718" s="118" t="str">
        <f ca="1">IFERROR(__xludf.DUMMYFUNCTION("""COMPUTED_VALUE"""),"F")</f>
        <v>F</v>
      </c>
      <c r="F1718" s="124" t="str">
        <f ca="1">IFERROR(__xludf.DUMMYFUNCTION("""COMPUTED_VALUE"""),"J")</f>
        <v>J</v>
      </c>
      <c r="G1718" s="124">
        <f ca="1">IFERROR(__xludf.DUMMYFUNCTION("""COMPUTED_VALUE"""),8)</f>
        <v>8</v>
      </c>
      <c r="H1718" s="124" t="str">
        <f ca="1">IFERROR(__xludf.DUMMYFUNCTION("""COMPUTED_VALUE"""),"SB")</f>
        <v>SB</v>
      </c>
      <c r="I1718" s="124">
        <f ca="1">IFERROR(__xludf.DUMMYFUNCTION("""COMPUTED_VALUE"""),5)</f>
        <v>5</v>
      </c>
      <c r="J1718" s="124">
        <f ca="1">IFERROR(__xludf.DUMMYFUNCTION("""COMPUTED_VALUE"""),5)</f>
        <v>5</v>
      </c>
      <c r="K1718" s="125">
        <f ca="1">IFERROR(__xludf.DUMMYFUNCTION("""COMPUTED_VALUE"""),39.55)</f>
        <v>39.549999999999997</v>
      </c>
      <c r="L1718" s="121"/>
      <c r="M1718" s="125">
        <f ca="1">IFERROR(__xludf.DUMMYFUNCTION("""COMPUTED_VALUE"""),30.55)</f>
        <v>30.55</v>
      </c>
      <c r="N1718" s="121"/>
      <c r="O1718" s="125">
        <f ca="1">IFERROR(__xludf.DUMMYFUNCTION("""COMPUTED_VALUE"""),39.15)</f>
        <v>39.15</v>
      </c>
      <c r="P1718" s="126"/>
      <c r="Q1718" s="127"/>
      <c r="R1718" s="127"/>
      <c r="S1718" s="127"/>
      <c r="T1718" s="127"/>
    </row>
    <row r="1719" spans="1:20" ht="13.8">
      <c r="A1719" s="118" t="str">
        <f ca="1">IFERROR(__xludf.DUMMYFUNCTION("""COMPUTED_VALUE"""),"SB")</f>
        <v>SB</v>
      </c>
      <c r="B1719" s="119" t="str">
        <f ca="1">IFERROR(__xludf.DUMMYFUNCTION("""COMPUTED_VALUE"""),"Santiago Perez")</f>
        <v>Santiago Perez</v>
      </c>
      <c r="C1719" s="118">
        <f ca="1">IFERROR(__xludf.DUMMYFUNCTION("""COMPUTED_VALUE"""),9)</f>
        <v>9</v>
      </c>
      <c r="D1719" s="118" t="str">
        <f ca="1">IFERROR(__xludf.DUMMYFUNCTION("""COMPUTED_VALUE"""),"B")</f>
        <v>B</v>
      </c>
      <c r="E1719" s="118" t="str">
        <f ca="1">IFERROR(__xludf.DUMMYFUNCTION("""COMPUTED_VALUE"""),"F")</f>
        <v>F</v>
      </c>
      <c r="F1719" s="124" t="str">
        <f ca="1">IFERROR(__xludf.DUMMYFUNCTION("""COMPUTED_VALUE"""),"J")</f>
        <v>J</v>
      </c>
      <c r="G1719" s="124">
        <f ca="1">IFERROR(__xludf.DUMMYFUNCTION("""COMPUTED_VALUE"""),8)</f>
        <v>8</v>
      </c>
      <c r="H1719" s="124" t="str">
        <f ca="1">IFERROR(__xludf.DUMMYFUNCTION("""COMPUTED_VALUE"""),"SB")</f>
        <v>SB</v>
      </c>
      <c r="I1719" s="124">
        <f ca="1">IFERROR(__xludf.DUMMYFUNCTION("""COMPUTED_VALUE"""),5)</f>
        <v>5</v>
      </c>
      <c r="J1719" s="124">
        <f ca="1">IFERROR(__xludf.DUMMYFUNCTION("""COMPUTED_VALUE"""),0)</f>
        <v>0</v>
      </c>
      <c r="K1719" s="125"/>
      <c r="L1719" s="121"/>
      <c r="M1719" s="125"/>
      <c r="N1719" s="121"/>
      <c r="O1719" s="125"/>
      <c r="P1719" s="126"/>
      <c r="Q1719" s="127"/>
      <c r="R1719" s="127"/>
      <c r="S1719" s="127"/>
      <c r="T1719" s="127"/>
    </row>
    <row r="1720" spans="1:20" ht="13.8">
      <c r="A1720" s="118" t="str">
        <f ca="1">IFERROR(__xludf.DUMMYFUNCTION("""COMPUTED_VALUE"""),"SB")</f>
        <v>SB</v>
      </c>
      <c r="B1720" s="119" t="str">
        <f ca="1">IFERROR(__xludf.DUMMYFUNCTION("""COMPUTED_VALUE"""),"Theo Stratford")</f>
        <v>Theo Stratford</v>
      </c>
      <c r="C1720" s="118">
        <f ca="1">IFERROR(__xludf.DUMMYFUNCTION("""COMPUTED_VALUE"""),8)</f>
        <v>8</v>
      </c>
      <c r="D1720" s="118" t="str">
        <f ca="1">IFERROR(__xludf.DUMMYFUNCTION("""COMPUTED_VALUE"""),"B")</f>
        <v>B</v>
      </c>
      <c r="E1720" s="118" t="str">
        <f ca="1">IFERROR(__xludf.DUMMYFUNCTION("""COMPUTED_VALUE"""),"F")</f>
        <v>F</v>
      </c>
      <c r="F1720" s="124" t="str">
        <f ca="1">IFERROR(__xludf.DUMMYFUNCTION("""COMPUTED_VALUE"""),"J")</f>
        <v>J</v>
      </c>
      <c r="G1720" s="124">
        <f ca="1">IFERROR(__xludf.DUMMYFUNCTION("""COMPUTED_VALUE"""),8)</f>
        <v>8</v>
      </c>
      <c r="H1720" s="124" t="str">
        <f ca="1">IFERROR(__xludf.DUMMYFUNCTION("""COMPUTED_VALUE"""),"SB")</f>
        <v>SB</v>
      </c>
      <c r="I1720" s="124">
        <f ca="1">IFERROR(__xludf.DUMMYFUNCTION("""COMPUTED_VALUE"""),5)</f>
        <v>5</v>
      </c>
      <c r="J1720" s="124">
        <f ca="1">IFERROR(__xludf.DUMMYFUNCTION("""COMPUTED_VALUE"""),5)</f>
        <v>5</v>
      </c>
      <c r="K1720" s="125">
        <f ca="1">IFERROR(__xludf.DUMMYFUNCTION("""COMPUTED_VALUE"""),55.85)</f>
        <v>55.85</v>
      </c>
      <c r="L1720" s="121"/>
      <c r="M1720" s="125">
        <f ca="1">IFERROR(__xludf.DUMMYFUNCTION("""COMPUTED_VALUE"""),46.15)</f>
        <v>46.15</v>
      </c>
      <c r="N1720" s="121"/>
      <c r="O1720" s="125">
        <f ca="1">IFERROR(__xludf.DUMMYFUNCTION("""COMPUTED_VALUE"""),38.85)</f>
        <v>38.85</v>
      </c>
      <c r="P1720" s="126"/>
      <c r="Q1720" s="127"/>
      <c r="R1720" s="127"/>
      <c r="S1720" s="127"/>
      <c r="T1720" s="127"/>
    </row>
    <row r="1721" spans="1:20" ht="13.8">
      <c r="A1721" s="118" t="str">
        <f ca="1">IFERROR(__xludf.DUMMYFUNCTION("""COMPUTED_VALUE"""),"SB")</f>
        <v>SB</v>
      </c>
      <c r="B1721" s="119" t="str">
        <f ca="1">IFERROR(__xludf.DUMMYFUNCTION("""COMPUTED_VALUE"""),"Ellie Farnsworth")</f>
        <v>Ellie Farnsworth</v>
      </c>
      <c r="C1721" s="118">
        <f ca="1">IFERROR(__xludf.DUMMYFUNCTION("""COMPUTED_VALUE"""),11)</f>
        <v>11</v>
      </c>
      <c r="D1721" s="118" t="str">
        <f ca="1">IFERROR(__xludf.DUMMYFUNCTION("""COMPUTED_VALUE"""),"G")</f>
        <v>G</v>
      </c>
      <c r="E1721" s="118" t="str">
        <f ca="1">IFERROR(__xludf.DUMMYFUNCTION("""COMPUTED_VALUE"""),"J")</f>
        <v>J</v>
      </c>
      <c r="F1721" s="124" t="str">
        <f ca="1">IFERROR(__xludf.DUMMYFUNCTION("""COMPUTED_VALUE"""),"I")</f>
        <v>I</v>
      </c>
      <c r="G1721" s="124">
        <f ca="1">IFERROR(__xludf.DUMMYFUNCTION("""COMPUTED_VALUE"""),8)</f>
        <v>8</v>
      </c>
      <c r="H1721" s="124" t="str">
        <f ca="1">IFERROR(__xludf.DUMMYFUNCTION("""COMPUTED_VALUE"""),"SB")</f>
        <v>SB</v>
      </c>
      <c r="I1721" s="124">
        <f ca="1">IFERROR(__xludf.DUMMYFUNCTION("""COMPUTED_VALUE"""),6)</f>
        <v>6</v>
      </c>
      <c r="J1721" s="124">
        <f ca="1">IFERROR(__xludf.DUMMYFUNCTION("""COMPUTED_VALUE"""),1)</f>
        <v>1</v>
      </c>
      <c r="K1721" s="125"/>
      <c r="L1721" s="121"/>
      <c r="M1721" s="125"/>
      <c r="N1721" s="121"/>
      <c r="O1721" s="125"/>
      <c r="P1721" s="126"/>
      <c r="Q1721" s="127"/>
      <c r="R1721" s="127"/>
      <c r="S1721" s="127"/>
      <c r="T1721" s="127"/>
    </row>
    <row r="1722" spans="1:20" ht="13.8">
      <c r="A1722" s="118" t="str">
        <f ca="1">IFERROR(__xludf.DUMMYFUNCTION("""COMPUTED_VALUE"""),"SB")</f>
        <v>SB</v>
      </c>
      <c r="B1722" s="119" t="str">
        <f ca="1">IFERROR(__xludf.DUMMYFUNCTION("""COMPUTED_VALUE"""),"Jem Wahler")</f>
        <v>Jem Wahler</v>
      </c>
      <c r="C1722" s="118">
        <f ca="1">IFERROR(__xludf.DUMMYFUNCTION("""COMPUTED_VALUE"""),12)</f>
        <v>12</v>
      </c>
      <c r="D1722" s="118" t="str">
        <f ca="1">IFERROR(__xludf.DUMMYFUNCTION("""COMPUTED_VALUE"""),"G")</f>
        <v>G</v>
      </c>
      <c r="E1722" s="118" t="str">
        <f ca="1">IFERROR(__xludf.DUMMYFUNCTION("""COMPUTED_VALUE"""),"J")</f>
        <v>J</v>
      </c>
      <c r="F1722" s="124" t="str">
        <f ca="1">IFERROR(__xludf.DUMMYFUNCTION("""COMPUTED_VALUE"""),"I")</f>
        <v>I</v>
      </c>
      <c r="G1722" s="124">
        <f ca="1">IFERROR(__xludf.DUMMYFUNCTION("""COMPUTED_VALUE"""),8)</f>
        <v>8</v>
      </c>
      <c r="H1722" s="124" t="str">
        <f ca="1">IFERROR(__xludf.DUMMYFUNCTION("""COMPUTED_VALUE"""),"SB")</f>
        <v>SB</v>
      </c>
      <c r="I1722" s="124">
        <f ca="1">IFERROR(__xludf.DUMMYFUNCTION("""COMPUTED_VALUE"""),6)</f>
        <v>6</v>
      </c>
      <c r="J1722" s="124">
        <f ca="1">IFERROR(__xludf.DUMMYFUNCTION("""COMPUTED_VALUE"""),3)</f>
        <v>3</v>
      </c>
      <c r="K1722" s="125">
        <f ca="1">IFERROR(__xludf.DUMMYFUNCTION("""COMPUTED_VALUE"""),56.55)</f>
        <v>56.55</v>
      </c>
      <c r="L1722" s="121"/>
      <c r="M1722" s="125"/>
      <c r="N1722" s="121"/>
      <c r="O1722" s="125"/>
      <c r="P1722" s="126"/>
      <c r="Q1722" s="127"/>
      <c r="R1722" s="127"/>
      <c r="S1722" s="127"/>
      <c r="T1722" s="127"/>
    </row>
    <row r="1723" spans="1:20" ht="13.8">
      <c r="A1723" s="118" t="str">
        <f ca="1">IFERROR(__xludf.DUMMYFUNCTION("""COMPUTED_VALUE"""),"SB")</f>
        <v>SB</v>
      </c>
      <c r="B1723" s="119" t="str">
        <f ca="1">IFERROR(__xludf.DUMMYFUNCTION("""COMPUTED_VALUE"""),"Lydia Miller")</f>
        <v>Lydia Miller</v>
      </c>
      <c r="C1723" s="118">
        <f ca="1">IFERROR(__xludf.DUMMYFUNCTION("""COMPUTED_VALUE"""),11)</f>
        <v>11</v>
      </c>
      <c r="D1723" s="118" t="str">
        <f ca="1">IFERROR(__xludf.DUMMYFUNCTION("""COMPUTED_VALUE"""),"G")</f>
        <v>G</v>
      </c>
      <c r="E1723" s="118" t="str">
        <f ca="1">IFERROR(__xludf.DUMMYFUNCTION("""COMPUTED_VALUE"""),"J")</f>
        <v>J</v>
      </c>
      <c r="F1723" s="124" t="str">
        <f ca="1">IFERROR(__xludf.DUMMYFUNCTION("""COMPUTED_VALUE"""),"I")</f>
        <v>I</v>
      </c>
      <c r="G1723" s="124">
        <f ca="1">IFERROR(__xludf.DUMMYFUNCTION("""COMPUTED_VALUE"""),8)</f>
        <v>8</v>
      </c>
      <c r="H1723" s="124" t="str">
        <f ca="1">IFERROR(__xludf.DUMMYFUNCTION("""COMPUTED_VALUE"""),"SB")</f>
        <v>SB</v>
      </c>
      <c r="I1723" s="124">
        <f ca="1">IFERROR(__xludf.DUMMYFUNCTION("""COMPUTED_VALUE"""),6)</f>
        <v>6</v>
      </c>
      <c r="J1723" s="124">
        <f ca="1">IFERROR(__xludf.DUMMYFUNCTION("""COMPUTED_VALUE"""),0)</f>
        <v>0</v>
      </c>
      <c r="K1723" s="125"/>
      <c r="L1723" s="121"/>
      <c r="M1723" s="125"/>
      <c r="N1723" s="121"/>
      <c r="O1723" s="125"/>
      <c r="P1723" s="126"/>
      <c r="Q1723" s="127"/>
      <c r="R1723" s="127"/>
      <c r="S1723" s="127"/>
      <c r="T1723" s="127"/>
    </row>
    <row r="1724" spans="1:20" ht="13.8">
      <c r="A1724" s="118" t="str">
        <f ca="1">IFERROR(__xludf.DUMMYFUNCTION("""COMPUTED_VALUE"""),"SB")</f>
        <v>SB</v>
      </c>
      <c r="B1724" s="119" t="str">
        <f ca="1">IFERROR(__xludf.DUMMYFUNCTION("""COMPUTED_VALUE"""),"Chris Buell")</f>
        <v>Chris Buell</v>
      </c>
      <c r="C1724" s="118">
        <f ca="1">IFERROR(__xludf.DUMMYFUNCTION("""COMPUTED_VALUE"""),11)</f>
        <v>11</v>
      </c>
      <c r="D1724" s="118" t="str">
        <f ca="1">IFERROR(__xludf.DUMMYFUNCTION("""COMPUTED_VALUE"""),"B")</f>
        <v>B</v>
      </c>
      <c r="E1724" s="118" t="str">
        <f ca="1">IFERROR(__xludf.DUMMYFUNCTION("""COMPUTED_VALUE"""),"J")</f>
        <v>J</v>
      </c>
      <c r="F1724" s="124" t="str">
        <f ca="1">IFERROR(__xludf.DUMMYFUNCTION("""COMPUTED_VALUE"""),"I")</f>
        <v>I</v>
      </c>
      <c r="G1724" s="124">
        <f ca="1">IFERROR(__xludf.DUMMYFUNCTION("""COMPUTED_VALUE"""),8)</f>
        <v>8</v>
      </c>
      <c r="H1724" s="124" t="str">
        <f ca="1">IFERROR(__xludf.DUMMYFUNCTION("""COMPUTED_VALUE"""),"SB")</f>
        <v>SB</v>
      </c>
      <c r="I1724" s="124">
        <f ca="1">IFERROR(__xludf.DUMMYFUNCTION("""COMPUTED_VALUE"""),7)</f>
        <v>7</v>
      </c>
      <c r="J1724" s="124">
        <f ca="1">IFERROR(__xludf.DUMMYFUNCTION("""COMPUTED_VALUE"""),5)</f>
        <v>5</v>
      </c>
      <c r="K1724" s="125">
        <f ca="1">IFERROR(__xludf.DUMMYFUNCTION("""COMPUTED_VALUE"""),81.8)</f>
        <v>81.8</v>
      </c>
      <c r="L1724" s="121"/>
      <c r="M1724" s="125">
        <f ca="1">IFERROR(__xludf.DUMMYFUNCTION("""COMPUTED_VALUE"""),64.6)</f>
        <v>64.599999999999994</v>
      </c>
      <c r="N1724" s="121"/>
      <c r="O1724" s="125">
        <f ca="1">IFERROR(__xludf.DUMMYFUNCTION("""COMPUTED_VALUE"""),81.8)</f>
        <v>81.8</v>
      </c>
      <c r="P1724" s="126"/>
      <c r="Q1724" s="127"/>
      <c r="R1724" s="127"/>
      <c r="S1724" s="127"/>
      <c r="T1724" s="127"/>
    </row>
    <row r="1725" spans="1:20" ht="13.8">
      <c r="A1725" s="118" t="str">
        <f ca="1">IFERROR(__xludf.DUMMYFUNCTION("""COMPUTED_VALUE"""),"SB")</f>
        <v>SB</v>
      </c>
      <c r="B1725" s="119" t="str">
        <f ca="1">IFERROR(__xludf.DUMMYFUNCTION("""COMPUTED_VALUE"""),"Cassandra Duffy")</f>
        <v>Cassandra Duffy</v>
      </c>
      <c r="C1725" s="118">
        <f ca="1">IFERROR(__xludf.DUMMYFUNCTION("""COMPUTED_VALUE"""),13)</f>
        <v>13</v>
      </c>
      <c r="D1725" s="118" t="str">
        <f ca="1">IFERROR(__xludf.DUMMYFUNCTION("""COMPUTED_VALUE"""),"G")</f>
        <v>G</v>
      </c>
      <c r="E1725" s="118" t="str">
        <f ca="1">IFERROR(__xludf.DUMMYFUNCTION("""COMPUTED_VALUE"""),"I")</f>
        <v>I</v>
      </c>
      <c r="F1725" s="124" t="str">
        <f ca="1">IFERROR(__xludf.DUMMYFUNCTION("""COMPUTED_VALUE"""),"S")</f>
        <v>S</v>
      </c>
      <c r="G1725" s="124">
        <f ca="1">IFERROR(__xludf.DUMMYFUNCTION("""COMPUTED_VALUE"""),8)</f>
        <v>8</v>
      </c>
      <c r="H1725" s="124" t="str">
        <f ca="1">IFERROR(__xludf.DUMMYFUNCTION("""COMPUTED_VALUE"""),"SB")</f>
        <v>SB</v>
      </c>
      <c r="I1725" s="124">
        <f ca="1">IFERROR(__xludf.DUMMYFUNCTION("""COMPUTED_VALUE"""),8)</f>
        <v>8</v>
      </c>
      <c r="J1725" s="124">
        <f ca="1">IFERROR(__xludf.DUMMYFUNCTION("""COMPUTED_VALUE"""),2)</f>
        <v>2</v>
      </c>
      <c r="K1725" s="125">
        <f ca="1">IFERROR(__xludf.DUMMYFUNCTION("""COMPUTED_VALUE"""),66.4)</f>
        <v>66.400000000000006</v>
      </c>
      <c r="L1725" s="121"/>
      <c r="M1725" s="125"/>
      <c r="N1725" s="121"/>
      <c r="O1725" s="125"/>
      <c r="P1725" s="126"/>
      <c r="Q1725" s="127"/>
      <c r="R1725" s="127"/>
      <c r="S1725" s="127"/>
      <c r="T1725" s="127"/>
    </row>
    <row r="1726" spans="1:20" ht="13.8">
      <c r="A1726" s="118" t="str">
        <f ca="1">IFERROR(__xludf.DUMMYFUNCTION("""COMPUTED_VALUE"""),"SB")</f>
        <v>SB</v>
      </c>
      <c r="B1726" s="119" t="str">
        <f ca="1">IFERROR(__xludf.DUMMYFUNCTION("""COMPUTED_VALUE"""),"Hannah Wilson")</f>
        <v>Hannah Wilson</v>
      </c>
      <c r="C1726" s="118">
        <f ca="1">IFERROR(__xludf.DUMMYFUNCTION("""COMPUTED_VALUE"""),14)</f>
        <v>14</v>
      </c>
      <c r="D1726" s="118" t="str">
        <f ca="1">IFERROR(__xludf.DUMMYFUNCTION("""COMPUTED_VALUE"""),"G")</f>
        <v>G</v>
      </c>
      <c r="E1726" s="118" t="str">
        <f ca="1">IFERROR(__xludf.DUMMYFUNCTION("""COMPUTED_VALUE"""),"I")</f>
        <v>I</v>
      </c>
      <c r="F1726" s="124" t="str">
        <f ca="1">IFERROR(__xludf.DUMMYFUNCTION("""COMPUTED_VALUE"""),"S")</f>
        <v>S</v>
      </c>
      <c r="G1726" s="124">
        <f ca="1">IFERROR(__xludf.DUMMYFUNCTION("""COMPUTED_VALUE"""),8)</f>
        <v>8</v>
      </c>
      <c r="H1726" s="124" t="str">
        <f ca="1">IFERROR(__xludf.DUMMYFUNCTION("""COMPUTED_VALUE"""),"SB")</f>
        <v>SB</v>
      </c>
      <c r="I1726" s="124">
        <f ca="1">IFERROR(__xludf.DUMMYFUNCTION("""COMPUTED_VALUE"""),8)</f>
        <v>8</v>
      </c>
      <c r="J1726" s="124">
        <f ca="1">IFERROR(__xludf.DUMMYFUNCTION("""COMPUTED_VALUE"""),5)</f>
        <v>5</v>
      </c>
      <c r="K1726" s="125">
        <f ca="1">IFERROR(__xludf.DUMMYFUNCTION("""COMPUTED_VALUE"""),104.2)</f>
        <v>104.2</v>
      </c>
      <c r="L1726" s="121"/>
      <c r="M1726" s="125">
        <f ca="1">IFERROR(__xludf.DUMMYFUNCTION("""COMPUTED_VALUE"""),90.45)</f>
        <v>90.45</v>
      </c>
      <c r="N1726" s="121"/>
      <c r="O1726" s="125">
        <f ca="1">IFERROR(__xludf.DUMMYFUNCTION("""COMPUTED_VALUE"""),104.2)</f>
        <v>104.2</v>
      </c>
      <c r="P1726" s="126"/>
      <c r="Q1726" s="127"/>
      <c r="R1726" s="127"/>
      <c r="S1726" s="127"/>
      <c r="T1726" s="127"/>
    </row>
    <row r="1727" spans="1:20" ht="13.8">
      <c r="A1727" s="118" t="str">
        <f ca="1">IFERROR(__xludf.DUMMYFUNCTION("""COMPUTED_VALUE"""),"SB")</f>
        <v>SB</v>
      </c>
      <c r="B1727" s="119" t="str">
        <f ca="1">IFERROR(__xludf.DUMMYFUNCTION("""COMPUTED_VALUE"""),"Lily Miller")</f>
        <v>Lily Miller</v>
      </c>
      <c r="C1727" s="118">
        <f ca="1">IFERROR(__xludf.DUMMYFUNCTION("""COMPUTED_VALUE"""),14)</f>
        <v>14</v>
      </c>
      <c r="D1727" s="118" t="str">
        <f ca="1">IFERROR(__xludf.DUMMYFUNCTION("""COMPUTED_VALUE"""),"G")</f>
        <v>G</v>
      </c>
      <c r="E1727" s="118" t="str">
        <f ca="1">IFERROR(__xludf.DUMMYFUNCTION("""COMPUTED_VALUE"""),"I")</f>
        <v>I</v>
      </c>
      <c r="F1727" s="124" t="str">
        <f ca="1">IFERROR(__xludf.DUMMYFUNCTION("""COMPUTED_VALUE"""),"S")</f>
        <v>S</v>
      </c>
      <c r="G1727" s="124">
        <f ca="1">IFERROR(__xludf.DUMMYFUNCTION("""COMPUTED_VALUE"""),8)</f>
        <v>8</v>
      </c>
      <c r="H1727" s="124" t="str">
        <f ca="1">IFERROR(__xludf.DUMMYFUNCTION("""COMPUTED_VALUE"""),"SB")</f>
        <v>SB</v>
      </c>
      <c r="I1727" s="124">
        <f ca="1">IFERROR(__xludf.DUMMYFUNCTION("""COMPUTED_VALUE"""),8)</f>
        <v>8</v>
      </c>
      <c r="J1727" s="124">
        <f ca="1">IFERROR(__xludf.DUMMYFUNCTION("""COMPUTED_VALUE"""),4)</f>
        <v>4</v>
      </c>
      <c r="K1727" s="125">
        <f ca="1">IFERROR(__xludf.DUMMYFUNCTION("""COMPUTED_VALUE"""),76.75)</f>
        <v>76.75</v>
      </c>
      <c r="L1727" s="121"/>
      <c r="M1727" s="125">
        <f ca="1">IFERROR(__xludf.DUMMYFUNCTION("""COMPUTED_VALUE"""),59.6)</f>
        <v>59.6</v>
      </c>
      <c r="N1727" s="121"/>
      <c r="O1727" s="125">
        <f ca="1">IFERROR(__xludf.DUMMYFUNCTION("""COMPUTED_VALUE"""),76.75)</f>
        <v>76.75</v>
      </c>
      <c r="P1727" s="126"/>
      <c r="Q1727" s="127"/>
      <c r="R1727" s="127"/>
      <c r="S1727" s="127"/>
      <c r="T1727" s="127"/>
    </row>
    <row r="1728" spans="1:20" ht="13.8">
      <c r="A1728" s="118" t="str">
        <f ca="1">IFERROR(__xludf.DUMMYFUNCTION("""COMPUTED_VALUE"""),"SB")</f>
        <v>SB</v>
      </c>
      <c r="B1728" s="119" t="str">
        <f ca="1">IFERROR(__xludf.DUMMYFUNCTION("""COMPUTED_VALUE"""),"Colby Kogut")</f>
        <v>Colby Kogut</v>
      </c>
      <c r="C1728" s="118">
        <f ca="1">IFERROR(__xludf.DUMMYFUNCTION("""COMPUTED_VALUE"""),13)</f>
        <v>13</v>
      </c>
      <c r="D1728" s="118" t="str">
        <f ca="1">IFERROR(__xludf.DUMMYFUNCTION("""COMPUTED_VALUE"""),"B")</f>
        <v>B</v>
      </c>
      <c r="E1728" s="118" t="str">
        <f ca="1">IFERROR(__xludf.DUMMYFUNCTION("""COMPUTED_VALUE"""),"I")</f>
        <v>I</v>
      </c>
      <c r="F1728" s="124" t="str">
        <f ca="1">IFERROR(__xludf.DUMMYFUNCTION("""COMPUTED_VALUE"""),"S")</f>
        <v>S</v>
      </c>
      <c r="G1728" s="124">
        <f ca="1">IFERROR(__xludf.DUMMYFUNCTION("""COMPUTED_VALUE"""),8)</f>
        <v>8</v>
      </c>
      <c r="H1728" s="124" t="str">
        <f ca="1">IFERROR(__xludf.DUMMYFUNCTION("""COMPUTED_VALUE"""),"SB")</f>
        <v>SB</v>
      </c>
      <c r="I1728" s="124">
        <f ca="1">IFERROR(__xludf.DUMMYFUNCTION("""COMPUTED_VALUE"""),9)</f>
        <v>9</v>
      </c>
      <c r="J1728" s="124">
        <f ca="1">IFERROR(__xludf.DUMMYFUNCTION("""COMPUTED_VALUE"""),3)</f>
        <v>3</v>
      </c>
      <c r="K1728" s="125">
        <f ca="1">IFERROR(__xludf.DUMMYFUNCTION("""COMPUTED_VALUE"""),64.5)</f>
        <v>64.5</v>
      </c>
      <c r="L1728" s="121"/>
      <c r="M1728" s="125">
        <f ca="1">IFERROR(__xludf.DUMMYFUNCTION("""COMPUTED_VALUE"""),52.45)</f>
        <v>52.45</v>
      </c>
      <c r="N1728" s="121"/>
      <c r="O1728" s="125">
        <f ca="1">IFERROR(__xludf.DUMMYFUNCTION("""COMPUTED_VALUE"""),64.5)</f>
        <v>64.5</v>
      </c>
      <c r="P1728" s="126"/>
      <c r="Q1728" s="127"/>
      <c r="R1728" s="127"/>
      <c r="S1728" s="127"/>
      <c r="T1728" s="127"/>
    </row>
    <row r="1729" spans="1:20" ht="13.8">
      <c r="A1729" s="118" t="str">
        <f ca="1">IFERROR(__xludf.DUMMYFUNCTION("""COMPUTED_VALUE"""),"SB")</f>
        <v>SB</v>
      </c>
      <c r="B1729" s="119" t="str">
        <f ca="1">IFERROR(__xludf.DUMMYFUNCTION("""COMPUTED_VALUE"""),"Aicha Boyd")</f>
        <v>Aicha Boyd</v>
      </c>
      <c r="C1729" s="118">
        <f ca="1">IFERROR(__xludf.DUMMYFUNCTION("""COMPUTED_VALUE"""),16)</f>
        <v>16</v>
      </c>
      <c r="D1729" s="118" t="str">
        <f ca="1">IFERROR(__xludf.DUMMYFUNCTION("""COMPUTED_VALUE"""),"G")</f>
        <v>G</v>
      </c>
      <c r="E1729" s="118" t="str">
        <f ca="1">IFERROR(__xludf.DUMMYFUNCTION("""COMPUTED_VALUE"""),"S")</f>
        <v>S</v>
      </c>
      <c r="F1729" s="124" t="str">
        <f ca="1">IFERROR(__xludf.DUMMYFUNCTION("""COMPUTED_VALUE"""),"S")</f>
        <v>S</v>
      </c>
      <c r="G1729" s="124">
        <f ca="1">IFERROR(__xludf.DUMMYFUNCTION("""COMPUTED_VALUE"""),8)</f>
        <v>8</v>
      </c>
      <c r="H1729" s="124" t="str">
        <f ca="1">IFERROR(__xludf.DUMMYFUNCTION("""COMPUTED_VALUE"""),"SB")</f>
        <v>SB</v>
      </c>
      <c r="I1729" s="124">
        <f ca="1">IFERROR(__xludf.DUMMYFUNCTION("""COMPUTED_VALUE"""),10)</f>
        <v>10</v>
      </c>
      <c r="J1729" s="124">
        <f ca="1">IFERROR(__xludf.DUMMYFUNCTION("""COMPUTED_VALUE"""),4)</f>
        <v>4</v>
      </c>
      <c r="K1729" s="125">
        <f ca="1">IFERROR(__xludf.DUMMYFUNCTION("""COMPUTED_VALUE"""),79.45)</f>
        <v>79.45</v>
      </c>
      <c r="L1729" s="121"/>
      <c r="M1729" s="125">
        <f ca="1">IFERROR(__xludf.DUMMYFUNCTION("""COMPUTED_VALUE"""),63.8)</f>
        <v>63.8</v>
      </c>
      <c r="N1729" s="121"/>
      <c r="O1729" s="125"/>
      <c r="P1729" s="126"/>
      <c r="Q1729" s="127"/>
      <c r="R1729" s="127"/>
      <c r="S1729" s="127"/>
      <c r="T1729" s="127"/>
    </row>
    <row r="1730" spans="1:20" ht="13.8">
      <c r="A1730" s="118" t="str">
        <f ca="1">IFERROR(__xludf.DUMMYFUNCTION("""COMPUTED_VALUE"""),"SB")</f>
        <v>SB</v>
      </c>
      <c r="B1730" s="119" t="str">
        <f ca="1">IFERROR(__xludf.DUMMYFUNCTION("""COMPUTED_VALUE"""),"Gaby Cordon")</f>
        <v>Gaby Cordon</v>
      </c>
      <c r="C1730" s="118">
        <f ca="1">IFERROR(__xludf.DUMMYFUNCTION("""COMPUTED_VALUE"""),16)</f>
        <v>16</v>
      </c>
      <c r="D1730" s="118" t="str">
        <f ca="1">IFERROR(__xludf.DUMMYFUNCTION("""COMPUTED_VALUE"""),"G")</f>
        <v>G</v>
      </c>
      <c r="E1730" s="118" t="str">
        <f ca="1">IFERROR(__xludf.DUMMYFUNCTION("""COMPUTED_VALUE"""),"S")</f>
        <v>S</v>
      </c>
      <c r="F1730" s="124" t="str">
        <f ca="1">IFERROR(__xludf.DUMMYFUNCTION("""COMPUTED_VALUE"""),"S")</f>
        <v>S</v>
      </c>
      <c r="G1730" s="124">
        <f ca="1">IFERROR(__xludf.DUMMYFUNCTION("""COMPUTED_VALUE"""),8)</f>
        <v>8</v>
      </c>
      <c r="H1730" s="124" t="str">
        <f ca="1">IFERROR(__xludf.DUMMYFUNCTION("""COMPUTED_VALUE"""),"SB")</f>
        <v>SB</v>
      </c>
      <c r="I1730" s="124">
        <f ca="1">IFERROR(__xludf.DUMMYFUNCTION("""COMPUTED_VALUE"""),10)</f>
        <v>10</v>
      </c>
      <c r="J1730" s="124">
        <f ca="1">IFERROR(__xludf.DUMMYFUNCTION("""COMPUTED_VALUE"""),0)</f>
        <v>0</v>
      </c>
      <c r="K1730" s="125"/>
      <c r="L1730" s="121"/>
      <c r="M1730" s="125"/>
      <c r="N1730" s="121"/>
      <c r="O1730" s="125"/>
      <c r="P1730" s="126"/>
      <c r="Q1730" s="127"/>
      <c r="R1730" s="127"/>
      <c r="S1730" s="127"/>
      <c r="T1730" s="127"/>
    </row>
    <row r="1731" spans="1:20" ht="13.8">
      <c r="A1731" s="118" t="str">
        <f ca="1">IFERROR(__xludf.DUMMYFUNCTION("""COMPUTED_VALUE"""),"SB")</f>
        <v>SB</v>
      </c>
      <c r="B1731" s="119" t="str">
        <f ca="1">IFERROR(__xludf.DUMMYFUNCTION("""COMPUTED_VALUE"""),"Katie Gallegos")</f>
        <v>Katie Gallegos</v>
      </c>
      <c r="C1731" s="118">
        <f ca="1">IFERROR(__xludf.DUMMYFUNCTION("""COMPUTED_VALUE"""),16)</f>
        <v>16</v>
      </c>
      <c r="D1731" s="118" t="str">
        <f ca="1">IFERROR(__xludf.DUMMYFUNCTION("""COMPUTED_VALUE"""),"G")</f>
        <v>G</v>
      </c>
      <c r="E1731" s="118" t="str">
        <f ca="1">IFERROR(__xludf.DUMMYFUNCTION("""COMPUTED_VALUE"""),"S")</f>
        <v>S</v>
      </c>
      <c r="F1731" s="124" t="str">
        <f ca="1">IFERROR(__xludf.DUMMYFUNCTION("""COMPUTED_VALUE"""),"S")</f>
        <v>S</v>
      </c>
      <c r="G1731" s="124">
        <f ca="1">IFERROR(__xludf.DUMMYFUNCTION("""COMPUTED_VALUE"""),8)</f>
        <v>8</v>
      </c>
      <c r="H1731" s="124" t="str">
        <f ca="1">IFERROR(__xludf.DUMMYFUNCTION("""COMPUTED_VALUE"""),"SB")</f>
        <v>SB</v>
      </c>
      <c r="I1731" s="124">
        <f ca="1">IFERROR(__xludf.DUMMYFUNCTION("""COMPUTED_VALUE"""),10)</f>
        <v>10</v>
      </c>
      <c r="J1731" s="124">
        <f ca="1">IFERROR(__xludf.DUMMYFUNCTION("""COMPUTED_VALUE"""),0)</f>
        <v>0</v>
      </c>
      <c r="K1731" s="125"/>
      <c r="L1731" s="121"/>
      <c r="M1731" s="125"/>
      <c r="N1731" s="121"/>
      <c r="O1731" s="125"/>
      <c r="P1731" s="126"/>
      <c r="Q1731" s="127"/>
      <c r="R1731" s="127"/>
      <c r="S1731" s="127"/>
      <c r="T1731" s="127"/>
    </row>
    <row r="1732" spans="1:20" ht="13.8">
      <c r="A1732" s="118" t="str">
        <f ca="1">IFERROR(__xludf.DUMMYFUNCTION("""COMPUTED_VALUE"""),"SB")</f>
        <v>SB</v>
      </c>
      <c r="B1732" s="119" t="str">
        <f ca="1">IFERROR(__xludf.DUMMYFUNCTION("""COMPUTED_VALUE"""),"Carlo Vella")</f>
        <v>Carlo Vella</v>
      </c>
      <c r="C1732" s="118">
        <f ca="1">IFERROR(__xludf.DUMMYFUNCTION("""COMPUTED_VALUE"""),16)</f>
        <v>16</v>
      </c>
      <c r="D1732" s="118" t="str">
        <f ca="1">IFERROR(__xludf.DUMMYFUNCTION("""COMPUTED_VALUE"""),"B")</f>
        <v>B</v>
      </c>
      <c r="E1732" s="118" t="str">
        <f ca="1">IFERROR(__xludf.DUMMYFUNCTION("""COMPUTED_VALUE"""),"S")</f>
        <v>S</v>
      </c>
      <c r="F1732" s="124" t="str">
        <f ca="1">IFERROR(__xludf.DUMMYFUNCTION("""COMPUTED_VALUE"""),"S")</f>
        <v>S</v>
      </c>
      <c r="G1732" s="124">
        <f ca="1">IFERROR(__xludf.DUMMYFUNCTION("""COMPUTED_VALUE"""),8)</f>
        <v>8</v>
      </c>
      <c r="H1732" s="124" t="str">
        <f ca="1">IFERROR(__xludf.DUMMYFUNCTION("""COMPUTED_VALUE"""),"SB")</f>
        <v>SB</v>
      </c>
      <c r="I1732" s="124">
        <f ca="1">IFERROR(__xludf.DUMMYFUNCTION("""COMPUTED_VALUE"""),11)</f>
        <v>11</v>
      </c>
      <c r="J1732" s="124">
        <f ca="1">IFERROR(__xludf.DUMMYFUNCTION("""COMPUTED_VALUE"""),4)</f>
        <v>4</v>
      </c>
      <c r="K1732" s="125">
        <f ca="1">IFERROR(__xludf.DUMMYFUNCTION("""COMPUTED_VALUE"""),116.75)</f>
        <v>116.75</v>
      </c>
      <c r="L1732" s="121"/>
      <c r="M1732" s="125">
        <f ca="1">IFERROR(__xludf.DUMMYFUNCTION("""COMPUTED_VALUE"""),88.95)</f>
        <v>88.95</v>
      </c>
      <c r="N1732" s="121"/>
      <c r="O1732" s="125"/>
      <c r="P1732" s="126"/>
      <c r="Q1732" s="127"/>
      <c r="R1732" s="127"/>
      <c r="S1732" s="127"/>
      <c r="T1732" s="127"/>
    </row>
    <row r="1733" spans="1:20" ht="13.8">
      <c r="A1733" s="118" t="str">
        <f ca="1">IFERROR(__xludf.DUMMYFUNCTION("""COMPUTED_VALUE"""),"SHB")</f>
        <v>SHB</v>
      </c>
      <c r="B1733" s="119" t="str">
        <f ca="1">IFERROR(__xludf.DUMMYFUNCTION("""COMPUTED_VALUE"""),"Allie Benone")</f>
        <v>Allie Benone</v>
      </c>
      <c r="C1733" s="118">
        <f ca="1">IFERROR(__xludf.DUMMYFUNCTION("""COMPUTED_VALUE"""),9)</f>
        <v>9</v>
      </c>
      <c r="D1733" s="118" t="str">
        <f ca="1">IFERROR(__xludf.DUMMYFUNCTION("""COMPUTED_VALUE"""),"G")</f>
        <v>G</v>
      </c>
      <c r="E1733" s="118" t="str">
        <f ca="1">IFERROR(__xludf.DUMMYFUNCTION("""COMPUTED_VALUE"""),"F")</f>
        <v>F</v>
      </c>
      <c r="F1733" s="124" t="str">
        <f ca="1">IFERROR(__xludf.DUMMYFUNCTION("""COMPUTED_VALUE"""),"J")</f>
        <v>J</v>
      </c>
      <c r="G1733" s="124">
        <f ca="1">IFERROR(__xludf.DUMMYFUNCTION("""COMPUTED_VALUE"""),6)</f>
        <v>6</v>
      </c>
      <c r="H1733" s="124" t="str">
        <f ca="1">IFERROR(__xludf.DUMMYFUNCTION("""COMPUTED_VALUE"""),"SHB")</f>
        <v>SHB</v>
      </c>
      <c r="I1733" s="124">
        <f ca="1">IFERROR(__xludf.DUMMYFUNCTION("""COMPUTED_VALUE"""),4)</f>
        <v>4</v>
      </c>
      <c r="J1733" s="124">
        <f ca="1">IFERROR(__xludf.DUMMYFUNCTION("""COMPUTED_VALUE"""),5)</f>
        <v>5</v>
      </c>
      <c r="K1733" s="125">
        <f ca="1">IFERROR(__xludf.DUMMYFUNCTION("""COMPUTED_VALUE"""),43.5)</f>
        <v>43.5</v>
      </c>
      <c r="L1733" s="121"/>
      <c r="M1733" s="125">
        <f ca="1">IFERROR(__xludf.DUMMYFUNCTION("""COMPUTED_VALUE"""),28.95)</f>
        <v>28.95</v>
      </c>
      <c r="N1733" s="121"/>
      <c r="O1733" s="125">
        <f ca="1">IFERROR(__xludf.DUMMYFUNCTION("""COMPUTED_VALUE"""),30.85)</f>
        <v>30.85</v>
      </c>
      <c r="P1733" s="126"/>
      <c r="Q1733" s="127"/>
      <c r="R1733" s="127"/>
      <c r="S1733" s="127"/>
      <c r="T1733" s="127"/>
    </row>
    <row r="1734" spans="1:20" ht="13.8">
      <c r="A1734" s="118" t="str">
        <f ca="1">IFERROR(__xludf.DUMMYFUNCTION("""COMPUTED_VALUE"""),"SHB")</f>
        <v>SHB</v>
      </c>
      <c r="B1734" s="119" t="str">
        <f ca="1">IFERROR(__xludf.DUMMYFUNCTION("""COMPUTED_VALUE"""),"Asha Seeratan Holohan")</f>
        <v>Asha Seeratan Holohan</v>
      </c>
      <c r="C1734" s="118">
        <f ca="1">IFERROR(__xludf.DUMMYFUNCTION("""COMPUTED_VALUE"""),6)</f>
        <v>6</v>
      </c>
      <c r="D1734" s="118" t="str">
        <f ca="1">IFERROR(__xludf.DUMMYFUNCTION("""COMPUTED_VALUE"""),"G")</f>
        <v>G</v>
      </c>
      <c r="E1734" s="118" t="str">
        <f ca="1">IFERROR(__xludf.DUMMYFUNCTION("""COMPUTED_VALUE"""),"F")</f>
        <v>F</v>
      </c>
      <c r="F1734" s="124" t="str">
        <f ca="1">IFERROR(__xludf.DUMMYFUNCTION("""COMPUTED_VALUE"""),"J")</f>
        <v>J</v>
      </c>
      <c r="G1734" s="124">
        <f ca="1">IFERROR(__xludf.DUMMYFUNCTION("""COMPUTED_VALUE"""),6)</f>
        <v>6</v>
      </c>
      <c r="H1734" s="124" t="str">
        <f ca="1">IFERROR(__xludf.DUMMYFUNCTION("""COMPUTED_VALUE"""),"SHB")</f>
        <v>SHB</v>
      </c>
      <c r="I1734" s="124">
        <f ca="1">IFERROR(__xludf.DUMMYFUNCTION("""COMPUTED_VALUE"""),4)</f>
        <v>4</v>
      </c>
      <c r="J1734" s="124">
        <f ca="1">IFERROR(__xludf.DUMMYFUNCTION("""COMPUTED_VALUE"""),0)</f>
        <v>0</v>
      </c>
      <c r="K1734" s="125"/>
      <c r="L1734" s="121"/>
      <c r="M1734" s="125"/>
      <c r="N1734" s="121"/>
      <c r="O1734" s="125"/>
      <c r="P1734" s="126"/>
      <c r="Q1734" s="127"/>
      <c r="R1734" s="127"/>
      <c r="S1734" s="127"/>
      <c r="T1734" s="127"/>
    </row>
    <row r="1735" spans="1:20" ht="13.8">
      <c r="A1735" s="118" t="str">
        <f ca="1">IFERROR(__xludf.DUMMYFUNCTION("""COMPUTED_VALUE"""),"SHB")</f>
        <v>SHB</v>
      </c>
      <c r="B1735" s="119" t="str">
        <f ca="1">IFERROR(__xludf.DUMMYFUNCTION("""COMPUTED_VALUE"""),"Bee Brown")</f>
        <v>Bee Brown</v>
      </c>
      <c r="C1735" s="118">
        <f ca="1">IFERROR(__xludf.DUMMYFUNCTION("""COMPUTED_VALUE"""),9)</f>
        <v>9</v>
      </c>
      <c r="D1735" s="118" t="str">
        <f ca="1">IFERROR(__xludf.DUMMYFUNCTION("""COMPUTED_VALUE"""),"G")</f>
        <v>G</v>
      </c>
      <c r="E1735" s="118" t="str">
        <f ca="1">IFERROR(__xludf.DUMMYFUNCTION("""COMPUTED_VALUE"""),"F")</f>
        <v>F</v>
      </c>
      <c r="F1735" s="124" t="str">
        <f ca="1">IFERROR(__xludf.DUMMYFUNCTION("""COMPUTED_VALUE"""),"J")</f>
        <v>J</v>
      </c>
      <c r="G1735" s="124">
        <f ca="1">IFERROR(__xludf.DUMMYFUNCTION("""COMPUTED_VALUE"""),6)</f>
        <v>6</v>
      </c>
      <c r="H1735" s="124" t="str">
        <f ca="1">IFERROR(__xludf.DUMMYFUNCTION("""COMPUTED_VALUE"""),"SHB")</f>
        <v>SHB</v>
      </c>
      <c r="I1735" s="124">
        <f ca="1">IFERROR(__xludf.DUMMYFUNCTION("""COMPUTED_VALUE"""),4)</f>
        <v>4</v>
      </c>
      <c r="J1735" s="124">
        <f ca="1">IFERROR(__xludf.DUMMYFUNCTION("""COMPUTED_VALUE"""),4)</f>
        <v>4</v>
      </c>
      <c r="K1735" s="125">
        <f ca="1">IFERROR(__xludf.DUMMYFUNCTION("""COMPUTED_VALUE"""),39.45)</f>
        <v>39.450000000000003</v>
      </c>
      <c r="L1735" s="121"/>
      <c r="M1735" s="125"/>
      <c r="N1735" s="121"/>
      <c r="O1735" s="125">
        <f ca="1">IFERROR(__xludf.DUMMYFUNCTION("""COMPUTED_VALUE"""),33.15)</f>
        <v>33.15</v>
      </c>
      <c r="P1735" s="126"/>
      <c r="Q1735" s="127"/>
      <c r="R1735" s="127"/>
      <c r="S1735" s="127"/>
      <c r="T1735" s="127"/>
    </row>
    <row r="1736" spans="1:20" ht="13.8">
      <c r="A1736" s="118" t="str">
        <f ca="1">IFERROR(__xludf.DUMMYFUNCTION("""COMPUTED_VALUE"""),"SHB")</f>
        <v>SHB</v>
      </c>
      <c r="B1736" s="119" t="str">
        <f ca="1">IFERROR(__xludf.DUMMYFUNCTION("""COMPUTED_VALUE"""),"Campbell Badini")</f>
        <v>Campbell Badini</v>
      </c>
      <c r="C1736" s="118">
        <f ca="1">IFERROR(__xludf.DUMMYFUNCTION("""COMPUTED_VALUE"""),5)</f>
        <v>5</v>
      </c>
      <c r="D1736" s="118" t="str">
        <f ca="1">IFERROR(__xludf.DUMMYFUNCTION("""COMPUTED_VALUE"""),"G")</f>
        <v>G</v>
      </c>
      <c r="E1736" s="118" t="str">
        <f ca="1">IFERROR(__xludf.DUMMYFUNCTION("""COMPUTED_VALUE"""),"F")</f>
        <v>F</v>
      </c>
      <c r="F1736" s="124" t="str">
        <f ca="1">IFERROR(__xludf.DUMMYFUNCTION("""COMPUTED_VALUE"""),"J")</f>
        <v>J</v>
      </c>
      <c r="G1736" s="124">
        <f ca="1">IFERROR(__xludf.DUMMYFUNCTION("""COMPUTED_VALUE"""),6)</f>
        <v>6</v>
      </c>
      <c r="H1736" s="124" t="str">
        <f ca="1">IFERROR(__xludf.DUMMYFUNCTION("""COMPUTED_VALUE"""),"SHB")</f>
        <v>SHB</v>
      </c>
      <c r="I1736" s="124">
        <f ca="1">IFERROR(__xludf.DUMMYFUNCTION("""COMPUTED_VALUE"""),4)</f>
        <v>4</v>
      </c>
      <c r="J1736" s="124">
        <f ca="1">IFERROR(__xludf.DUMMYFUNCTION("""COMPUTED_VALUE"""),0)</f>
        <v>0</v>
      </c>
      <c r="K1736" s="125"/>
      <c r="L1736" s="121"/>
      <c r="M1736" s="125"/>
      <c r="N1736" s="121"/>
      <c r="O1736" s="125"/>
      <c r="P1736" s="126"/>
      <c r="Q1736" s="127"/>
      <c r="R1736" s="127"/>
      <c r="S1736" s="127"/>
      <c r="T1736" s="127"/>
    </row>
    <row r="1737" spans="1:20" ht="13.8">
      <c r="A1737" s="118" t="str">
        <f ca="1">IFERROR(__xludf.DUMMYFUNCTION("""COMPUTED_VALUE"""),"SHB")</f>
        <v>SHB</v>
      </c>
      <c r="B1737" s="119" t="str">
        <f ca="1">IFERROR(__xludf.DUMMYFUNCTION("""COMPUTED_VALUE"""),"Catheryn Good")</f>
        <v>Catheryn Good</v>
      </c>
      <c r="C1737" s="118">
        <f ca="1">IFERROR(__xludf.DUMMYFUNCTION("""COMPUTED_VALUE"""),9)</f>
        <v>9</v>
      </c>
      <c r="D1737" s="118" t="str">
        <f ca="1">IFERROR(__xludf.DUMMYFUNCTION("""COMPUTED_VALUE"""),"G")</f>
        <v>G</v>
      </c>
      <c r="E1737" s="118" t="str">
        <f ca="1">IFERROR(__xludf.DUMMYFUNCTION("""COMPUTED_VALUE"""),"F")</f>
        <v>F</v>
      </c>
      <c r="F1737" s="124" t="str">
        <f ca="1">IFERROR(__xludf.DUMMYFUNCTION("""COMPUTED_VALUE"""),"J")</f>
        <v>J</v>
      </c>
      <c r="G1737" s="124">
        <f ca="1">IFERROR(__xludf.DUMMYFUNCTION("""COMPUTED_VALUE"""),6)</f>
        <v>6</v>
      </c>
      <c r="H1737" s="124" t="str">
        <f ca="1">IFERROR(__xludf.DUMMYFUNCTION("""COMPUTED_VALUE"""),"SHB")</f>
        <v>SHB</v>
      </c>
      <c r="I1737" s="124">
        <f ca="1">IFERROR(__xludf.DUMMYFUNCTION("""COMPUTED_VALUE"""),4)</f>
        <v>4</v>
      </c>
      <c r="J1737" s="124">
        <f ca="1">IFERROR(__xludf.DUMMYFUNCTION("""COMPUTED_VALUE"""),3)</f>
        <v>3</v>
      </c>
      <c r="K1737" s="125">
        <f ca="1">IFERROR(__xludf.DUMMYFUNCTION("""COMPUTED_VALUE"""),57.65)</f>
        <v>57.65</v>
      </c>
      <c r="L1737" s="121"/>
      <c r="M1737" s="125">
        <f ca="1">IFERROR(__xludf.DUMMYFUNCTION("""COMPUTED_VALUE"""),-62.85)</f>
        <v>-62.85</v>
      </c>
      <c r="N1737" s="121"/>
      <c r="O1737" s="125"/>
      <c r="P1737" s="126"/>
      <c r="Q1737" s="127"/>
      <c r="R1737" s="127"/>
      <c r="S1737" s="127"/>
      <c r="T1737" s="127"/>
    </row>
    <row r="1738" spans="1:20" ht="13.8">
      <c r="A1738" s="118" t="str">
        <f ca="1">IFERROR(__xludf.DUMMYFUNCTION("""COMPUTED_VALUE"""),"SHB")</f>
        <v>SHB</v>
      </c>
      <c r="B1738" s="119" t="str">
        <f ca="1">IFERROR(__xludf.DUMMYFUNCTION("""COMPUTED_VALUE"""),"Emma Radich")</f>
        <v>Emma Radich</v>
      </c>
      <c r="C1738" s="118">
        <f ca="1">IFERROR(__xludf.DUMMYFUNCTION("""COMPUTED_VALUE"""),10)</f>
        <v>10</v>
      </c>
      <c r="D1738" s="118" t="str">
        <f ca="1">IFERROR(__xludf.DUMMYFUNCTION("""COMPUTED_VALUE"""),"G")</f>
        <v>G</v>
      </c>
      <c r="E1738" s="118" t="str">
        <f ca="1">IFERROR(__xludf.DUMMYFUNCTION("""COMPUTED_VALUE"""),"F")</f>
        <v>F</v>
      </c>
      <c r="F1738" s="124" t="str">
        <f ca="1">IFERROR(__xludf.DUMMYFUNCTION("""COMPUTED_VALUE"""),"J")</f>
        <v>J</v>
      </c>
      <c r="G1738" s="124">
        <f ca="1">IFERROR(__xludf.DUMMYFUNCTION("""COMPUTED_VALUE"""),6)</f>
        <v>6</v>
      </c>
      <c r="H1738" s="124" t="str">
        <f ca="1">IFERROR(__xludf.DUMMYFUNCTION("""COMPUTED_VALUE"""),"SHB")</f>
        <v>SHB</v>
      </c>
      <c r="I1738" s="124">
        <f ca="1">IFERROR(__xludf.DUMMYFUNCTION("""COMPUTED_VALUE"""),4)</f>
        <v>4</v>
      </c>
      <c r="J1738" s="124">
        <f ca="1">IFERROR(__xludf.DUMMYFUNCTION("""COMPUTED_VALUE"""),0)</f>
        <v>0</v>
      </c>
      <c r="K1738" s="125"/>
      <c r="L1738" s="121"/>
      <c r="M1738" s="125"/>
      <c r="N1738" s="121"/>
      <c r="O1738" s="125"/>
      <c r="P1738" s="126"/>
      <c r="Q1738" s="127"/>
      <c r="R1738" s="127"/>
      <c r="S1738" s="127"/>
      <c r="T1738" s="127"/>
    </row>
    <row r="1739" spans="1:20" ht="13.8">
      <c r="A1739" s="118" t="str">
        <f ca="1">IFERROR(__xludf.DUMMYFUNCTION("""COMPUTED_VALUE"""),"SHB")</f>
        <v>SHB</v>
      </c>
      <c r="B1739" s="119" t="str">
        <f ca="1">IFERROR(__xludf.DUMMYFUNCTION("""COMPUTED_VALUE"""),"Florence Lodico")</f>
        <v>Florence Lodico</v>
      </c>
      <c r="C1739" s="118">
        <f ca="1">IFERROR(__xludf.DUMMYFUNCTION("""COMPUTED_VALUE"""),10)</f>
        <v>10</v>
      </c>
      <c r="D1739" s="118" t="str">
        <f ca="1">IFERROR(__xludf.DUMMYFUNCTION("""COMPUTED_VALUE"""),"G")</f>
        <v>G</v>
      </c>
      <c r="E1739" s="118" t="str">
        <f ca="1">IFERROR(__xludf.DUMMYFUNCTION("""COMPUTED_VALUE"""),"F")</f>
        <v>F</v>
      </c>
      <c r="F1739" s="124" t="str">
        <f ca="1">IFERROR(__xludf.DUMMYFUNCTION("""COMPUTED_VALUE"""),"J")</f>
        <v>J</v>
      </c>
      <c r="G1739" s="124">
        <f ca="1">IFERROR(__xludf.DUMMYFUNCTION("""COMPUTED_VALUE"""),6)</f>
        <v>6</v>
      </c>
      <c r="H1739" s="124" t="str">
        <f ca="1">IFERROR(__xludf.DUMMYFUNCTION("""COMPUTED_VALUE"""),"SHB")</f>
        <v>SHB</v>
      </c>
      <c r="I1739" s="124">
        <f ca="1">IFERROR(__xludf.DUMMYFUNCTION("""COMPUTED_VALUE"""),4)</f>
        <v>4</v>
      </c>
      <c r="J1739" s="124">
        <f ca="1">IFERROR(__xludf.DUMMYFUNCTION("""COMPUTED_VALUE"""),4)</f>
        <v>4</v>
      </c>
      <c r="K1739" s="125">
        <f ca="1">IFERROR(__xludf.DUMMYFUNCTION("""COMPUTED_VALUE"""),47.6)</f>
        <v>47.6</v>
      </c>
      <c r="L1739" s="121"/>
      <c r="M1739" s="125">
        <f ca="1">IFERROR(__xludf.DUMMYFUNCTION("""COMPUTED_VALUE"""),40.3)</f>
        <v>40.299999999999997</v>
      </c>
      <c r="N1739" s="121"/>
      <c r="O1739" s="125">
        <f ca="1">IFERROR(__xludf.DUMMYFUNCTION("""COMPUTED_VALUE"""),25.9)</f>
        <v>25.9</v>
      </c>
      <c r="P1739" s="126"/>
      <c r="Q1739" s="127"/>
      <c r="R1739" s="127"/>
      <c r="S1739" s="127"/>
      <c r="T1739" s="127"/>
    </row>
    <row r="1740" spans="1:20" ht="13.8">
      <c r="A1740" s="118" t="str">
        <f ca="1">IFERROR(__xludf.DUMMYFUNCTION("""COMPUTED_VALUE"""),"SHB")</f>
        <v>SHB</v>
      </c>
      <c r="B1740" s="119" t="str">
        <f ca="1">IFERROR(__xludf.DUMMYFUNCTION("""COMPUTED_VALUE"""),"Madeleine Mitchell")</f>
        <v>Madeleine Mitchell</v>
      </c>
      <c r="C1740" s="118">
        <f ca="1">IFERROR(__xludf.DUMMYFUNCTION("""COMPUTED_VALUE"""),4)</f>
        <v>4</v>
      </c>
      <c r="D1740" s="118" t="str">
        <f ca="1">IFERROR(__xludf.DUMMYFUNCTION("""COMPUTED_VALUE"""),"G")</f>
        <v>G</v>
      </c>
      <c r="E1740" s="118" t="str">
        <f ca="1">IFERROR(__xludf.DUMMYFUNCTION("""COMPUTED_VALUE"""),"F")</f>
        <v>F</v>
      </c>
      <c r="F1740" s="124" t="str">
        <f ca="1">IFERROR(__xludf.DUMMYFUNCTION("""COMPUTED_VALUE"""),"J")</f>
        <v>J</v>
      </c>
      <c r="G1740" s="124">
        <f ca="1">IFERROR(__xludf.DUMMYFUNCTION("""COMPUTED_VALUE"""),6)</f>
        <v>6</v>
      </c>
      <c r="H1740" s="124" t="str">
        <f ca="1">IFERROR(__xludf.DUMMYFUNCTION("""COMPUTED_VALUE"""),"SHB")</f>
        <v>SHB</v>
      </c>
      <c r="I1740" s="124">
        <f ca="1">IFERROR(__xludf.DUMMYFUNCTION("""COMPUTED_VALUE"""),4)</f>
        <v>4</v>
      </c>
      <c r="J1740" s="124">
        <f ca="1">IFERROR(__xludf.DUMMYFUNCTION("""COMPUTED_VALUE"""),0)</f>
        <v>0</v>
      </c>
      <c r="K1740" s="125"/>
      <c r="L1740" s="121"/>
      <c r="M1740" s="125"/>
      <c r="N1740" s="121"/>
      <c r="O1740" s="125"/>
      <c r="P1740" s="126"/>
      <c r="Q1740" s="127"/>
      <c r="R1740" s="127"/>
      <c r="S1740" s="127"/>
      <c r="T1740" s="127"/>
    </row>
    <row r="1741" spans="1:20" ht="13.8">
      <c r="A1741" s="118" t="str">
        <f ca="1">IFERROR(__xludf.DUMMYFUNCTION("""COMPUTED_VALUE"""),"SHB")</f>
        <v>SHB</v>
      </c>
      <c r="B1741" s="119" t="str">
        <f ca="1">IFERROR(__xludf.DUMMYFUNCTION("""COMPUTED_VALUE"""),"Maggie Cate")</f>
        <v>Maggie Cate</v>
      </c>
      <c r="C1741" s="118">
        <f ca="1">IFERROR(__xludf.DUMMYFUNCTION("""COMPUTED_VALUE"""),7)</f>
        <v>7</v>
      </c>
      <c r="D1741" s="118" t="str">
        <f ca="1">IFERROR(__xludf.DUMMYFUNCTION("""COMPUTED_VALUE"""),"G")</f>
        <v>G</v>
      </c>
      <c r="E1741" s="118" t="str">
        <f ca="1">IFERROR(__xludf.DUMMYFUNCTION("""COMPUTED_VALUE"""),"F")</f>
        <v>F</v>
      </c>
      <c r="F1741" s="124" t="str">
        <f ca="1">IFERROR(__xludf.DUMMYFUNCTION("""COMPUTED_VALUE"""),"J")</f>
        <v>J</v>
      </c>
      <c r="G1741" s="124">
        <f ca="1">IFERROR(__xludf.DUMMYFUNCTION("""COMPUTED_VALUE"""),6)</f>
        <v>6</v>
      </c>
      <c r="H1741" s="124" t="str">
        <f ca="1">IFERROR(__xludf.DUMMYFUNCTION("""COMPUTED_VALUE"""),"SHB")</f>
        <v>SHB</v>
      </c>
      <c r="I1741" s="124">
        <f ca="1">IFERROR(__xludf.DUMMYFUNCTION("""COMPUTED_VALUE"""),4)</f>
        <v>4</v>
      </c>
      <c r="J1741" s="124">
        <f ca="1">IFERROR(__xludf.DUMMYFUNCTION("""COMPUTED_VALUE"""),0)</f>
        <v>0</v>
      </c>
      <c r="K1741" s="125"/>
      <c r="L1741" s="121"/>
      <c r="M1741" s="125"/>
      <c r="N1741" s="121"/>
      <c r="O1741" s="125"/>
      <c r="P1741" s="126"/>
      <c r="Q1741" s="127"/>
      <c r="R1741" s="127"/>
      <c r="S1741" s="127"/>
      <c r="T1741" s="127"/>
    </row>
    <row r="1742" spans="1:20" ht="13.8">
      <c r="A1742" s="118" t="str">
        <f ca="1">IFERROR(__xludf.DUMMYFUNCTION("""COMPUTED_VALUE"""),"SHB")</f>
        <v>SHB</v>
      </c>
      <c r="B1742" s="119" t="str">
        <f ca="1">IFERROR(__xludf.DUMMYFUNCTION("""COMPUTED_VALUE"""),"Navya Williams")</f>
        <v>Navya Williams</v>
      </c>
      <c r="C1742" s="118">
        <f ca="1">IFERROR(__xludf.DUMMYFUNCTION("""COMPUTED_VALUE"""),9)</f>
        <v>9</v>
      </c>
      <c r="D1742" s="118" t="str">
        <f ca="1">IFERROR(__xludf.DUMMYFUNCTION("""COMPUTED_VALUE"""),"G")</f>
        <v>G</v>
      </c>
      <c r="E1742" s="118" t="str">
        <f ca="1">IFERROR(__xludf.DUMMYFUNCTION("""COMPUTED_VALUE"""),"F")</f>
        <v>F</v>
      </c>
      <c r="F1742" s="124" t="str">
        <f ca="1">IFERROR(__xludf.DUMMYFUNCTION("""COMPUTED_VALUE"""),"J")</f>
        <v>J</v>
      </c>
      <c r="G1742" s="124">
        <f ca="1">IFERROR(__xludf.DUMMYFUNCTION("""COMPUTED_VALUE"""),6)</f>
        <v>6</v>
      </c>
      <c r="H1742" s="124" t="str">
        <f ca="1">IFERROR(__xludf.DUMMYFUNCTION("""COMPUTED_VALUE"""),"SHB")</f>
        <v>SHB</v>
      </c>
      <c r="I1742" s="124">
        <f ca="1">IFERROR(__xludf.DUMMYFUNCTION("""COMPUTED_VALUE"""),4)</f>
        <v>4</v>
      </c>
      <c r="J1742" s="124">
        <f ca="1">IFERROR(__xludf.DUMMYFUNCTION("""COMPUTED_VALUE"""),5)</f>
        <v>5</v>
      </c>
      <c r="K1742" s="125">
        <f ca="1">IFERROR(__xludf.DUMMYFUNCTION("""COMPUTED_VALUE"""),41.2)</f>
        <v>41.2</v>
      </c>
      <c r="L1742" s="121"/>
      <c r="M1742" s="125">
        <f ca="1">IFERROR(__xludf.DUMMYFUNCTION("""COMPUTED_VALUE"""),32.15)</f>
        <v>32.15</v>
      </c>
      <c r="N1742" s="121"/>
      <c r="O1742" s="125">
        <f ca="1">IFERROR(__xludf.DUMMYFUNCTION("""COMPUTED_VALUE"""),41.2)</f>
        <v>41.2</v>
      </c>
      <c r="P1742" s="126"/>
      <c r="Q1742" s="127"/>
      <c r="R1742" s="127"/>
      <c r="S1742" s="127"/>
      <c r="T1742" s="127"/>
    </row>
    <row r="1743" spans="1:20" ht="13.8">
      <c r="A1743" s="118" t="str">
        <f ca="1">IFERROR(__xludf.DUMMYFUNCTION("""COMPUTED_VALUE"""),"SHB")</f>
        <v>SHB</v>
      </c>
      <c r="B1743" s="119" t="str">
        <f ca="1">IFERROR(__xludf.DUMMYFUNCTION("""COMPUTED_VALUE"""),"Quinn Brown")</f>
        <v>Quinn Brown</v>
      </c>
      <c r="C1743" s="118">
        <f ca="1">IFERROR(__xludf.DUMMYFUNCTION("""COMPUTED_VALUE"""),10)</f>
        <v>10</v>
      </c>
      <c r="D1743" s="118" t="str">
        <f ca="1">IFERROR(__xludf.DUMMYFUNCTION("""COMPUTED_VALUE"""),"G")</f>
        <v>G</v>
      </c>
      <c r="E1743" s="118" t="str">
        <f ca="1">IFERROR(__xludf.DUMMYFUNCTION("""COMPUTED_VALUE"""),"F")</f>
        <v>F</v>
      </c>
      <c r="F1743" s="124" t="str">
        <f ca="1">IFERROR(__xludf.DUMMYFUNCTION("""COMPUTED_VALUE"""),"J")</f>
        <v>J</v>
      </c>
      <c r="G1743" s="124">
        <f ca="1">IFERROR(__xludf.DUMMYFUNCTION("""COMPUTED_VALUE"""),6)</f>
        <v>6</v>
      </c>
      <c r="H1743" s="124" t="str">
        <f ca="1">IFERROR(__xludf.DUMMYFUNCTION("""COMPUTED_VALUE"""),"SHB")</f>
        <v>SHB</v>
      </c>
      <c r="I1743" s="124">
        <f ca="1">IFERROR(__xludf.DUMMYFUNCTION("""COMPUTED_VALUE"""),4)</f>
        <v>4</v>
      </c>
      <c r="J1743" s="124">
        <f ca="1">IFERROR(__xludf.DUMMYFUNCTION("""COMPUTED_VALUE"""),5)</f>
        <v>5</v>
      </c>
      <c r="K1743" s="125">
        <f ca="1">IFERROR(__xludf.DUMMYFUNCTION("""COMPUTED_VALUE"""),43.35)</f>
        <v>43.35</v>
      </c>
      <c r="L1743" s="121"/>
      <c r="M1743" s="125">
        <f ca="1">IFERROR(__xludf.DUMMYFUNCTION("""COMPUTED_VALUE"""),43.35)</f>
        <v>43.35</v>
      </c>
      <c r="N1743" s="121"/>
      <c r="O1743" s="125">
        <f ca="1">IFERROR(__xludf.DUMMYFUNCTION("""COMPUTED_VALUE"""),38.5)</f>
        <v>38.5</v>
      </c>
      <c r="P1743" s="126"/>
      <c r="Q1743" s="127"/>
      <c r="R1743" s="127"/>
      <c r="S1743" s="127"/>
      <c r="T1743" s="127"/>
    </row>
    <row r="1744" spans="1:20" ht="13.8">
      <c r="A1744" s="118" t="str">
        <f ca="1">IFERROR(__xludf.DUMMYFUNCTION("""COMPUTED_VALUE"""),"SHB")</f>
        <v>SHB</v>
      </c>
      <c r="B1744" s="119" t="str">
        <f ca="1">IFERROR(__xludf.DUMMYFUNCTION("""COMPUTED_VALUE"""),"Rose Chang")</f>
        <v>Rose Chang</v>
      </c>
      <c r="C1744" s="118">
        <f ca="1">IFERROR(__xludf.DUMMYFUNCTION("""COMPUTED_VALUE"""),9)</f>
        <v>9</v>
      </c>
      <c r="D1744" s="118" t="str">
        <f ca="1">IFERROR(__xludf.DUMMYFUNCTION("""COMPUTED_VALUE"""),"G")</f>
        <v>G</v>
      </c>
      <c r="E1744" s="118" t="str">
        <f ca="1">IFERROR(__xludf.DUMMYFUNCTION("""COMPUTED_VALUE"""),"F")</f>
        <v>F</v>
      </c>
      <c r="F1744" s="124" t="str">
        <f ca="1">IFERROR(__xludf.DUMMYFUNCTION("""COMPUTED_VALUE"""),"J")</f>
        <v>J</v>
      </c>
      <c r="G1744" s="124">
        <f ca="1">IFERROR(__xludf.DUMMYFUNCTION("""COMPUTED_VALUE"""),6)</f>
        <v>6</v>
      </c>
      <c r="H1744" s="124" t="str">
        <f ca="1">IFERROR(__xludf.DUMMYFUNCTION("""COMPUTED_VALUE"""),"SHB")</f>
        <v>SHB</v>
      </c>
      <c r="I1744" s="124">
        <f ca="1">IFERROR(__xludf.DUMMYFUNCTION("""COMPUTED_VALUE"""),4)</f>
        <v>4</v>
      </c>
      <c r="J1744" s="124">
        <f ca="1">IFERROR(__xludf.DUMMYFUNCTION("""COMPUTED_VALUE"""),0)</f>
        <v>0</v>
      </c>
      <c r="K1744" s="125"/>
      <c r="L1744" s="121"/>
      <c r="M1744" s="125"/>
      <c r="N1744" s="121"/>
      <c r="O1744" s="125"/>
      <c r="P1744" s="126"/>
      <c r="Q1744" s="127"/>
      <c r="R1744" s="127"/>
      <c r="S1744" s="127"/>
      <c r="T1744" s="127"/>
    </row>
    <row r="1745" spans="1:20" ht="13.8">
      <c r="A1745" s="118" t="str">
        <f ca="1">IFERROR(__xludf.DUMMYFUNCTION("""COMPUTED_VALUE"""),"SHB")</f>
        <v>SHB</v>
      </c>
      <c r="B1745" s="119" t="str">
        <f ca="1">IFERROR(__xludf.DUMMYFUNCTION("""COMPUTED_VALUE"""),"Asher Arnic")</f>
        <v>Asher Arnic</v>
      </c>
      <c r="C1745" s="118">
        <f ca="1">IFERROR(__xludf.DUMMYFUNCTION("""COMPUTED_VALUE"""),9)</f>
        <v>9</v>
      </c>
      <c r="D1745" s="118" t="str">
        <f ca="1">IFERROR(__xludf.DUMMYFUNCTION("""COMPUTED_VALUE"""),"B")</f>
        <v>B</v>
      </c>
      <c r="E1745" s="118" t="str">
        <f ca="1">IFERROR(__xludf.DUMMYFUNCTION("""COMPUTED_VALUE"""),"F")</f>
        <v>F</v>
      </c>
      <c r="F1745" s="124" t="str">
        <f ca="1">IFERROR(__xludf.DUMMYFUNCTION("""COMPUTED_VALUE"""),"J")</f>
        <v>J</v>
      </c>
      <c r="G1745" s="124">
        <f ca="1">IFERROR(__xludf.DUMMYFUNCTION("""COMPUTED_VALUE"""),6)</f>
        <v>6</v>
      </c>
      <c r="H1745" s="124" t="str">
        <f ca="1">IFERROR(__xludf.DUMMYFUNCTION("""COMPUTED_VALUE"""),"SHB")</f>
        <v>SHB</v>
      </c>
      <c r="I1745" s="124">
        <f ca="1">IFERROR(__xludf.DUMMYFUNCTION("""COMPUTED_VALUE"""),5)</f>
        <v>5</v>
      </c>
      <c r="J1745" s="124">
        <f ca="1">IFERROR(__xludf.DUMMYFUNCTION("""COMPUTED_VALUE"""),5)</f>
        <v>5</v>
      </c>
      <c r="K1745" s="125">
        <f ca="1">IFERROR(__xludf.DUMMYFUNCTION("""COMPUTED_VALUE"""),41.3)</f>
        <v>41.3</v>
      </c>
      <c r="L1745" s="121"/>
      <c r="M1745" s="125">
        <f ca="1">IFERROR(__xludf.DUMMYFUNCTION("""COMPUTED_VALUE"""),34.85)</f>
        <v>34.85</v>
      </c>
      <c r="N1745" s="121"/>
      <c r="O1745" s="125">
        <f ca="1">IFERROR(__xludf.DUMMYFUNCTION("""COMPUTED_VALUE"""),32.95)</f>
        <v>32.950000000000003</v>
      </c>
      <c r="P1745" s="126"/>
      <c r="Q1745" s="127"/>
      <c r="R1745" s="127"/>
      <c r="S1745" s="127"/>
      <c r="T1745" s="127"/>
    </row>
    <row r="1746" spans="1:20" ht="13.8">
      <c r="A1746" s="118" t="str">
        <f ca="1">IFERROR(__xludf.DUMMYFUNCTION("""COMPUTED_VALUE"""),"SHB")</f>
        <v>SHB</v>
      </c>
      <c r="B1746" s="119" t="str">
        <f ca="1">IFERROR(__xludf.DUMMYFUNCTION("""COMPUTED_VALUE"""),"Benton Bower")</f>
        <v>Benton Bower</v>
      </c>
      <c r="C1746" s="118">
        <f ca="1">IFERROR(__xludf.DUMMYFUNCTION("""COMPUTED_VALUE"""),8)</f>
        <v>8</v>
      </c>
      <c r="D1746" s="118" t="str">
        <f ca="1">IFERROR(__xludf.DUMMYFUNCTION("""COMPUTED_VALUE"""),"B")</f>
        <v>B</v>
      </c>
      <c r="E1746" s="118" t="str">
        <f ca="1">IFERROR(__xludf.DUMMYFUNCTION("""COMPUTED_VALUE"""),"F")</f>
        <v>F</v>
      </c>
      <c r="F1746" s="124" t="str">
        <f ca="1">IFERROR(__xludf.DUMMYFUNCTION("""COMPUTED_VALUE"""),"J")</f>
        <v>J</v>
      </c>
      <c r="G1746" s="124">
        <f ca="1">IFERROR(__xludf.DUMMYFUNCTION("""COMPUTED_VALUE"""),6)</f>
        <v>6</v>
      </c>
      <c r="H1746" s="124" t="str">
        <f ca="1">IFERROR(__xludf.DUMMYFUNCTION("""COMPUTED_VALUE"""),"SHB")</f>
        <v>SHB</v>
      </c>
      <c r="I1746" s="124">
        <f ca="1">IFERROR(__xludf.DUMMYFUNCTION("""COMPUTED_VALUE"""),5)</f>
        <v>5</v>
      </c>
      <c r="J1746" s="124">
        <f ca="1">IFERROR(__xludf.DUMMYFUNCTION("""COMPUTED_VALUE"""),1)</f>
        <v>1</v>
      </c>
      <c r="K1746" s="125">
        <f ca="1">IFERROR(__xludf.DUMMYFUNCTION("""COMPUTED_VALUE"""),18.9)</f>
        <v>18.899999999999999</v>
      </c>
      <c r="L1746" s="121"/>
      <c r="M1746" s="125"/>
      <c r="N1746" s="121"/>
      <c r="O1746" s="125"/>
      <c r="P1746" s="126"/>
      <c r="Q1746" s="127"/>
      <c r="R1746" s="127"/>
      <c r="S1746" s="127"/>
      <c r="T1746" s="127"/>
    </row>
    <row r="1747" spans="1:20" ht="13.8">
      <c r="A1747" s="118" t="str">
        <f ca="1">IFERROR(__xludf.DUMMYFUNCTION("""COMPUTED_VALUE"""),"SHB")</f>
        <v>SHB</v>
      </c>
      <c r="B1747" s="119" t="str">
        <f ca="1">IFERROR(__xludf.DUMMYFUNCTION("""COMPUTED_VALUE"""),"Charlie Cate")</f>
        <v>Charlie Cate</v>
      </c>
      <c r="C1747" s="118">
        <f ca="1">IFERROR(__xludf.DUMMYFUNCTION("""COMPUTED_VALUE"""),8)</f>
        <v>8</v>
      </c>
      <c r="D1747" s="118" t="str">
        <f ca="1">IFERROR(__xludf.DUMMYFUNCTION("""COMPUTED_VALUE"""),"B")</f>
        <v>B</v>
      </c>
      <c r="E1747" s="118" t="str">
        <f ca="1">IFERROR(__xludf.DUMMYFUNCTION("""COMPUTED_VALUE"""),"F")</f>
        <v>F</v>
      </c>
      <c r="F1747" s="124" t="str">
        <f ca="1">IFERROR(__xludf.DUMMYFUNCTION("""COMPUTED_VALUE"""),"J")</f>
        <v>J</v>
      </c>
      <c r="G1747" s="124">
        <f ca="1">IFERROR(__xludf.DUMMYFUNCTION("""COMPUTED_VALUE"""),6)</f>
        <v>6</v>
      </c>
      <c r="H1747" s="124" t="str">
        <f ca="1">IFERROR(__xludf.DUMMYFUNCTION("""COMPUTED_VALUE"""),"SHB")</f>
        <v>SHB</v>
      </c>
      <c r="I1747" s="124">
        <f ca="1">IFERROR(__xludf.DUMMYFUNCTION("""COMPUTED_VALUE"""),5)</f>
        <v>5</v>
      </c>
      <c r="J1747" s="124">
        <f ca="1">IFERROR(__xludf.DUMMYFUNCTION("""COMPUTED_VALUE"""),0)</f>
        <v>0</v>
      </c>
      <c r="K1747" s="125"/>
      <c r="L1747" s="121"/>
      <c r="M1747" s="125"/>
      <c r="N1747" s="121"/>
      <c r="O1747" s="125"/>
      <c r="P1747" s="126"/>
      <c r="Q1747" s="127"/>
      <c r="R1747" s="127"/>
      <c r="S1747" s="127"/>
      <c r="T1747" s="127"/>
    </row>
    <row r="1748" spans="1:20" ht="13.8">
      <c r="A1748" s="118" t="str">
        <f ca="1">IFERROR(__xludf.DUMMYFUNCTION("""COMPUTED_VALUE"""),"SHB")</f>
        <v>SHB</v>
      </c>
      <c r="B1748" s="119" t="str">
        <f ca="1">IFERROR(__xludf.DUMMYFUNCTION("""COMPUTED_VALUE"""),"Connor Long")</f>
        <v>Connor Long</v>
      </c>
      <c r="C1748" s="118">
        <f ca="1">IFERROR(__xludf.DUMMYFUNCTION("""COMPUTED_VALUE"""),10)</f>
        <v>10</v>
      </c>
      <c r="D1748" s="118" t="str">
        <f ca="1">IFERROR(__xludf.DUMMYFUNCTION("""COMPUTED_VALUE"""),"B")</f>
        <v>B</v>
      </c>
      <c r="E1748" s="118" t="str">
        <f ca="1">IFERROR(__xludf.DUMMYFUNCTION("""COMPUTED_VALUE"""),"F")</f>
        <v>F</v>
      </c>
      <c r="F1748" s="124" t="str">
        <f ca="1">IFERROR(__xludf.DUMMYFUNCTION("""COMPUTED_VALUE"""),"J")</f>
        <v>J</v>
      </c>
      <c r="G1748" s="124">
        <f ca="1">IFERROR(__xludf.DUMMYFUNCTION("""COMPUTED_VALUE"""),6)</f>
        <v>6</v>
      </c>
      <c r="H1748" s="124" t="str">
        <f ca="1">IFERROR(__xludf.DUMMYFUNCTION("""COMPUTED_VALUE"""),"SHB")</f>
        <v>SHB</v>
      </c>
      <c r="I1748" s="124">
        <f ca="1">IFERROR(__xludf.DUMMYFUNCTION("""COMPUTED_VALUE"""),5)</f>
        <v>5</v>
      </c>
      <c r="J1748" s="124">
        <f ca="1">IFERROR(__xludf.DUMMYFUNCTION("""COMPUTED_VALUE"""),2)</f>
        <v>2</v>
      </c>
      <c r="K1748" s="125">
        <f ca="1">IFERROR(__xludf.DUMMYFUNCTION("""COMPUTED_VALUE"""),35.7)</f>
        <v>35.700000000000003</v>
      </c>
      <c r="L1748" s="121"/>
      <c r="M1748" s="125"/>
      <c r="N1748" s="121"/>
      <c r="O1748" s="125"/>
      <c r="P1748" s="126"/>
      <c r="Q1748" s="127"/>
      <c r="R1748" s="127"/>
      <c r="S1748" s="127"/>
      <c r="T1748" s="127"/>
    </row>
    <row r="1749" spans="1:20" ht="13.8">
      <c r="A1749" s="118" t="str">
        <f ca="1">IFERROR(__xludf.DUMMYFUNCTION("""COMPUTED_VALUE"""),"SHB")</f>
        <v>SHB</v>
      </c>
      <c r="B1749" s="119" t="str">
        <f ca="1">IFERROR(__xludf.DUMMYFUNCTION("""COMPUTED_VALUE"""),"Daniel Nelson")</f>
        <v>Daniel Nelson</v>
      </c>
      <c r="C1749" s="118">
        <f ca="1">IFERROR(__xludf.DUMMYFUNCTION("""COMPUTED_VALUE"""),6)</f>
        <v>6</v>
      </c>
      <c r="D1749" s="118" t="str">
        <f ca="1">IFERROR(__xludf.DUMMYFUNCTION("""COMPUTED_VALUE"""),"B")</f>
        <v>B</v>
      </c>
      <c r="E1749" s="118" t="str">
        <f ca="1">IFERROR(__xludf.DUMMYFUNCTION("""COMPUTED_VALUE"""),"F")</f>
        <v>F</v>
      </c>
      <c r="F1749" s="124" t="str">
        <f ca="1">IFERROR(__xludf.DUMMYFUNCTION("""COMPUTED_VALUE"""),"J")</f>
        <v>J</v>
      </c>
      <c r="G1749" s="124">
        <f ca="1">IFERROR(__xludf.DUMMYFUNCTION("""COMPUTED_VALUE"""),6)</f>
        <v>6</v>
      </c>
      <c r="H1749" s="124" t="str">
        <f ca="1">IFERROR(__xludf.DUMMYFUNCTION("""COMPUTED_VALUE"""),"SHB")</f>
        <v>SHB</v>
      </c>
      <c r="I1749" s="124">
        <f ca="1">IFERROR(__xludf.DUMMYFUNCTION("""COMPUTED_VALUE"""),5)</f>
        <v>5</v>
      </c>
      <c r="J1749" s="124">
        <f ca="1">IFERROR(__xludf.DUMMYFUNCTION("""COMPUTED_VALUE"""),0)</f>
        <v>0</v>
      </c>
      <c r="K1749" s="125"/>
      <c r="L1749" s="121"/>
      <c r="M1749" s="125"/>
      <c r="N1749" s="121"/>
      <c r="O1749" s="125"/>
      <c r="P1749" s="126"/>
      <c r="Q1749" s="127"/>
      <c r="R1749" s="127"/>
      <c r="S1749" s="127"/>
      <c r="T1749" s="127"/>
    </row>
    <row r="1750" spans="1:20" ht="13.8">
      <c r="A1750" s="118" t="str">
        <f ca="1">IFERROR(__xludf.DUMMYFUNCTION("""COMPUTED_VALUE"""),"SHB")</f>
        <v>SHB</v>
      </c>
      <c r="B1750" s="119" t="str">
        <f ca="1">IFERROR(__xludf.DUMMYFUNCTION("""COMPUTED_VALUE"""),"Dylan Radich")</f>
        <v>Dylan Radich</v>
      </c>
      <c r="C1750" s="118">
        <f ca="1">IFERROR(__xludf.DUMMYFUNCTION("""COMPUTED_VALUE"""),7)</f>
        <v>7</v>
      </c>
      <c r="D1750" s="118" t="str">
        <f ca="1">IFERROR(__xludf.DUMMYFUNCTION("""COMPUTED_VALUE"""),"B")</f>
        <v>B</v>
      </c>
      <c r="E1750" s="118" t="str">
        <f ca="1">IFERROR(__xludf.DUMMYFUNCTION("""COMPUTED_VALUE"""),"F")</f>
        <v>F</v>
      </c>
      <c r="F1750" s="124" t="str">
        <f ca="1">IFERROR(__xludf.DUMMYFUNCTION("""COMPUTED_VALUE"""),"J")</f>
        <v>J</v>
      </c>
      <c r="G1750" s="124">
        <f ca="1">IFERROR(__xludf.DUMMYFUNCTION("""COMPUTED_VALUE"""),6)</f>
        <v>6</v>
      </c>
      <c r="H1750" s="124" t="str">
        <f ca="1">IFERROR(__xludf.DUMMYFUNCTION("""COMPUTED_VALUE"""),"SHB")</f>
        <v>SHB</v>
      </c>
      <c r="I1750" s="124">
        <f ca="1">IFERROR(__xludf.DUMMYFUNCTION("""COMPUTED_VALUE"""),5)</f>
        <v>5</v>
      </c>
      <c r="J1750" s="124">
        <f ca="1">IFERROR(__xludf.DUMMYFUNCTION("""COMPUTED_VALUE"""),0)</f>
        <v>0</v>
      </c>
      <c r="K1750" s="125"/>
      <c r="L1750" s="121"/>
      <c r="M1750" s="125"/>
      <c r="N1750" s="121"/>
      <c r="O1750" s="125"/>
      <c r="P1750" s="126"/>
      <c r="Q1750" s="127"/>
      <c r="R1750" s="127"/>
      <c r="S1750" s="127"/>
      <c r="T1750" s="127"/>
    </row>
    <row r="1751" spans="1:20" ht="13.8">
      <c r="A1751" s="118" t="str">
        <f ca="1">IFERROR(__xludf.DUMMYFUNCTION("""COMPUTED_VALUE"""),"SHB")</f>
        <v>SHB</v>
      </c>
      <c r="B1751" s="119" t="str">
        <f ca="1">IFERROR(__xludf.DUMMYFUNCTION("""COMPUTED_VALUE"""),"Gara Kashakhi")</f>
        <v>Gara Kashakhi</v>
      </c>
      <c r="C1751" s="118">
        <f ca="1">IFERROR(__xludf.DUMMYFUNCTION("""COMPUTED_VALUE"""),7)</f>
        <v>7</v>
      </c>
      <c r="D1751" s="118" t="str">
        <f ca="1">IFERROR(__xludf.DUMMYFUNCTION("""COMPUTED_VALUE"""),"B")</f>
        <v>B</v>
      </c>
      <c r="E1751" s="118" t="str">
        <f ca="1">IFERROR(__xludf.DUMMYFUNCTION("""COMPUTED_VALUE"""),"F")</f>
        <v>F</v>
      </c>
      <c r="F1751" s="124" t="str">
        <f ca="1">IFERROR(__xludf.DUMMYFUNCTION("""COMPUTED_VALUE"""),"J")</f>
        <v>J</v>
      </c>
      <c r="G1751" s="124">
        <f ca="1">IFERROR(__xludf.DUMMYFUNCTION("""COMPUTED_VALUE"""),6)</f>
        <v>6</v>
      </c>
      <c r="H1751" s="124" t="str">
        <f ca="1">IFERROR(__xludf.DUMMYFUNCTION("""COMPUTED_VALUE"""),"SHB")</f>
        <v>SHB</v>
      </c>
      <c r="I1751" s="124">
        <f ca="1">IFERROR(__xludf.DUMMYFUNCTION("""COMPUTED_VALUE"""),5)</f>
        <v>5</v>
      </c>
      <c r="J1751" s="124">
        <f ca="1">IFERROR(__xludf.DUMMYFUNCTION("""COMPUTED_VALUE"""),0)</f>
        <v>0</v>
      </c>
      <c r="K1751" s="125"/>
      <c r="L1751" s="121"/>
      <c r="M1751" s="125"/>
      <c r="N1751" s="121"/>
      <c r="O1751" s="125"/>
      <c r="P1751" s="126"/>
      <c r="Q1751" s="127"/>
      <c r="R1751" s="127"/>
      <c r="S1751" s="127"/>
      <c r="T1751" s="127"/>
    </row>
    <row r="1752" spans="1:20" ht="13.8">
      <c r="A1752" s="118" t="str">
        <f ca="1">IFERROR(__xludf.DUMMYFUNCTION("""COMPUTED_VALUE"""),"SHB")</f>
        <v>SHB</v>
      </c>
      <c r="B1752" s="119" t="str">
        <f ca="1">IFERROR(__xludf.DUMMYFUNCTION("""COMPUTED_VALUE"""),"Hans Imer")</f>
        <v>Hans Imer</v>
      </c>
      <c r="C1752" s="118">
        <f ca="1">IFERROR(__xludf.DUMMYFUNCTION("""COMPUTED_VALUE"""),8)</f>
        <v>8</v>
      </c>
      <c r="D1752" s="118" t="str">
        <f ca="1">IFERROR(__xludf.DUMMYFUNCTION("""COMPUTED_VALUE"""),"B")</f>
        <v>B</v>
      </c>
      <c r="E1752" s="118" t="str">
        <f ca="1">IFERROR(__xludf.DUMMYFUNCTION("""COMPUTED_VALUE"""),"F")</f>
        <v>F</v>
      </c>
      <c r="F1752" s="124" t="str">
        <f ca="1">IFERROR(__xludf.DUMMYFUNCTION("""COMPUTED_VALUE"""),"J")</f>
        <v>J</v>
      </c>
      <c r="G1752" s="124">
        <f ca="1">IFERROR(__xludf.DUMMYFUNCTION("""COMPUTED_VALUE"""),6)</f>
        <v>6</v>
      </c>
      <c r="H1752" s="124" t="str">
        <f ca="1">IFERROR(__xludf.DUMMYFUNCTION("""COMPUTED_VALUE"""),"SHB")</f>
        <v>SHB</v>
      </c>
      <c r="I1752" s="124">
        <f ca="1">IFERROR(__xludf.DUMMYFUNCTION("""COMPUTED_VALUE"""),5)</f>
        <v>5</v>
      </c>
      <c r="J1752" s="124">
        <f ca="1">IFERROR(__xludf.DUMMYFUNCTION("""COMPUTED_VALUE"""),0)</f>
        <v>0</v>
      </c>
      <c r="K1752" s="125"/>
      <c r="L1752" s="121"/>
      <c r="M1752" s="125"/>
      <c r="N1752" s="121"/>
      <c r="O1752" s="125"/>
      <c r="P1752" s="126"/>
      <c r="Q1752" s="127"/>
      <c r="R1752" s="127"/>
      <c r="S1752" s="127"/>
      <c r="T1752" s="127"/>
    </row>
    <row r="1753" spans="1:20" ht="13.8">
      <c r="A1753" s="118" t="str">
        <f ca="1">IFERROR(__xludf.DUMMYFUNCTION("""COMPUTED_VALUE"""),"SHB")</f>
        <v>SHB</v>
      </c>
      <c r="B1753" s="119" t="str">
        <f ca="1">IFERROR(__xludf.DUMMYFUNCTION("""COMPUTED_VALUE"""),"Jacob Chodos")</f>
        <v>Jacob Chodos</v>
      </c>
      <c r="C1753" s="118">
        <f ca="1">IFERROR(__xludf.DUMMYFUNCTION("""COMPUTED_VALUE"""),10)</f>
        <v>10</v>
      </c>
      <c r="D1753" s="118" t="str">
        <f ca="1">IFERROR(__xludf.DUMMYFUNCTION("""COMPUTED_VALUE"""),"B")</f>
        <v>B</v>
      </c>
      <c r="E1753" s="118" t="str">
        <f ca="1">IFERROR(__xludf.DUMMYFUNCTION("""COMPUTED_VALUE"""),"F")</f>
        <v>F</v>
      </c>
      <c r="F1753" s="124" t="str">
        <f ca="1">IFERROR(__xludf.DUMMYFUNCTION("""COMPUTED_VALUE"""),"J")</f>
        <v>J</v>
      </c>
      <c r="G1753" s="124">
        <f ca="1">IFERROR(__xludf.DUMMYFUNCTION("""COMPUTED_VALUE"""),6)</f>
        <v>6</v>
      </c>
      <c r="H1753" s="124" t="str">
        <f ca="1">IFERROR(__xludf.DUMMYFUNCTION("""COMPUTED_VALUE"""),"SHB")</f>
        <v>SHB</v>
      </c>
      <c r="I1753" s="124">
        <f ca="1">IFERROR(__xludf.DUMMYFUNCTION("""COMPUTED_VALUE"""),5)</f>
        <v>5</v>
      </c>
      <c r="J1753" s="124">
        <f ca="1">IFERROR(__xludf.DUMMYFUNCTION("""COMPUTED_VALUE"""),5)</f>
        <v>5</v>
      </c>
      <c r="K1753" s="125">
        <f ca="1">IFERROR(__xludf.DUMMYFUNCTION("""COMPUTED_VALUE"""),46.95)</f>
        <v>46.95</v>
      </c>
      <c r="L1753" s="121"/>
      <c r="M1753" s="125">
        <f ca="1">IFERROR(__xludf.DUMMYFUNCTION("""COMPUTED_VALUE"""),22.4)</f>
        <v>22.4</v>
      </c>
      <c r="N1753" s="121"/>
      <c r="O1753" s="125">
        <f ca="1">IFERROR(__xludf.DUMMYFUNCTION("""COMPUTED_VALUE"""),34.85)</f>
        <v>34.85</v>
      </c>
      <c r="P1753" s="126"/>
      <c r="Q1753" s="127"/>
      <c r="R1753" s="127"/>
      <c r="S1753" s="127"/>
      <c r="T1753" s="127"/>
    </row>
    <row r="1754" spans="1:20" ht="13.8">
      <c r="A1754" s="118" t="str">
        <f ca="1">IFERROR(__xludf.DUMMYFUNCTION("""COMPUTED_VALUE"""),"SHB")</f>
        <v>SHB</v>
      </c>
      <c r="B1754" s="119" t="str">
        <f ca="1">IFERROR(__xludf.DUMMYFUNCTION("""COMPUTED_VALUE"""),"Julian Brown")</f>
        <v>Julian Brown</v>
      </c>
      <c r="C1754" s="118">
        <f ca="1">IFERROR(__xludf.DUMMYFUNCTION("""COMPUTED_VALUE"""),6)</f>
        <v>6</v>
      </c>
      <c r="D1754" s="118" t="str">
        <f ca="1">IFERROR(__xludf.DUMMYFUNCTION("""COMPUTED_VALUE"""),"B")</f>
        <v>B</v>
      </c>
      <c r="E1754" s="118" t="str">
        <f ca="1">IFERROR(__xludf.DUMMYFUNCTION("""COMPUTED_VALUE"""),"F")</f>
        <v>F</v>
      </c>
      <c r="F1754" s="124" t="str">
        <f ca="1">IFERROR(__xludf.DUMMYFUNCTION("""COMPUTED_VALUE"""),"J")</f>
        <v>J</v>
      </c>
      <c r="G1754" s="124">
        <f ca="1">IFERROR(__xludf.DUMMYFUNCTION("""COMPUTED_VALUE"""),6)</f>
        <v>6</v>
      </c>
      <c r="H1754" s="124" t="str">
        <f ca="1">IFERROR(__xludf.DUMMYFUNCTION("""COMPUTED_VALUE"""),"SHB")</f>
        <v>SHB</v>
      </c>
      <c r="I1754" s="124">
        <f ca="1">IFERROR(__xludf.DUMMYFUNCTION("""COMPUTED_VALUE"""),5)</f>
        <v>5</v>
      </c>
      <c r="J1754" s="124">
        <f ca="1">IFERROR(__xludf.DUMMYFUNCTION("""COMPUTED_VALUE"""),0)</f>
        <v>0</v>
      </c>
      <c r="K1754" s="125"/>
      <c r="L1754" s="121"/>
      <c r="M1754" s="125"/>
      <c r="N1754" s="121"/>
      <c r="O1754" s="125"/>
      <c r="P1754" s="126"/>
      <c r="Q1754" s="127"/>
      <c r="R1754" s="127"/>
      <c r="S1754" s="127"/>
      <c r="T1754" s="127"/>
    </row>
    <row r="1755" spans="1:20" ht="13.8">
      <c r="A1755" s="118" t="str">
        <f ca="1">IFERROR(__xludf.DUMMYFUNCTION("""COMPUTED_VALUE"""),"SHB")</f>
        <v>SHB</v>
      </c>
      <c r="B1755" s="119" t="str">
        <f ca="1">IFERROR(__xludf.DUMMYFUNCTION("""COMPUTED_VALUE"""),"Luke Ritter")</f>
        <v>Luke Ritter</v>
      </c>
      <c r="C1755" s="118">
        <f ca="1">IFERROR(__xludf.DUMMYFUNCTION("""COMPUTED_VALUE"""),10)</f>
        <v>10</v>
      </c>
      <c r="D1755" s="118" t="str">
        <f ca="1">IFERROR(__xludf.DUMMYFUNCTION("""COMPUTED_VALUE"""),"B")</f>
        <v>B</v>
      </c>
      <c r="E1755" s="118" t="str">
        <f ca="1">IFERROR(__xludf.DUMMYFUNCTION("""COMPUTED_VALUE"""),"F")</f>
        <v>F</v>
      </c>
      <c r="F1755" s="124" t="str">
        <f ca="1">IFERROR(__xludf.DUMMYFUNCTION("""COMPUTED_VALUE"""),"J")</f>
        <v>J</v>
      </c>
      <c r="G1755" s="124">
        <f ca="1">IFERROR(__xludf.DUMMYFUNCTION("""COMPUTED_VALUE"""),6)</f>
        <v>6</v>
      </c>
      <c r="H1755" s="124" t="str">
        <f ca="1">IFERROR(__xludf.DUMMYFUNCTION("""COMPUTED_VALUE"""),"SHB")</f>
        <v>SHB</v>
      </c>
      <c r="I1755" s="124">
        <f ca="1">IFERROR(__xludf.DUMMYFUNCTION("""COMPUTED_VALUE"""),5)</f>
        <v>5</v>
      </c>
      <c r="J1755" s="124">
        <f ca="1">IFERROR(__xludf.DUMMYFUNCTION("""COMPUTED_VALUE"""),3)</f>
        <v>3</v>
      </c>
      <c r="K1755" s="125">
        <f ca="1">IFERROR(__xludf.DUMMYFUNCTION("""COMPUTED_VALUE"""),48.3)</f>
        <v>48.3</v>
      </c>
      <c r="L1755" s="121"/>
      <c r="M1755" s="125"/>
      <c r="N1755" s="121"/>
      <c r="O1755" s="125">
        <f ca="1">IFERROR(__xludf.DUMMYFUNCTION("""COMPUTED_VALUE"""),33.85)</f>
        <v>33.85</v>
      </c>
      <c r="P1755" s="126"/>
      <c r="Q1755" s="127"/>
      <c r="R1755" s="127"/>
      <c r="S1755" s="127"/>
      <c r="T1755" s="127"/>
    </row>
    <row r="1756" spans="1:20" ht="13.8">
      <c r="A1756" s="118" t="str">
        <f ca="1">IFERROR(__xludf.DUMMYFUNCTION("""COMPUTED_VALUE"""),"SHB")</f>
        <v>SHB</v>
      </c>
      <c r="B1756" s="119" t="str">
        <f ca="1">IFERROR(__xludf.DUMMYFUNCTION("""COMPUTED_VALUE"""),"Luke Swanson")</f>
        <v>Luke Swanson</v>
      </c>
      <c r="C1756" s="118">
        <f ca="1">IFERROR(__xludf.DUMMYFUNCTION("""COMPUTED_VALUE"""),7)</f>
        <v>7</v>
      </c>
      <c r="D1756" s="118" t="str">
        <f ca="1">IFERROR(__xludf.DUMMYFUNCTION("""COMPUTED_VALUE"""),"B")</f>
        <v>B</v>
      </c>
      <c r="E1756" s="118" t="str">
        <f ca="1">IFERROR(__xludf.DUMMYFUNCTION("""COMPUTED_VALUE"""),"F")</f>
        <v>F</v>
      </c>
      <c r="F1756" s="124" t="str">
        <f ca="1">IFERROR(__xludf.DUMMYFUNCTION("""COMPUTED_VALUE"""),"J")</f>
        <v>J</v>
      </c>
      <c r="G1756" s="124">
        <f ca="1">IFERROR(__xludf.DUMMYFUNCTION("""COMPUTED_VALUE"""),6)</f>
        <v>6</v>
      </c>
      <c r="H1756" s="124" t="str">
        <f ca="1">IFERROR(__xludf.DUMMYFUNCTION("""COMPUTED_VALUE"""),"SHB")</f>
        <v>SHB</v>
      </c>
      <c r="I1756" s="124">
        <f ca="1">IFERROR(__xludf.DUMMYFUNCTION("""COMPUTED_VALUE"""),5)</f>
        <v>5</v>
      </c>
      <c r="J1756" s="124">
        <f ca="1">IFERROR(__xludf.DUMMYFUNCTION("""COMPUTED_VALUE"""),0)</f>
        <v>0</v>
      </c>
      <c r="K1756" s="125"/>
      <c r="L1756" s="121"/>
      <c r="M1756" s="125"/>
      <c r="N1756" s="121"/>
      <c r="O1756" s="125"/>
      <c r="P1756" s="126"/>
      <c r="Q1756" s="127"/>
      <c r="R1756" s="127"/>
      <c r="S1756" s="127"/>
      <c r="T1756" s="127"/>
    </row>
    <row r="1757" spans="1:20" ht="13.8">
      <c r="A1757" s="118" t="str">
        <f ca="1">IFERROR(__xludf.DUMMYFUNCTION("""COMPUTED_VALUE"""),"SHB")</f>
        <v>SHB</v>
      </c>
      <c r="B1757" s="119" t="str">
        <f ca="1">IFERROR(__xludf.DUMMYFUNCTION("""COMPUTED_VALUE"""),"Luke Taggert")</f>
        <v>Luke Taggert</v>
      </c>
      <c r="C1757" s="118">
        <f ca="1">IFERROR(__xludf.DUMMYFUNCTION("""COMPUTED_VALUE"""),9)</f>
        <v>9</v>
      </c>
      <c r="D1757" s="118" t="str">
        <f ca="1">IFERROR(__xludf.DUMMYFUNCTION("""COMPUTED_VALUE"""),"B")</f>
        <v>B</v>
      </c>
      <c r="E1757" s="118" t="str">
        <f ca="1">IFERROR(__xludf.DUMMYFUNCTION("""COMPUTED_VALUE"""),"F")</f>
        <v>F</v>
      </c>
      <c r="F1757" s="124" t="str">
        <f ca="1">IFERROR(__xludf.DUMMYFUNCTION("""COMPUTED_VALUE"""),"J")</f>
        <v>J</v>
      </c>
      <c r="G1757" s="124">
        <f ca="1">IFERROR(__xludf.DUMMYFUNCTION("""COMPUTED_VALUE"""),6)</f>
        <v>6</v>
      </c>
      <c r="H1757" s="124" t="str">
        <f ca="1">IFERROR(__xludf.DUMMYFUNCTION("""COMPUTED_VALUE"""),"SHB")</f>
        <v>SHB</v>
      </c>
      <c r="I1757" s="124">
        <f ca="1">IFERROR(__xludf.DUMMYFUNCTION("""COMPUTED_VALUE"""),5)</f>
        <v>5</v>
      </c>
      <c r="J1757" s="124">
        <f ca="1">IFERROR(__xludf.DUMMYFUNCTION("""COMPUTED_VALUE"""),0)</f>
        <v>0</v>
      </c>
      <c r="K1757" s="125"/>
      <c r="L1757" s="121"/>
      <c r="M1757" s="125"/>
      <c r="N1757" s="121"/>
      <c r="O1757" s="125"/>
      <c r="P1757" s="126"/>
      <c r="Q1757" s="127"/>
      <c r="R1757" s="127"/>
      <c r="S1757" s="127"/>
      <c r="T1757" s="127"/>
    </row>
    <row r="1758" spans="1:20" ht="13.8">
      <c r="A1758" s="118" t="str">
        <f ca="1">IFERROR(__xludf.DUMMYFUNCTION("""COMPUTED_VALUE"""),"SHB")</f>
        <v>SHB</v>
      </c>
      <c r="B1758" s="119" t="str">
        <f ca="1">IFERROR(__xludf.DUMMYFUNCTION("""COMPUTED_VALUE"""),"Mathias Olesky-Fizyta")</f>
        <v>Mathias Olesky-Fizyta</v>
      </c>
      <c r="C1758" s="118">
        <f ca="1">IFERROR(__xludf.DUMMYFUNCTION("""COMPUTED_VALUE"""),8)</f>
        <v>8</v>
      </c>
      <c r="D1758" s="118" t="str">
        <f ca="1">IFERROR(__xludf.DUMMYFUNCTION("""COMPUTED_VALUE"""),"B")</f>
        <v>B</v>
      </c>
      <c r="E1758" s="118" t="str">
        <f ca="1">IFERROR(__xludf.DUMMYFUNCTION("""COMPUTED_VALUE"""),"F")</f>
        <v>F</v>
      </c>
      <c r="F1758" s="124" t="str">
        <f ca="1">IFERROR(__xludf.DUMMYFUNCTION("""COMPUTED_VALUE"""),"J")</f>
        <v>J</v>
      </c>
      <c r="G1758" s="124">
        <f ca="1">IFERROR(__xludf.DUMMYFUNCTION("""COMPUTED_VALUE"""),6)</f>
        <v>6</v>
      </c>
      <c r="H1758" s="124" t="str">
        <f ca="1">IFERROR(__xludf.DUMMYFUNCTION("""COMPUTED_VALUE"""),"SHB")</f>
        <v>SHB</v>
      </c>
      <c r="I1758" s="124">
        <f ca="1">IFERROR(__xludf.DUMMYFUNCTION("""COMPUTED_VALUE"""),5)</f>
        <v>5</v>
      </c>
      <c r="J1758" s="124">
        <f ca="1">IFERROR(__xludf.DUMMYFUNCTION("""COMPUTED_VALUE"""),0)</f>
        <v>0</v>
      </c>
      <c r="K1758" s="125"/>
      <c r="L1758" s="121"/>
      <c r="M1758" s="125"/>
      <c r="N1758" s="121"/>
      <c r="O1758" s="125"/>
      <c r="P1758" s="126"/>
      <c r="Q1758" s="127"/>
      <c r="R1758" s="127"/>
      <c r="S1758" s="127"/>
      <c r="T1758" s="127"/>
    </row>
    <row r="1759" spans="1:20" ht="13.8">
      <c r="A1759" s="118" t="str">
        <f ca="1">IFERROR(__xludf.DUMMYFUNCTION("""COMPUTED_VALUE"""),"SHB")</f>
        <v>SHB</v>
      </c>
      <c r="B1759" s="119" t="str">
        <f ca="1">IFERROR(__xludf.DUMMYFUNCTION("""COMPUTED_VALUE"""),"Noah Natnael")</f>
        <v>Noah Natnael</v>
      </c>
      <c r="C1759" s="118">
        <f ca="1">IFERROR(__xludf.DUMMYFUNCTION("""COMPUTED_VALUE"""),7)</f>
        <v>7</v>
      </c>
      <c r="D1759" s="118" t="str">
        <f ca="1">IFERROR(__xludf.DUMMYFUNCTION("""COMPUTED_VALUE"""),"B")</f>
        <v>B</v>
      </c>
      <c r="E1759" s="118" t="str">
        <f ca="1">IFERROR(__xludf.DUMMYFUNCTION("""COMPUTED_VALUE"""),"F")</f>
        <v>F</v>
      </c>
      <c r="F1759" s="124" t="str">
        <f ca="1">IFERROR(__xludf.DUMMYFUNCTION("""COMPUTED_VALUE"""),"J")</f>
        <v>J</v>
      </c>
      <c r="G1759" s="124">
        <f ca="1">IFERROR(__xludf.DUMMYFUNCTION("""COMPUTED_VALUE"""),6)</f>
        <v>6</v>
      </c>
      <c r="H1759" s="124" t="str">
        <f ca="1">IFERROR(__xludf.DUMMYFUNCTION("""COMPUTED_VALUE"""),"SHB")</f>
        <v>SHB</v>
      </c>
      <c r="I1759" s="124">
        <f ca="1">IFERROR(__xludf.DUMMYFUNCTION("""COMPUTED_VALUE"""),5)</f>
        <v>5</v>
      </c>
      <c r="J1759" s="124">
        <f ca="1">IFERROR(__xludf.DUMMYFUNCTION("""COMPUTED_VALUE"""),0)</f>
        <v>0</v>
      </c>
      <c r="K1759" s="125"/>
      <c r="L1759" s="121"/>
      <c r="M1759" s="125"/>
      <c r="N1759" s="121"/>
      <c r="O1759" s="125"/>
      <c r="P1759" s="126"/>
      <c r="Q1759" s="127"/>
      <c r="R1759" s="127"/>
      <c r="S1759" s="127"/>
      <c r="T1759" s="127"/>
    </row>
    <row r="1760" spans="1:20" ht="13.8">
      <c r="A1760" s="118" t="str">
        <f ca="1">IFERROR(__xludf.DUMMYFUNCTION("""COMPUTED_VALUE"""),"SHB")</f>
        <v>SHB</v>
      </c>
      <c r="B1760" s="119" t="str">
        <f ca="1">IFERROR(__xludf.DUMMYFUNCTION("""COMPUTED_VALUE"""),"Otto Imer")</f>
        <v>Otto Imer</v>
      </c>
      <c r="C1760" s="118">
        <f ca="1">IFERROR(__xludf.DUMMYFUNCTION("""COMPUTED_VALUE"""),10)</f>
        <v>10</v>
      </c>
      <c r="D1760" s="118" t="str">
        <f ca="1">IFERROR(__xludf.DUMMYFUNCTION("""COMPUTED_VALUE"""),"B")</f>
        <v>B</v>
      </c>
      <c r="E1760" s="118" t="str">
        <f ca="1">IFERROR(__xludf.DUMMYFUNCTION("""COMPUTED_VALUE"""),"F")</f>
        <v>F</v>
      </c>
      <c r="F1760" s="124" t="str">
        <f ca="1">IFERROR(__xludf.DUMMYFUNCTION("""COMPUTED_VALUE"""),"J")</f>
        <v>J</v>
      </c>
      <c r="G1760" s="124">
        <f ca="1">IFERROR(__xludf.DUMMYFUNCTION("""COMPUTED_VALUE"""),6)</f>
        <v>6</v>
      </c>
      <c r="H1760" s="124" t="str">
        <f ca="1">IFERROR(__xludf.DUMMYFUNCTION("""COMPUTED_VALUE"""),"SHB")</f>
        <v>SHB</v>
      </c>
      <c r="I1760" s="124">
        <f ca="1">IFERROR(__xludf.DUMMYFUNCTION("""COMPUTED_VALUE"""),5)</f>
        <v>5</v>
      </c>
      <c r="J1760" s="124">
        <f ca="1">IFERROR(__xludf.DUMMYFUNCTION("""COMPUTED_VALUE"""),0)</f>
        <v>0</v>
      </c>
      <c r="K1760" s="125"/>
      <c r="L1760" s="121"/>
      <c r="M1760" s="125"/>
      <c r="N1760" s="121"/>
      <c r="O1760" s="125"/>
      <c r="P1760" s="126"/>
      <c r="Q1760" s="127"/>
      <c r="R1760" s="127"/>
      <c r="S1760" s="127"/>
      <c r="T1760" s="127"/>
    </row>
    <row r="1761" spans="1:20" ht="13.8">
      <c r="A1761" s="118" t="str">
        <f ca="1">IFERROR(__xludf.DUMMYFUNCTION("""COMPUTED_VALUE"""),"SHB")</f>
        <v>SHB</v>
      </c>
      <c r="B1761" s="119" t="str">
        <f ca="1">IFERROR(__xludf.DUMMYFUNCTION("""COMPUTED_VALUE"""),"P.D. Lips")</f>
        <v>P.D. Lips</v>
      </c>
      <c r="C1761" s="118">
        <f ca="1">IFERROR(__xludf.DUMMYFUNCTION("""COMPUTED_VALUE"""),9)</f>
        <v>9</v>
      </c>
      <c r="D1761" s="118" t="str">
        <f ca="1">IFERROR(__xludf.DUMMYFUNCTION("""COMPUTED_VALUE"""),"B")</f>
        <v>B</v>
      </c>
      <c r="E1761" s="118" t="str">
        <f ca="1">IFERROR(__xludf.DUMMYFUNCTION("""COMPUTED_VALUE"""),"F")</f>
        <v>F</v>
      </c>
      <c r="F1761" s="124" t="str">
        <f ca="1">IFERROR(__xludf.DUMMYFUNCTION("""COMPUTED_VALUE"""),"J")</f>
        <v>J</v>
      </c>
      <c r="G1761" s="124">
        <f ca="1">IFERROR(__xludf.DUMMYFUNCTION("""COMPUTED_VALUE"""),6)</f>
        <v>6</v>
      </c>
      <c r="H1761" s="124" t="str">
        <f ca="1">IFERROR(__xludf.DUMMYFUNCTION("""COMPUTED_VALUE"""),"SHB")</f>
        <v>SHB</v>
      </c>
      <c r="I1761" s="124">
        <f ca="1">IFERROR(__xludf.DUMMYFUNCTION("""COMPUTED_VALUE"""),5)</f>
        <v>5</v>
      </c>
      <c r="J1761" s="124">
        <f ca="1">IFERROR(__xludf.DUMMYFUNCTION("""COMPUTED_VALUE"""),5)</f>
        <v>5</v>
      </c>
      <c r="K1761" s="125">
        <f ca="1">IFERROR(__xludf.DUMMYFUNCTION("""COMPUTED_VALUE"""),55.4)</f>
        <v>55.4</v>
      </c>
      <c r="L1761" s="121"/>
      <c r="M1761" s="125">
        <f ca="1">IFERROR(__xludf.DUMMYFUNCTION("""COMPUTED_VALUE"""),49.9)</f>
        <v>49.9</v>
      </c>
      <c r="N1761" s="121"/>
      <c r="O1761" s="125">
        <f ca="1">IFERROR(__xludf.DUMMYFUNCTION("""COMPUTED_VALUE"""),54.55)</f>
        <v>54.55</v>
      </c>
      <c r="P1761" s="126"/>
      <c r="Q1761" s="127"/>
      <c r="R1761" s="127"/>
      <c r="S1761" s="127"/>
      <c r="T1761" s="127"/>
    </row>
    <row r="1762" spans="1:20" ht="13.8">
      <c r="A1762" s="118" t="str">
        <f ca="1">IFERROR(__xludf.DUMMYFUNCTION("""COMPUTED_VALUE"""),"SHB")</f>
        <v>SHB</v>
      </c>
      <c r="B1762" s="119" t="str">
        <f ca="1">IFERROR(__xludf.DUMMYFUNCTION("""COMPUTED_VALUE"""),"Ryker Ellis")</f>
        <v>Ryker Ellis</v>
      </c>
      <c r="C1762" s="118">
        <f ca="1">IFERROR(__xludf.DUMMYFUNCTION("""COMPUTED_VALUE"""),9)</f>
        <v>9</v>
      </c>
      <c r="D1762" s="118" t="str">
        <f ca="1">IFERROR(__xludf.DUMMYFUNCTION("""COMPUTED_VALUE"""),"B")</f>
        <v>B</v>
      </c>
      <c r="E1762" s="118" t="str">
        <f ca="1">IFERROR(__xludf.DUMMYFUNCTION("""COMPUTED_VALUE"""),"F")</f>
        <v>F</v>
      </c>
      <c r="F1762" s="124" t="str">
        <f ca="1">IFERROR(__xludf.DUMMYFUNCTION("""COMPUTED_VALUE"""),"J")</f>
        <v>J</v>
      </c>
      <c r="G1762" s="124">
        <f ca="1">IFERROR(__xludf.DUMMYFUNCTION("""COMPUTED_VALUE"""),6)</f>
        <v>6</v>
      </c>
      <c r="H1762" s="124" t="str">
        <f ca="1">IFERROR(__xludf.DUMMYFUNCTION("""COMPUTED_VALUE"""),"SHB")</f>
        <v>SHB</v>
      </c>
      <c r="I1762" s="124">
        <f ca="1">IFERROR(__xludf.DUMMYFUNCTION("""COMPUTED_VALUE"""),5)</f>
        <v>5</v>
      </c>
      <c r="J1762" s="124">
        <f ca="1">IFERROR(__xludf.DUMMYFUNCTION("""COMPUTED_VALUE"""),3)</f>
        <v>3</v>
      </c>
      <c r="K1762" s="125">
        <f ca="1">IFERROR(__xludf.DUMMYFUNCTION("""COMPUTED_VALUE"""),37.95)</f>
        <v>37.950000000000003</v>
      </c>
      <c r="L1762" s="121"/>
      <c r="M1762" s="125"/>
      <c r="N1762" s="121"/>
      <c r="O1762" s="125">
        <f ca="1">IFERROR(__xludf.DUMMYFUNCTION("""COMPUTED_VALUE"""),35.25)</f>
        <v>35.25</v>
      </c>
      <c r="P1762" s="126"/>
      <c r="Q1762" s="127"/>
      <c r="R1762" s="127"/>
      <c r="S1762" s="127"/>
      <c r="T1762" s="127"/>
    </row>
    <row r="1763" spans="1:20" ht="13.8">
      <c r="A1763" s="118" t="str">
        <f ca="1">IFERROR(__xludf.DUMMYFUNCTION("""COMPUTED_VALUE"""),"SHB")</f>
        <v>SHB</v>
      </c>
      <c r="B1763" s="119" t="str">
        <f ca="1">IFERROR(__xludf.DUMMYFUNCTION("""COMPUTED_VALUE"""),"Tom Ritter")</f>
        <v>Tom Ritter</v>
      </c>
      <c r="C1763" s="118">
        <f ca="1">IFERROR(__xludf.DUMMYFUNCTION("""COMPUTED_VALUE"""),9)</f>
        <v>9</v>
      </c>
      <c r="D1763" s="118" t="str">
        <f ca="1">IFERROR(__xludf.DUMMYFUNCTION("""COMPUTED_VALUE"""),"B")</f>
        <v>B</v>
      </c>
      <c r="E1763" s="118" t="str">
        <f ca="1">IFERROR(__xludf.DUMMYFUNCTION("""COMPUTED_VALUE"""),"F")</f>
        <v>F</v>
      </c>
      <c r="F1763" s="124" t="str">
        <f ca="1">IFERROR(__xludf.DUMMYFUNCTION("""COMPUTED_VALUE"""),"J")</f>
        <v>J</v>
      </c>
      <c r="G1763" s="124">
        <f ca="1">IFERROR(__xludf.DUMMYFUNCTION("""COMPUTED_VALUE"""),6)</f>
        <v>6</v>
      </c>
      <c r="H1763" s="124" t="str">
        <f ca="1">IFERROR(__xludf.DUMMYFUNCTION("""COMPUTED_VALUE"""),"SHB")</f>
        <v>SHB</v>
      </c>
      <c r="I1763" s="124">
        <f ca="1">IFERROR(__xludf.DUMMYFUNCTION("""COMPUTED_VALUE"""),5)</f>
        <v>5</v>
      </c>
      <c r="J1763" s="124">
        <f ca="1">IFERROR(__xludf.DUMMYFUNCTION("""COMPUTED_VALUE"""),3)</f>
        <v>3</v>
      </c>
      <c r="K1763" s="125">
        <f ca="1">IFERROR(__xludf.DUMMYFUNCTION("""COMPUTED_VALUE"""),47.65)</f>
        <v>47.65</v>
      </c>
      <c r="L1763" s="121"/>
      <c r="M1763" s="125"/>
      <c r="N1763" s="121"/>
      <c r="O1763" s="125">
        <f ca="1">IFERROR(__xludf.DUMMYFUNCTION("""COMPUTED_VALUE"""),28.9)</f>
        <v>28.9</v>
      </c>
      <c r="P1763" s="126"/>
      <c r="Q1763" s="127"/>
      <c r="R1763" s="127"/>
      <c r="S1763" s="127"/>
      <c r="T1763" s="127"/>
    </row>
    <row r="1764" spans="1:20" ht="13.8">
      <c r="A1764" s="118" t="str">
        <f ca="1">IFERROR(__xludf.DUMMYFUNCTION("""COMPUTED_VALUE"""),"SHB")</f>
        <v>SHB</v>
      </c>
      <c r="B1764" s="119" t="str">
        <f ca="1">IFERROR(__xludf.DUMMYFUNCTION("""COMPUTED_VALUE"""),"Tommy Nelson")</f>
        <v>Tommy Nelson</v>
      </c>
      <c r="C1764" s="118">
        <f ca="1">IFERROR(__xludf.DUMMYFUNCTION("""COMPUTED_VALUE"""),4)</f>
        <v>4</v>
      </c>
      <c r="D1764" s="118" t="str">
        <f ca="1">IFERROR(__xludf.DUMMYFUNCTION("""COMPUTED_VALUE"""),"B")</f>
        <v>B</v>
      </c>
      <c r="E1764" s="118" t="str">
        <f ca="1">IFERROR(__xludf.DUMMYFUNCTION("""COMPUTED_VALUE"""),"F")</f>
        <v>F</v>
      </c>
      <c r="F1764" s="124" t="str">
        <f ca="1">IFERROR(__xludf.DUMMYFUNCTION("""COMPUTED_VALUE"""),"J")</f>
        <v>J</v>
      </c>
      <c r="G1764" s="124">
        <f ca="1">IFERROR(__xludf.DUMMYFUNCTION("""COMPUTED_VALUE"""),6)</f>
        <v>6</v>
      </c>
      <c r="H1764" s="124" t="str">
        <f ca="1">IFERROR(__xludf.DUMMYFUNCTION("""COMPUTED_VALUE"""),"SHB")</f>
        <v>SHB</v>
      </c>
      <c r="I1764" s="124">
        <f ca="1">IFERROR(__xludf.DUMMYFUNCTION("""COMPUTED_VALUE"""),5)</f>
        <v>5</v>
      </c>
      <c r="J1764" s="124">
        <f ca="1">IFERROR(__xludf.DUMMYFUNCTION("""COMPUTED_VALUE"""),0)</f>
        <v>0</v>
      </c>
      <c r="K1764" s="125"/>
      <c r="L1764" s="121"/>
      <c r="M1764" s="125"/>
      <c r="N1764" s="121"/>
      <c r="O1764" s="125"/>
      <c r="P1764" s="126"/>
      <c r="Q1764" s="127"/>
      <c r="R1764" s="127"/>
      <c r="S1764" s="127"/>
      <c r="T1764" s="127"/>
    </row>
    <row r="1765" spans="1:20" ht="13.8">
      <c r="A1765" s="118" t="str">
        <f ca="1">IFERROR(__xludf.DUMMYFUNCTION("""COMPUTED_VALUE"""),"SHB")</f>
        <v>SHB</v>
      </c>
      <c r="B1765" s="119" t="str">
        <f ca="1">IFERROR(__xludf.DUMMYFUNCTION("""COMPUTED_VALUE"""),"William Smith")</f>
        <v>William Smith</v>
      </c>
      <c r="C1765" s="118">
        <f ca="1">IFERROR(__xludf.DUMMYFUNCTION("""COMPUTED_VALUE"""),7)</f>
        <v>7</v>
      </c>
      <c r="D1765" s="118" t="str">
        <f ca="1">IFERROR(__xludf.DUMMYFUNCTION("""COMPUTED_VALUE"""),"B")</f>
        <v>B</v>
      </c>
      <c r="E1765" s="118" t="str">
        <f ca="1">IFERROR(__xludf.DUMMYFUNCTION("""COMPUTED_VALUE"""),"F")</f>
        <v>F</v>
      </c>
      <c r="F1765" s="124" t="str">
        <f ca="1">IFERROR(__xludf.DUMMYFUNCTION("""COMPUTED_VALUE"""),"J")</f>
        <v>J</v>
      </c>
      <c r="G1765" s="124">
        <f ca="1">IFERROR(__xludf.DUMMYFUNCTION("""COMPUTED_VALUE"""),6)</f>
        <v>6</v>
      </c>
      <c r="H1765" s="124" t="str">
        <f ca="1">IFERROR(__xludf.DUMMYFUNCTION("""COMPUTED_VALUE"""),"SHB")</f>
        <v>SHB</v>
      </c>
      <c r="I1765" s="124">
        <f ca="1">IFERROR(__xludf.DUMMYFUNCTION("""COMPUTED_VALUE"""),5)</f>
        <v>5</v>
      </c>
      <c r="J1765" s="124">
        <f ca="1">IFERROR(__xludf.DUMMYFUNCTION("""COMPUTED_VALUE"""),0)</f>
        <v>0</v>
      </c>
      <c r="K1765" s="125"/>
      <c r="L1765" s="121"/>
      <c r="M1765" s="125"/>
      <c r="N1765" s="121"/>
      <c r="O1765" s="125"/>
      <c r="P1765" s="126"/>
      <c r="Q1765" s="127"/>
      <c r="R1765" s="127"/>
      <c r="S1765" s="127"/>
      <c r="T1765" s="127"/>
    </row>
    <row r="1766" spans="1:20" ht="13.8">
      <c r="A1766" s="118" t="str">
        <f ca="1">IFERROR(__xludf.DUMMYFUNCTION("""COMPUTED_VALUE"""),"SHB")</f>
        <v>SHB</v>
      </c>
      <c r="B1766" s="119" t="str">
        <f ca="1">IFERROR(__xludf.DUMMYFUNCTION("""COMPUTED_VALUE"""),"Zack Moorehead")</f>
        <v>Zack Moorehead</v>
      </c>
      <c r="C1766" s="118">
        <f ca="1">IFERROR(__xludf.DUMMYFUNCTION("""COMPUTED_VALUE"""),9)</f>
        <v>9</v>
      </c>
      <c r="D1766" s="118" t="str">
        <f ca="1">IFERROR(__xludf.DUMMYFUNCTION("""COMPUTED_VALUE"""),"B")</f>
        <v>B</v>
      </c>
      <c r="E1766" s="118" t="str">
        <f ca="1">IFERROR(__xludf.DUMMYFUNCTION("""COMPUTED_VALUE"""),"F")</f>
        <v>F</v>
      </c>
      <c r="F1766" s="124" t="str">
        <f ca="1">IFERROR(__xludf.DUMMYFUNCTION("""COMPUTED_VALUE"""),"J")</f>
        <v>J</v>
      </c>
      <c r="G1766" s="124">
        <f ca="1">IFERROR(__xludf.DUMMYFUNCTION("""COMPUTED_VALUE"""),6)</f>
        <v>6</v>
      </c>
      <c r="H1766" s="124" t="str">
        <f ca="1">IFERROR(__xludf.DUMMYFUNCTION("""COMPUTED_VALUE"""),"SHB")</f>
        <v>SHB</v>
      </c>
      <c r="I1766" s="124">
        <f ca="1">IFERROR(__xludf.DUMMYFUNCTION("""COMPUTED_VALUE"""),5)</f>
        <v>5</v>
      </c>
      <c r="J1766" s="124">
        <f ca="1">IFERROR(__xludf.DUMMYFUNCTION("""COMPUTED_VALUE"""),0)</f>
        <v>0</v>
      </c>
      <c r="K1766" s="125"/>
      <c r="L1766" s="121"/>
      <c r="M1766" s="125"/>
      <c r="N1766" s="121"/>
      <c r="O1766" s="125"/>
      <c r="P1766" s="126"/>
      <c r="Q1766" s="127"/>
      <c r="R1766" s="127"/>
      <c r="S1766" s="127"/>
      <c r="T1766" s="127"/>
    </row>
    <row r="1767" spans="1:20" ht="13.8">
      <c r="A1767" s="118" t="str">
        <f ca="1">IFERROR(__xludf.DUMMYFUNCTION("""COMPUTED_VALUE"""),"SHB")</f>
        <v>SHB</v>
      </c>
      <c r="B1767" s="119" t="str">
        <f ca="1">IFERROR(__xludf.DUMMYFUNCTION("""COMPUTED_VALUE"""),"Angelina Katsas")</f>
        <v>Angelina Katsas</v>
      </c>
      <c r="C1767" s="118">
        <f ca="1">IFERROR(__xludf.DUMMYFUNCTION("""COMPUTED_VALUE"""),11)</f>
        <v>11</v>
      </c>
      <c r="D1767" s="118" t="str">
        <f ca="1">IFERROR(__xludf.DUMMYFUNCTION("""COMPUTED_VALUE"""),"G")</f>
        <v>G</v>
      </c>
      <c r="E1767" s="118" t="str">
        <f ca="1">IFERROR(__xludf.DUMMYFUNCTION("""COMPUTED_VALUE"""),"J")</f>
        <v>J</v>
      </c>
      <c r="F1767" s="124" t="str">
        <f ca="1">IFERROR(__xludf.DUMMYFUNCTION("""COMPUTED_VALUE"""),"I")</f>
        <v>I</v>
      </c>
      <c r="G1767" s="124">
        <f ca="1">IFERROR(__xludf.DUMMYFUNCTION("""COMPUTED_VALUE"""),6)</f>
        <v>6</v>
      </c>
      <c r="H1767" s="124" t="str">
        <f ca="1">IFERROR(__xludf.DUMMYFUNCTION("""COMPUTED_VALUE"""),"SHB")</f>
        <v>SHB</v>
      </c>
      <c r="I1767" s="124">
        <f ca="1">IFERROR(__xludf.DUMMYFUNCTION("""COMPUTED_VALUE"""),6)</f>
        <v>6</v>
      </c>
      <c r="J1767" s="124">
        <f ca="1">IFERROR(__xludf.DUMMYFUNCTION("""COMPUTED_VALUE"""),0)</f>
        <v>0</v>
      </c>
      <c r="K1767" s="125"/>
      <c r="L1767" s="121"/>
      <c r="M1767" s="125"/>
      <c r="N1767" s="121"/>
      <c r="O1767" s="125"/>
      <c r="P1767" s="126"/>
      <c r="Q1767" s="127"/>
      <c r="R1767" s="127"/>
      <c r="S1767" s="127"/>
      <c r="T1767" s="127"/>
    </row>
    <row r="1768" spans="1:20" ht="13.8">
      <c r="A1768" s="118" t="str">
        <f ca="1">IFERROR(__xludf.DUMMYFUNCTION("""COMPUTED_VALUE"""),"SHB")</f>
        <v>SHB</v>
      </c>
      <c r="B1768" s="119" t="str">
        <f ca="1">IFERROR(__xludf.DUMMYFUNCTION("""COMPUTED_VALUE"""),"Brynn White")</f>
        <v>Brynn White</v>
      </c>
      <c r="C1768" s="118">
        <f ca="1">IFERROR(__xludf.DUMMYFUNCTION("""COMPUTED_VALUE"""),11)</f>
        <v>11</v>
      </c>
      <c r="D1768" s="118" t="str">
        <f ca="1">IFERROR(__xludf.DUMMYFUNCTION("""COMPUTED_VALUE"""),"G")</f>
        <v>G</v>
      </c>
      <c r="E1768" s="118" t="str">
        <f ca="1">IFERROR(__xludf.DUMMYFUNCTION("""COMPUTED_VALUE"""),"J")</f>
        <v>J</v>
      </c>
      <c r="F1768" s="124" t="str">
        <f ca="1">IFERROR(__xludf.DUMMYFUNCTION("""COMPUTED_VALUE"""),"I")</f>
        <v>I</v>
      </c>
      <c r="G1768" s="124">
        <f ca="1">IFERROR(__xludf.DUMMYFUNCTION("""COMPUTED_VALUE"""),6)</f>
        <v>6</v>
      </c>
      <c r="H1768" s="124" t="str">
        <f ca="1">IFERROR(__xludf.DUMMYFUNCTION("""COMPUTED_VALUE"""),"SHB")</f>
        <v>SHB</v>
      </c>
      <c r="I1768" s="124">
        <f ca="1">IFERROR(__xludf.DUMMYFUNCTION("""COMPUTED_VALUE"""),6)</f>
        <v>6</v>
      </c>
      <c r="J1768" s="124">
        <f ca="1">IFERROR(__xludf.DUMMYFUNCTION("""COMPUTED_VALUE"""),5)</f>
        <v>5</v>
      </c>
      <c r="K1768" s="125">
        <f ca="1">IFERROR(__xludf.DUMMYFUNCTION("""COMPUTED_VALUE"""),63.55)</f>
        <v>63.55</v>
      </c>
      <c r="L1768" s="121"/>
      <c r="M1768" s="125">
        <f ca="1">IFERROR(__xludf.DUMMYFUNCTION("""COMPUTED_VALUE"""),37.45)</f>
        <v>37.450000000000003</v>
      </c>
      <c r="N1768" s="121"/>
      <c r="O1768" s="125">
        <f ca="1">IFERROR(__xludf.DUMMYFUNCTION("""COMPUTED_VALUE"""),54.3)</f>
        <v>54.3</v>
      </c>
      <c r="P1768" s="126"/>
      <c r="Q1768" s="127"/>
      <c r="R1768" s="127"/>
      <c r="S1768" s="127"/>
      <c r="T1768" s="127"/>
    </row>
    <row r="1769" spans="1:20" ht="13.8">
      <c r="A1769" s="118" t="str">
        <f ca="1">IFERROR(__xludf.DUMMYFUNCTION("""COMPUTED_VALUE"""),"SHB")</f>
        <v>SHB</v>
      </c>
      <c r="B1769" s="119" t="str">
        <f ca="1">IFERROR(__xludf.DUMMYFUNCTION("""COMPUTED_VALUE"""),"Grace Rose")</f>
        <v>Grace Rose</v>
      </c>
      <c r="C1769" s="118">
        <f ca="1">IFERROR(__xludf.DUMMYFUNCTION("""COMPUTED_VALUE"""),12)</f>
        <v>12</v>
      </c>
      <c r="D1769" s="118" t="str">
        <f ca="1">IFERROR(__xludf.DUMMYFUNCTION("""COMPUTED_VALUE"""),"G")</f>
        <v>G</v>
      </c>
      <c r="E1769" s="118" t="str">
        <f ca="1">IFERROR(__xludf.DUMMYFUNCTION("""COMPUTED_VALUE"""),"J")</f>
        <v>J</v>
      </c>
      <c r="F1769" s="124" t="str">
        <f ca="1">IFERROR(__xludf.DUMMYFUNCTION("""COMPUTED_VALUE"""),"I")</f>
        <v>I</v>
      </c>
      <c r="G1769" s="124">
        <f ca="1">IFERROR(__xludf.DUMMYFUNCTION("""COMPUTED_VALUE"""),6)</f>
        <v>6</v>
      </c>
      <c r="H1769" s="124" t="str">
        <f ca="1">IFERROR(__xludf.DUMMYFUNCTION("""COMPUTED_VALUE"""),"SHB")</f>
        <v>SHB</v>
      </c>
      <c r="I1769" s="124">
        <f ca="1">IFERROR(__xludf.DUMMYFUNCTION("""COMPUTED_VALUE"""),6)</f>
        <v>6</v>
      </c>
      <c r="J1769" s="124">
        <f ca="1">IFERROR(__xludf.DUMMYFUNCTION("""COMPUTED_VALUE"""),5)</f>
        <v>5</v>
      </c>
      <c r="K1769" s="125">
        <f ca="1">IFERROR(__xludf.DUMMYFUNCTION("""COMPUTED_VALUE"""),75.3)</f>
        <v>75.3</v>
      </c>
      <c r="L1769" s="121"/>
      <c r="M1769" s="125">
        <f ca="1">IFERROR(__xludf.DUMMYFUNCTION("""COMPUTED_VALUE"""),43.15)</f>
        <v>43.15</v>
      </c>
      <c r="N1769" s="121"/>
      <c r="O1769" s="125">
        <f ca="1">IFERROR(__xludf.DUMMYFUNCTION("""COMPUTED_VALUE"""),54.45)</f>
        <v>54.45</v>
      </c>
      <c r="P1769" s="126"/>
      <c r="Q1769" s="127"/>
      <c r="R1769" s="127"/>
      <c r="S1769" s="127"/>
      <c r="T1769" s="127"/>
    </row>
    <row r="1770" spans="1:20" ht="13.8">
      <c r="A1770" s="118" t="str">
        <f ca="1">IFERROR(__xludf.DUMMYFUNCTION("""COMPUTED_VALUE"""),"SHB")</f>
        <v>SHB</v>
      </c>
      <c r="B1770" s="119" t="str">
        <f ca="1">IFERROR(__xludf.DUMMYFUNCTION("""COMPUTED_VALUE"""),"Harper Pham")</f>
        <v>Harper Pham</v>
      </c>
      <c r="C1770" s="118">
        <f ca="1">IFERROR(__xludf.DUMMYFUNCTION("""COMPUTED_VALUE"""),11)</f>
        <v>11</v>
      </c>
      <c r="D1770" s="118" t="str">
        <f ca="1">IFERROR(__xludf.DUMMYFUNCTION("""COMPUTED_VALUE"""),"G")</f>
        <v>G</v>
      </c>
      <c r="E1770" s="118" t="str">
        <f ca="1">IFERROR(__xludf.DUMMYFUNCTION("""COMPUTED_VALUE"""),"J")</f>
        <v>J</v>
      </c>
      <c r="F1770" s="124" t="str">
        <f ca="1">IFERROR(__xludf.DUMMYFUNCTION("""COMPUTED_VALUE"""),"I")</f>
        <v>I</v>
      </c>
      <c r="G1770" s="124">
        <f ca="1">IFERROR(__xludf.DUMMYFUNCTION("""COMPUTED_VALUE"""),6)</f>
        <v>6</v>
      </c>
      <c r="H1770" s="124" t="str">
        <f ca="1">IFERROR(__xludf.DUMMYFUNCTION("""COMPUTED_VALUE"""),"SHB")</f>
        <v>SHB</v>
      </c>
      <c r="I1770" s="124">
        <f ca="1">IFERROR(__xludf.DUMMYFUNCTION("""COMPUTED_VALUE"""),6)</f>
        <v>6</v>
      </c>
      <c r="J1770" s="124">
        <f ca="1">IFERROR(__xludf.DUMMYFUNCTION("""COMPUTED_VALUE"""),4)</f>
        <v>4</v>
      </c>
      <c r="K1770" s="125">
        <f ca="1">IFERROR(__xludf.DUMMYFUNCTION("""COMPUTED_VALUE"""),93.3)</f>
        <v>93.3</v>
      </c>
      <c r="L1770" s="121"/>
      <c r="M1770" s="125"/>
      <c r="N1770" s="121"/>
      <c r="O1770" s="125">
        <f ca="1">IFERROR(__xludf.DUMMYFUNCTION("""COMPUTED_VALUE"""),48.35)</f>
        <v>48.35</v>
      </c>
      <c r="P1770" s="126"/>
      <c r="Q1770" s="127"/>
      <c r="R1770" s="127"/>
      <c r="S1770" s="127"/>
      <c r="T1770" s="127"/>
    </row>
    <row r="1771" spans="1:20" ht="13.8">
      <c r="A1771" s="118" t="str">
        <f ca="1">IFERROR(__xludf.DUMMYFUNCTION("""COMPUTED_VALUE"""),"SHB")</f>
        <v>SHB</v>
      </c>
      <c r="B1771" s="119" t="str">
        <f ca="1">IFERROR(__xludf.DUMMYFUNCTION("""COMPUTED_VALUE"""),"Maya Orlova")</f>
        <v>Maya Orlova</v>
      </c>
      <c r="C1771" s="118">
        <f ca="1">IFERROR(__xludf.DUMMYFUNCTION("""COMPUTED_VALUE"""),12)</f>
        <v>12</v>
      </c>
      <c r="D1771" s="118" t="str">
        <f ca="1">IFERROR(__xludf.DUMMYFUNCTION("""COMPUTED_VALUE"""),"G")</f>
        <v>G</v>
      </c>
      <c r="E1771" s="118" t="str">
        <f ca="1">IFERROR(__xludf.DUMMYFUNCTION("""COMPUTED_VALUE"""),"J")</f>
        <v>J</v>
      </c>
      <c r="F1771" s="124" t="str">
        <f ca="1">IFERROR(__xludf.DUMMYFUNCTION("""COMPUTED_VALUE"""),"I")</f>
        <v>I</v>
      </c>
      <c r="G1771" s="124">
        <f ca="1">IFERROR(__xludf.DUMMYFUNCTION("""COMPUTED_VALUE"""),6)</f>
        <v>6</v>
      </c>
      <c r="H1771" s="124" t="str">
        <f ca="1">IFERROR(__xludf.DUMMYFUNCTION("""COMPUTED_VALUE"""),"SHB")</f>
        <v>SHB</v>
      </c>
      <c r="I1771" s="124">
        <f ca="1">IFERROR(__xludf.DUMMYFUNCTION("""COMPUTED_VALUE"""),6)</f>
        <v>6</v>
      </c>
      <c r="J1771" s="124">
        <f ca="1">IFERROR(__xludf.DUMMYFUNCTION("""COMPUTED_VALUE"""),5)</f>
        <v>5</v>
      </c>
      <c r="K1771" s="125">
        <f ca="1">IFERROR(__xludf.DUMMYFUNCTION("""COMPUTED_VALUE"""),95.8)</f>
        <v>95.8</v>
      </c>
      <c r="L1771" s="121"/>
      <c r="M1771" s="125">
        <f ca="1">IFERROR(__xludf.DUMMYFUNCTION("""COMPUTED_VALUE"""),93.9)</f>
        <v>93.9</v>
      </c>
      <c r="N1771" s="121"/>
      <c r="O1771" s="125">
        <f ca="1">IFERROR(__xludf.DUMMYFUNCTION("""COMPUTED_VALUE"""),88.2)</f>
        <v>88.2</v>
      </c>
      <c r="P1771" s="126"/>
      <c r="Q1771" s="127"/>
      <c r="R1771" s="127"/>
      <c r="S1771" s="127"/>
      <c r="T1771" s="127"/>
    </row>
    <row r="1772" spans="1:20" ht="13.8">
      <c r="A1772" s="118" t="str">
        <f ca="1">IFERROR(__xludf.DUMMYFUNCTION("""COMPUTED_VALUE"""),"SHB")</f>
        <v>SHB</v>
      </c>
      <c r="B1772" s="119" t="str">
        <f ca="1">IFERROR(__xludf.DUMMYFUNCTION("""COMPUTED_VALUE"""),"Gavin Benone")</f>
        <v>Gavin Benone</v>
      </c>
      <c r="C1772" s="118">
        <f ca="1">IFERROR(__xludf.DUMMYFUNCTION("""COMPUTED_VALUE"""),11)</f>
        <v>11</v>
      </c>
      <c r="D1772" s="118" t="str">
        <f ca="1">IFERROR(__xludf.DUMMYFUNCTION("""COMPUTED_VALUE"""),"B")</f>
        <v>B</v>
      </c>
      <c r="E1772" s="118" t="str">
        <f ca="1">IFERROR(__xludf.DUMMYFUNCTION("""COMPUTED_VALUE"""),"J")</f>
        <v>J</v>
      </c>
      <c r="F1772" s="124" t="str">
        <f ca="1">IFERROR(__xludf.DUMMYFUNCTION("""COMPUTED_VALUE"""),"I")</f>
        <v>I</v>
      </c>
      <c r="G1772" s="124">
        <f ca="1">IFERROR(__xludf.DUMMYFUNCTION("""COMPUTED_VALUE"""),6)</f>
        <v>6</v>
      </c>
      <c r="H1772" s="124" t="str">
        <f ca="1">IFERROR(__xludf.DUMMYFUNCTION("""COMPUTED_VALUE"""),"SHB")</f>
        <v>SHB</v>
      </c>
      <c r="I1772" s="124">
        <f ca="1">IFERROR(__xludf.DUMMYFUNCTION("""COMPUTED_VALUE"""),7)</f>
        <v>7</v>
      </c>
      <c r="J1772" s="124">
        <f ca="1">IFERROR(__xludf.DUMMYFUNCTION("""COMPUTED_VALUE"""),4)</f>
        <v>4</v>
      </c>
      <c r="K1772" s="125">
        <f ca="1">IFERROR(__xludf.DUMMYFUNCTION("""COMPUTED_VALUE"""),37.55)</f>
        <v>37.549999999999997</v>
      </c>
      <c r="L1772" s="121"/>
      <c r="M1772" s="125"/>
      <c r="N1772" s="121"/>
      <c r="O1772" s="125">
        <f ca="1">IFERROR(__xludf.DUMMYFUNCTION("""COMPUTED_VALUE"""),35.6)</f>
        <v>35.6</v>
      </c>
      <c r="P1772" s="126"/>
      <c r="Q1772" s="127"/>
      <c r="R1772" s="127"/>
      <c r="S1772" s="127"/>
      <c r="T1772" s="127"/>
    </row>
    <row r="1773" spans="1:20" ht="13.8">
      <c r="A1773" s="118" t="str">
        <f ca="1">IFERROR(__xludf.DUMMYFUNCTION("""COMPUTED_VALUE"""),"SHB")</f>
        <v>SHB</v>
      </c>
      <c r="B1773" s="119" t="str">
        <f ca="1">IFERROR(__xludf.DUMMYFUNCTION("""COMPUTED_VALUE"""),"Kalyan Williams")</f>
        <v>Kalyan Williams</v>
      </c>
      <c r="C1773" s="118">
        <f ca="1">IFERROR(__xludf.DUMMYFUNCTION("""COMPUTED_VALUE"""),11)</f>
        <v>11</v>
      </c>
      <c r="D1773" s="118" t="str">
        <f ca="1">IFERROR(__xludf.DUMMYFUNCTION("""COMPUTED_VALUE"""),"B")</f>
        <v>B</v>
      </c>
      <c r="E1773" s="118" t="str">
        <f ca="1">IFERROR(__xludf.DUMMYFUNCTION("""COMPUTED_VALUE"""),"J")</f>
        <v>J</v>
      </c>
      <c r="F1773" s="124" t="str">
        <f ca="1">IFERROR(__xludf.DUMMYFUNCTION("""COMPUTED_VALUE"""),"I")</f>
        <v>I</v>
      </c>
      <c r="G1773" s="124">
        <f ca="1">IFERROR(__xludf.DUMMYFUNCTION("""COMPUTED_VALUE"""),6)</f>
        <v>6</v>
      </c>
      <c r="H1773" s="124" t="str">
        <f ca="1">IFERROR(__xludf.DUMMYFUNCTION("""COMPUTED_VALUE"""),"SHB")</f>
        <v>SHB</v>
      </c>
      <c r="I1773" s="124">
        <f ca="1">IFERROR(__xludf.DUMMYFUNCTION("""COMPUTED_VALUE"""),7)</f>
        <v>7</v>
      </c>
      <c r="J1773" s="124">
        <f ca="1">IFERROR(__xludf.DUMMYFUNCTION("""COMPUTED_VALUE"""),5)</f>
        <v>5</v>
      </c>
      <c r="K1773" s="125">
        <f ca="1">IFERROR(__xludf.DUMMYFUNCTION("""COMPUTED_VALUE"""),49.2)</f>
        <v>49.2</v>
      </c>
      <c r="L1773" s="121"/>
      <c r="M1773" s="125">
        <f ca="1">IFERROR(__xludf.DUMMYFUNCTION("""COMPUTED_VALUE"""),30.5)</f>
        <v>30.5</v>
      </c>
      <c r="N1773" s="121"/>
      <c r="O1773" s="125">
        <f ca="1">IFERROR(__xludf.DUMMYFUNCTION("""COMPUTED_VALUE"""),35.6)</f>
        <v>35.6</v>
      </c>
      <c r="P1773" s="126"/>
      <c r="Q1773" s="127"/>
      <c r="R1773" s="127"/>
      <c r="S1773" s="127"/>
      <c r="T1773" s="127"/>
    </row>
    <row r="1774" spans="1:20" ht="13.8">
      <c r="A1774" s="118" t="str">
        <f ca="1">IFERROR(__xludf.DUMMYFUNCTION("""COMPUTED_VALUE"""),"SHB")</f>
        <v>SHB</v>
      </c>
      <c r="B1774" s="119" t="str">
        <f ca="1">IFERROR(__xludf.DUMMYFUNCTION("""COMPUTED_VALUE"""),"Kyle Schutt")</f>
        <v>Kyle Schutt</v>
      </c>
      <c r="C1774" s="118">
        <f ca="1">IFERROR(__xludf.DUMMYFUNCTION("""COMPUTED_VALUE"""),12)</f>
        <v>12</v>
      </c>
      <c r="D1774" s="118" t="str">
        <f ca="1">IFERROR(__xludf.DUMMYFUNCTION("""COMPUTED_VALUE"""),"B")</f>
        <v>B</v>
      </c>
      <c r="E1774" s="118" t="str">
        <f ca="1">IFERROR(__xludf.DUMMYFUNCTION("""COMPUTED_VALUE"""),"J")</f>
        <v>J</v>
      </c>
      <c r="F1774" s="124" t="str">
        <f ca="1">IFERROR(__xludf.DUMMYFUNCTION("""COMPUTED_VALUE"""),"I")</f>
        <v>I</v>
      </c>
      <c r="G1774" s="124">
        <f ca="1">IFERROR(__xludf.DUMMYFUNCTION("""COMPUTED_VALUE"""),6)</f>
        <v>6</v>
      </c>
      <c r="H1774" s="124" t="str">
        <f ca="1">IFERROR(__xludf.DUMMYFUNCTION("""COMPUTED_VALUE"""),"SHB")</f>
        <v>SHB</v>
      </c>
      <c r="I1774" s="124">
        <f ca="1">IFERROR(__xludf.DUMMYFUNCTION("""COMPUTED_VALUE"""),7)</f>
        <v>7</v>
      </c>
      <c r="J1774" s="124">
        <f ca="1">IFERROR(__xludf.DUMMYFUNCTION("""COMPUTED_VALUE"""),5)</f>
        <v>5</v>
      </c>
      <c r="K1774" s="125">
        <f ca="1">IFERROR(__xludf.DUMMYFUNCTION("""COMPUTED_VALUE"""),-97.55)</f>
        <v>-97.55</v>
      </c>
      <c r="L1774" s="121"/>
      <c r="M1774" s="125">
        <f ca="1">IFERROR(__xludf.DUMMYFUNCTION("""COMPUTED_VALUE"""),-97.55)</f>
        <v>-97.55</v>
      </c>
      <c r="N1774" s="121"/>
      <c r="O1774" s="125">
        <f ca="1">IFERROR(__xludf.DUMMYFUNCTION("""COMPUTED_VALUE"""),-98.15)</f>
        <v>-98.15</v>
      </c>
      <c r="P1774" s="126"/>
      <c r="Q1774" s="127"/>
      <c r="R1774" s="127"/>
      <c r="S1774" s="127"/>
      <c r="T1774" s="127"/>
    </row>
    <row r="1775" spans="1:20" ht="13.8">
      <c r="A1775" s="118" t="str">
        <f ca="1">IFERROR(__xludf.DUMMYFUNCTION("""COMPUTED_VALUE"""),"SHB")</f>
        <v>SHB</v>
      </c>
      <c r="B1775" s="119" t="str">
        <f ca="1">IFERROR(__xludf.DUMMYFUNCTION("""COMPUTED_VALUE"""),"Leo Chang")</f>
        <v>Leo Chang</v>
      </c>
      <c r="C1775" s="118">
        <f ca="1">IFERROR(__xludf.DUMMYFUNCTION("""COMPUTED_VALUE"""),11)</f>
        <v>11</v>
      </c>
      <c r="D1775" s="118" t="str">
        <f ca="1">IFERROR(__xludf.DUMMYFUNCTION("""COMPUTED_VALUE"""),"B")</f>
        <v>B</v>
      </c>
      <c r="E1775" s="118" t="str">
        <f ca="1">IFERROR(__xludf.DUMMYFUNCTION("""COMPUTED_VALUE"""),"J")</f>
        <v>J</v>
      </c>
      <c r="F1775" s="124" t="str">
        <f ca="1">IFERROR(__xludf.DUMMYFUNCTION("""COMPUTED_VALUE"""),"I")</f>
        <v>I</v>
      </c>
      <c r="G1775" s="124">
        <f ca="1">IFERROR(__xludf.DUMMYFUNCTION("""COMPUTED_VALUE"""),6)</f>
        <v>6</v>
      </c>
      <c r="H1775" s="124" t="str">
        <f ca="1">IFERROR(__xludf.DUMMYFUNCTION("""COMPUTED_VALUE"""),"SHB")</f>
        <v>SHB</v>
      </c>
      <c r="I1775" s="124">
        <f ca="1">IFERROR(__xludf.DUMMYFUNCTION("""COMPUTED_VALUE"""),7)</f>
        <v>7</v>
      </c>
      <c r="J1775" s="124">
        <f ca="1">IFERROR(__xludf.DUMMYFUNCTION("""COMPUTED_VALUE"""),0)</f>
        <v>0</v>
      </c>
      <c r="K1775" s="125"/>
      <c r="L1775" s="121"/>
      <c r="M1775" s="125"/>
      <c r="N1775" s="121"/>
      <c r="O1775" s="125"/>
      <c r="P1775" s="126"/>
      <c r="Q1775" s="127"/>
      <c r="R1775" s="127"/>
      <c r="S1775" s="127"/>
      <c r="T1775" s="127"/>
    </row>
    <row r="1776" spans="1:20" ht="13.8">
      <c r="A1776" s="118" t="str">
        <f ca="1">IFERROR(__xludf.DUMMYFUNCTION("""COMPUTED_VALUE"""),"SHB")</f>
        <v>SHB</v>
      </c>
      <c r="B1776" s="119" t="str">
        <f ca="1">IFERROR(__xludf.DUMMYFUNCTION("""COMPUTED_VALUE"""),"Mason Chang")</f>
        <v>Mason Chang</v>
      </c>
      <c r="C1776" s="118">
        <f ca="1">IFERROR(__xludf.DUMMYFUNCTION("""COMPUTED_VALUE"""),11)</f>
        <v>11</v>
      </c>
      <c r="D1776" s="118" t="str">
        <f ca="1">IFERROR(__xludf.DUMMYFUNCTION("""COMPUTED_VALUE"""),"B")</f>
        <v>B</v>
      </c>
      <c r="E1776" s="118" t="str">
        <f ca="1">IFERROR(__xludf.DUMMYFUNCTION("""COMPUTED_VALUE"""),"J")</f>
        <v>J</v>
      </c>
      <c r="F1776" s="124" t="str">
        <f ca="1">IFERROR(__xludf.DUMMYFUNCTION("""COMPUTED_VALUE"""),"I")</f>
        <v>I</v>
      </c>
      <c r="G1776" s="124">
        <f ca="1">IFERROR(__xludf.DUMMYFUNCTION("""COMPUTED_VALUE"""),6)</f>
        <v>6</v>
      </c>
      <c r="H1776" s="124" t="str">
        <f ca="1">IFERROR(__xludf.DUMMYFUNCTION("""COMPUTED_VALUE"""),"SHB")</f>
        <v>SHB</v>
      </c>
      <c r="I1776" s="124">
        <f ca="1">IFERROR(__xludf.DUMMYFUNCTION("""COMPUTED_VALUE"""),7)</f>
        <v>7</v>
      </c>
      <c r="J1776" s="124">
        <f ca="1">IFERROR(__xludf.DUMMYFUNCTION("""COMPUTED_VALUE"""),0)</f>
        <v>0</v>
      </c>
      <c r="K1776" s="125"/>
      <c r="L1776" s="121"/>
      <c r="M1776" s="125"/>
      <c r="N1776" s="121"/>
      <c r="O1776" s="125"/>
      <c r="P1776" s="126"/>
      <c r="Q1776" s="127"/>
      <c r="R1776" s="127"/>
      <c r="S1776" s="127"/>
      <c r="T1776" s="127"/>
    </row>
    <row r="1777" spans="1:20" ht="13.8">
      <c r="A1777" s="118" t="str">
        <f ca="1">IFERROR(__xludf.DUMMYFUNCTION("""COMPUTED_VALUE"""),"SHB")</f>
        <v>SHB</v>
      </c>
      <c r="B1777" s="119" t="str">
        <f ca="1">IFERROR(__xludf.DUMMYFUNCTION("""COMPUTED_VALUE"""),"Tayo Llosa")</f>
        <v>Tayo Llosa</v>
      </c>
      <c r="C1777" s="118">
        <f ca="1">IFERROR(__xludf.DUMMYFUNCTION("""COMPUTED_VALUE"""),11)</f>
        <v>11</v>
      </c>
      <c r="D1777" s="118" t="str">
        <f ca="1">IFERROR(__xludf.DUMMYFUNCTION("""COMPUTED_VALUE"""),"B")</f>
        <v>B</v>
      </c>
      <c r="E1777" s="118" t="str">
        <f ca="1">IFERROR(__xludf.DUMMYFUNCTION("""COMPUTED_VALUE"""),"J")</f>
        <v>J</v>
      </c>
      <c r="F1777" s="124" t="str">
        <f ca="1">IFERROR(__xludf.DUMMYFUNCTION("""COMPUTED_VALUE"""),"I")</f>
        <v>I</v>
      </c>
      <c r="G1777" s="124">
        <f ca="1">IFERROR(__xludf.DUMMYFUNCTION("""COMPUTED_VALUE"""),6)</f>
        <v>6</v>
      </c>
      <c r="H1777" s="124" t="str">
        <f ca="1">IFERROR(__xludf.DUMMYFUNCTION("""COMPUTED_VALUE"""),"SHB")</f>
        <v>SHB</v>
      </c>
      <c r="I1777" s="124">
        <f ca="1">IFERROR(__xludf.DUMMYFUNCTION("""COMPUTED_VALUE"""),7)</f>
        <v>7</v>
      </c>
      <c r="J1777" s="124">
        <f ca="1">IFERROR(__xludf.DUMMYFUNCTION("""COMPUTED_VALUE"""),0)</f>
        <v>0</v>
      </c>
      <c r="K1777" s="125"/>
      <c r="L1777" s="121"/>
      <c r="M1777" s="125"/>
      <c r="N1777" s="121"/>
      <c r="O1777" s="125"/>
      <c r="P1777" s="126"/>
      <c r="Q1777" s="127"/>
      <c r="R1777" s="127"/>
      <c r="S1777" s="127"/>
      <c r="T1777" s="127"/>
    </row>
    <row r="1778" spans="1:20" ht="13.8">
      <c r="A1778" s="118" t="str">
        <f ca="1">IFERROR(__xludf.DUMMYFUNCTION("""COMPUTED_VALUE"""),"SHB")</f>
        <v>SHB</v>
      </c>
      <c r="B1778" s="119" t="str">
        <f ca="1">IFERROR(__xludf.DUMMYFUNCTION("""COMPUTED_VALUE"""),"Hadley Chang")</f>
        <v>Hadley Chang</v>
      </c>
      <c r="C1778" s="118">
        <f ca="1">IFERROR(__xludf.DUMMYFUNCTION("""COMPUTED_VALUE"""),13)</f>
        <v>13</v>
      </c>
      <c r="D1778" s="118" t="str">
        <f ca="1">IFERROR(__xludf.DUMMYFUNCTION("""COMPUTED_VALUE"""),"G")</f>
        <v>G</v>
      </c>
      <c r="E1778" s="118" t="str">
        <f ca="1">IFERROR(__xludf.DUMMYFUNCTION("""COMPUTED_VALUE"""),"I")</f>
        <v>I</v>
      </c>
      <c r="F1778" s="124" t="str">
        <f ca="1">IFERROR(__xludf.DUMMYFUNCTION("""COMPUTED_VALUE"""),"S")</f>
        <v>S</v>
      </c>
      <c r="G1778" s="124">
        <f ca="1">IFERROR(__xludf.DUMMYFUNCTION("""COMPUTED_VALUE"""),6)</f>
        <v>6</v>
      </c>
      <c r="H1778" s="124" t="str">
        <f ca="1">IFERROR(__xludf.DUMMYFUNCTION("""COMPUTED_VALUE"""),"SHB")</f>
        <v>SHB</v>
      </c>
      <c r="I1778" s="124">
        <f ca="1">IFERROR(__xludf.DUMMYFUNCTION("""COMPUTED_VALUE"""),8)</f>
        <v>8</v>
      </c>
      <c r="J1778" s="124">
        <f ca="1">IFERROR(__xludf.DUMMYFUNCTION("""COMPUTED_VALUE"""),0)</f>
        <v>0</v>
      </c>
      <c r="K1778" s="125"/>
      <c r="L1778" s="121"/>
      <c r="M1778" s="125"/>
      <c r="N1778" s="121"/>
      <c r="O1778" s="125"/>
      <c r="P1778" s="126"/>
      <c r="Q1778" s="127"/>
      <c r="R1778" s="127"/>
      <c r="S1778" s="127"/>
      <c r="T1778" s="127"/>
    </row>
    <row r="1779" spans="1:20" ht="13.8">
      <c r="A1779" s="118" t="str">
        <f ca="1">IFERROR(__xludf.DUMMYFUNCTION("""COMPUTED_VALUE"""),"SHB")</f>
        <v>SHB</v>
      </c>
      <c r="B1779" s="119" t="str">
        <f ca="1">IFERROR(__xludf.DUMMYFUNCTION("""COMPUTED_VALUE"""),"Izzy Benone")</f>
        <v>Izzy Benone</v>
      </c>
      <c r="C1779" s="118">
        <f ca="1">IFERROR(__xludf.DUMMYFUNCTION("""COMPUTED_VALUE"""),13)</f>
        <v>13</v>
      </c>
      <c r="D1779" s="118" t="str">
        <f ca="1">IFERROR(__xludf.DUMMYFUNCTION("""COMPUTED_VALUE"""),"G")</f>
        <v>G</v>
      </c>
      <c r="E1779" s="118" t="str">
        <f ca="1">IFERROR(__xludf.DUMMYFUNCTION("""COMPUTED_VALUE"""),"I")</f>
        <v>I</v>
      </c>
      <c r="F1779" s="124" t="str">
        <f ca="1">IFERROR(__xludf.DUMMYFUNCTION("""COMPUTED_VALUE"""),"S")</f>
        <v>S</v>
      </c>
      <c r="G1779" s="124">
        <f ca="1">IFERROR(__xludf.DUMMYFUNCTION("""COMPUTED_VALUE"""),6)</f>
        <v>6</v>
      </c>
      <c r="H1779" s="124" t="str">
        <f ca="1">IFERROR(__xludf.DUMMYFUNCTION("""COMPUTED_VALUE"""),"SHB")</f>
        <v>SHB</v>
      </c>
      <c r="I1779" s="124">
        <f ca="1">IFERROR(__xludf.DUMMYFUNCTION("""COMPUTED_VALUE"""),8)</f>
        <v>8</v>
      </c>
      <c r="J1779" s="124">
        <f ca="1">IFERROR(__xludf.DUMMYFUNCTION("""COMPUTED_VALUE"""),0)</f>
        <v>0</v>
      </c>
      <c r="K1779" s="125"/>
      <c r="L1779" s="121"/>
      <c r="M1779" s="125"/>
      <c r="N1779" s="121"/>
      <c r="O1779" s="125"/>
      <c r="P1779" s="126"/>
      <c r="Q1779" s="127"/>
      <c r="R1779" s="127"/>
      <c r="S1779" s="127"/>
      <c r="T1779" s="127"/>
    </row>
    <row r="1780" spans="1:20" ht="13.8">
      <c r="A1780" s="118" t="str">
        <f ca="1">IFERROR(__xludf.DUMMYFUNCTION("""COMPUTED_VALUE"""),"SHB")</f>
        <v>SHB</v>
      </c>
      <c r="B1780" s="119" t="str">
        <f ca="1">IFERROR(__xludf.DUMMYFUNCTION("""COMPUTED_VALUE"""),"ZZ Arnic")</f>
        <v>ZZ Arnic</v>
      </c>
      <c r="C1780" s="118">
        <f ca="1">IFERROR(__xludf.DUMMYFUNCTION("""COMPUTED_VALUE"""),13)</f>
        <v>13</v>
      </c>
      <c r="D1780" s="118" t="str">
        <f ca="1">IFERROR(__xludf.DUMMYFUNCTION("""COMPUTED_VALUE"""),"G")</f>
        <v>G</v>
      </c>
      <c r="E1780" s="118" t="str">
        <f ca="1">IFERROR(__xludf.DUMMYFUNCTION("""COMPUTED_VALUE"""),"I")</f>
        <v>I</v>
      </c>
      <c r="F1780" s="124" t="str">
        <f ca="1">IFERROR(__xludf.DUMMYFUNCTION("""COMPUTED_VALUE"""),"S")</f>
        <v>S</v>
      </c>
      <c r="G1780" s="124">
        <f ca="1">IFERROR(__xludf.DUMMYFUNCTION("""COMPUTED_VALUE"""),6)</f>
        <v>6</v>
      </c>
      <c r="H1780" s="124" t="str">
        <f ca="1">IFERROR(__xludf.DUMMYFUNCTION("""COMPUTED_VALUE"""),"SHB")</f>
        <v>SHB</v>
      </c>
      <c r="I1780" s="124">
        <f ca="1">IFERROR(__xludf.DUMMYFUNCTION("""COMPUTED_VALUE"""),8)</f>
        <v>8</v>
      </c>
      <c r="J1780" s="124">
        <f ca="1">IFERROR(__xludf.DUMMYFUNCTION("""COMPUTED_VALUE"""),5)</f>
        <v>5</v>
      </c>
      <c r="K1780" s="125">
        <f ca="1">IFERROR(__xludf.DUMMYFUNCTION("""COMPUTED_VALUE"""),145.4)</f>
        <v>145.4</v>
      </c>
      <c r="L1780" s="121"/>
      <c r="M1780" s="125">
        <f ca="1">IFERROR(__xludf.DUMMYFUNCTION("""COMPUTED_VALUE"""),137.55)</f>
        <v>137.55000000000001</v>
      </c>
      <c r="N1780" s="121"/>
      <c r="O1780" s="125">
        <f ca="1">IFERROR(__xludf.DUMMYFUNCTION("""COMPUTED_VALUE"""),116.1)</f>
        <v>116.1</v>
      </c>
      <c r="P1780" s="126"/>
      <c r="Q1780" s="127"/>
      <c r="R1780" s="127"/>
      <c r="S1780" s="127"/>
      <c r="T1780" s="127"/>
    </row>
    <row r="1781" spans="1:20" ht="13.8">
      <c r="A1781" s="118" t="str">
        <f ca="1">IFERROR(__xludf.DUMMYFUNCTION("""COMPUTED_VALUE"""),"SHB")</f>
        <v>SHB</v>
      </c>
      <c r="B1781" s="119" t="str">
        <f ca="1">IFERROR(__xludf.DUMMYFUNCTION("""COMPUTED_VALUE"""),"Nick Montgomery")</f>
        <v>Nick Montgomery</v>
      </c>
      <c r="C1781" s="118">
        <f ca="1">IFERROR(__xludf.DUMMYFUNCTION("""COMPUTED_VALUE"""),14)</f>
        <v>14</v>
      </c>
      <c r="D1781" s="118" t="str">
        <f ca="1">IFERROR(__xludf.DUMMYFUNCTION("""COMPUTED_VALUE"""),"B")</f>
        <v>B</v>
      </c>
      <c r="E1781" s="118" t="str">
        <f ca="1">IFERROR(__xludf.DUMMYFUNCTION("""COMPUTED_VALUE"""),"I")</f>
        <v>I</v>
      </c>
      <c r="F1781" s="124" t="str">
        <f ca="1">IFERROR(__xludf.DUMMYFUNCTION("""COMPUTED_VALUE"""),"S")</f>
        <v>S</v>
      </c>
      <c r="G1781" s="124">
        <f ca="1">IFERROR(__xludf.DUMMYFUNCTION("""COMPUTED_VALUE"""),6)</f>
        <v>6</v>
      </c>
      <c r="H1781" s="124" t="str">
        <f ca="1">IFERROR(__xludf.DUMMYFUNCTION("""COMPUTED_VALUE"""),"SHB")</f>
        <v>SHB</v>
      </c>
      <c r="I1781" s="124">
        <f ca="1">IFERROR(__xludf.DUMMYFUNCTION("""COMPUTED_VALUE"""),9)</f>
        <v>9</v>
      </c>
      <c r="J1781" s="124">
        <f ca="1">IFERROR(__xludf.DUMMYFUNCTION("""COMPUTED_VALUE"""),0)</f>
        <v>0</v>
      </c>
      <c r="K1781" s="125"/>
      <c r="L1781" s="121"/>
      <c r="M1781" s="125"/>
      <c r="N1781" s="121"/>
      <c r="O1781" s="125"/>
      <c r="P1781" s="126"/>
      <c r="Q1781" s="127"/>
      <c r="R1781" s="127"/>
      <c r="S1781" s="127"/>
      <c r="T1781" s="127"/>
    </row>
    <row r="1782" spans="1:20" ht="13.8">
      <c r="A1782" s="118" t="str">
        <f ca="1">IFERROR(__xludf.DUMMYFUNCTION("""COMPUTED_VALUE"""),"SHB")</f>
        <v>SHB</v>
      </c>
      <c r="B1782" s="119" t="str">
        <f ca="1">IFERROR(__xludf.DUMMYFUNCTION("""COMPUTED_VALUE"""),"Claire Coughlin")</f>
        <v>Claire Coughlin</v>
      </c>
      <c r="C1782" s="118">
        <f ca="1">IFERROR(__xludf.DUMMYFUNCTION("""COMPUTED_VALUE"""),18)</f>
        <v>18</v>
      </c>
      <c r="D1782" s="118" t="str">
        <f ca="1">IFERROR(__xludf.DUMMYFUNCTION("""COMPUTED_VALUE"""),"G")</f>
        <v>G</v>
      </c>
      <c r="E1782" s="118" t="str">
        <f ca="1">IFERROR(__xludf.DUMMYFUNCTION("""COMPUTED_VALUE"""),"S")</f>
        <v>S</v>
      </c>
      <c r="F1782" s="124" t="str">
        <f ca="1">IFERROR(__xludf.DUMMYFUNCTION("""COMPUTED_VALUE"""),"S")</f>
        <v>S</v>
      </c>
      <c r="G1782" s="124">
        <f ca="1">IFERROR(__xludf.DUMMYFUNCTION("""COMPUTED_VALUE"""),6)</f>
        <v>6</v>
      </c>
      <c r="H1782" s="124" t="str">
        <f ca="1">IFERROR(__xludf.DUMMYFUNCTION("""COMPUTED_VALUE"""),"SHB")</f>
        <v>SHB</v>
      </c>
      <c r="I1782" s="124">
        <f ca="1">IFERROR(__xludf.DUMMYFUNCTION("""COMPUTED_VALUE"""),10)</f>
        <v>10</v>
      </c>
      <c r="J1782" s="124">
        <f ca="1">IFERROR(__xludf.DUMMYFUNCTION("""COMPUTED_VALUE"""),2)</f>
        <v>2</v>
      </c>
      <c r="K1782" s="125">
        <f ca="1">IFERROR(__xludf.DUMMYFUNCTION("""COMPUTED_VALUE"""),110.95)</f>
        <v>110.95</v>
      </c>
      <c r="L1782" s="121"/>
      <c r="M1782" s="125"/>
      <c r="N1782" s="121"/>
      <c r="O1782" s="125">
        <f ca="1">IFERROR(__xludf.DUMMYFUNCTION("""COMPUTED_VALUE"""),110.95)</f>
        <v>110.95</v>
      </c>
      <c r="P1782" s="126"/>
      <c r="Q1782" s="127"/>
      <c r="R1782" s="127"/>
      <c r="S1782" s="127"/>
      <c r="T1782" s="127"/>
    </row>
    <row r="1783" spans="1:20" ht="13.8">
      <c r="A1783" s="118" t="str">
        <f ca="1">IFERROR(__xludf.DUMMYFUNCTION("""COMPUTED_VALUE"""),"SHB")</f>
        <v>SHB</v>
      </c>
      <c r="B1783" s="119" t="str">
        <f ca="1">IFERROR(__xludf.DUMMYFUNCTION("""COMPUTED_VALUE"""),"Jordan Sussman")</f>
        <v>Jordan Sussman</v>
      </c>
      <c r="C1783" s="118">
        <f ca="1">IFERROR(__xludf.DUMMYFUNCTION("""COMPUTED_VALUE"""),17)</f>
        <v>17</v>
      </c>
      <c r="D1783" s="118" t="str">
        <f ca="1">IFERROR(__xludf.DUMMYFUNCTION("""COMPUTED_VALUE"""),"G")</f>
        <v>G</v>
      </c>
      <c r="E1783" s="118" t="str">
        <f ca="1">IFERROR(__xludf.DUMMYFUNCTION("""COMPUTED_VALUE"""),"S")</f>
        <v>S</v>
      </c>
      <c r="F1783" s="124" t="str">
        <f ca="1">IFERROR(__xludf.DUMMYFUNCTION("""COMPUTED_VALUE"""),"S")</f>
        <v>S</v>
      </c>
      <c r="G1783" s="124">
        <f ca="1">IFERROR(__xludf.DUMMYFUNCTION("""COMPUTED_VALUE"""),6)</f>
        <v>6</v>
      </c>
      <c r="H1783" s="124" t="str">
        <f ca="1">IFERROR(__xludf.DUMMYFUNCTION("""COMPUTED_VALUE"""),"SHB")</f>
        <v>SHB</v>
      </c>
      <c r="I1783" s="124">
        <f ca="1">IFERROR(__xludf.DUMMYFUNCTION("""COMPUTED_VALUE"""),10)</f>
        <v>10</v>
      </c>
      <c r="J1783" s="124">
        <f ca="1">IFERROR(__xludf.DUMMYFUNCTION("""COMPUTED_VALUE"""),5)</f>
        <v>5</v>
      </c>
      <c r="K1783" s="125">
        <f ca="1">IFERROR(__xludf.DUMMYFUNCTION("""COMPUTED_VALUE"""),152.65)</f>
        <v>152.65</v>
      </c>
      <c r="L1783" s="121"/>
      <c r="M1783" s="125">
        <f ca="1">IFERROR(__xludf.DUMMYFUNCTION("""COMPUTED_VALUE"""),126.7)</f>
        <v>126.7</v>
      </c>
      <c r="N1783" s="121"/>
      <c r="O1783" s="125">
        <f ca="1">IFERROR(__xludf.DUMMYFUNCTION("""COMPUTED_VALUE"""),128.4)</f>
        <v>128.4</v>
      </c>
      <c r="P1783" s="126"/>
      <c r="Q1783" s="127"/>
      <c r="R1783" s="127"/>
      <c r="S1783" s="127"/>
      <c r="T1783" s="127"/>
    </row>
    <row r="1784" spans="1:20" ht="13.8">
      <c r="A1784" s="118" t="str">
        <f ca="1">IFERROR(__xludf.DUMMYFUNCTION("""COMPUTED_VALUE"""),"SHB")</f>
        <v>SHB</v>
      </c>
      <c r="B1784" s="119" t="str">
        <f ca="1">IFERROR(__xludf.DUMMYFUNCTION("""COMPUTED_VALUE"""),"Paisley Wilkins")</f>
        <v>Paisley Wilkins</v>
      </c>
      <c r="C1784" s="118">
        <f ca="1">IFERROR(__xludf.DUMMYFUNCTION("""COMPUTED_VALUE"""),17)</f>
        <v>17</v>
      </c>
      <c r="D1784" s="118" t="str">
        <f ca="1">IFERROR(__xludf.DUMMYFUNCTION("""COMPUTED_VALUE"""),"G")</f>
        <v>G</v>
      </c>
      <c r="E1784" s="118" t="str">
        <f ca="1">IFERROR(__xludf.DUMMYFUNCTION("""COMPUTED_VALUE"""),"S")</f>
        <v>S</v>
      </c>
      <c r="F1784" s="124" t="str">
        <f ca="1">IFERROR(__xludf.DUMMYFUNCTION("""COMPUTED_VALUE"""),"S")</f>
        <v>S</v>
      </c>
      <c r="G1784" s="124">
        <f ca="1">IFERROR(__xludf.DUMMYFUNCTION("""COMPUTED_VALUE"""),6)</f>
        <v>6</v>
      </c>
      <c r="H1784" s="124" t="str">
        <f ca="1">IFERROR(__xludf.DUMMYFUNCTION("""COMPUTED_VALUE"""),"SHB")</f>
        <v>SHB</v>
      </c>
      <c r="I1784" s="124">
        <f ca="1">IFERROR(__xludf.DUMMYFUNCTION("""COMPUTED_VALUE"""),10)</f>
        <v>10</v>
      </c>
      <c r="J1784" s="124">
        <f ca="1">IFERROR(__xludf.DUMMYFUNCTION("""COMPUTED_VALUE"""),4)</f>
        <v>4</v>
      </c>
      <c r="K1784" s="125">
        <f ca="1">IFERROR(__xludf.DUMMYFUNCTION("""COMPUTED_VALUE"""),184.95)</f>
        <v>184.95</v>
      </c>
      <c r="L1784" s="121"/>
      <c r="M1784" s="125">
        <f ca="1">IFERROR(__xludf.DUMMYFUNCTION("""COMPUTED_VALUE"""),142.35)</f>
        <v>142.35</v>
      </c>
      <c r="N1784" s="121"/>
      <c r="O1784" s="125">
        <f ca="1">IFERROR(__xludf.DUMMYFUNCTION("""COMPUTED_VALUE"""),135.25)</f>
        <v>135.25</v>
      </c>
      <c r="P1784" s="126"/>
      <c r="Q1784" s="127"/>
      <c r="R1784" s="127"/>
      <c r="S1784" s="127"/>
      <c r="T1784" s="127"/>
    </row>
    <row r="1785" spans="1:20" ht="13.8">
      <c r="A1785" s="118" t="str">
        <f ca="1">IFERROR(__xludf.DUMMYFUNCTION("""COMPUTED_VALUE"""),"SHB")</f>
        <v>SHB</v>
      </c>
      <c r="B1785" s="119" t="str">
        <f ca="1">IFERROR(__xludf.DUMMYFUNCTION("""COMPUTED_VALUE"""),"Penelope Lawler")</f>
        <v>Penelope Lawler</v>
      </c>
      <c r="C1785" s="118">
        <f ca="1">IFERROR(__xludf.DUMMYFUNCTION("""COMPUTED_VALUE"""),16)</f>
        <v>16</v>
      </c>
      <c r="D1785" s="118" t="str">
        <f ca="1">IFERROR(__xludf.DUMMYFUNCTION("""COMPUTED_VALUE"""),"G")</f>
        <v>G</v>
      </c>
      <c r="E1785" s="118" t="str">
        <f ca="1">IFERROR(__xludf.DUMMYFUNCTION("""COMPUTED_VALUE"""),"S")</f>
        <v>S</v>
      </c>
      <c r="F1785" s="124" t="str">
        <f ca="1">IFERROR(__xludf.DUMMYFUNCTION("""COMPUTED_VALUE"""),"S")</f>
        <v>S</v>
      </c>
      <c r="G1785" s="124">
        <f ca="1">IFERROR(__xludf.DUMMYFUNCTION("""COMPUTED_VALUE"""),6)</f>
        <v>6</v>
      </c>
      <c r="H1785" s="124" t="str">
        <f ca="1">IFERROR(__xludf.DUMMYFUNCTION("""COMPUTED_VALUE"""),"SHB")</f>
        <v>SHB</v>
      </c>
      <c r="I1785" s="124">
        <f ca="1">IFERROR(__xludf.DUMMYFUNCTION("""COMPUTED_VALUE"""),10)</f>
        <v>10</v>
      </c>
      <c r="J1785" s="124">
        <f ca="1">IFERROR(__xludf.DUMMYFUNCTION("""COMPUTED_VALUE"""),4)</f>
        <v>4</v>
      </c>
      <c r="K1785" s="125">
        <f ca="1">IFERROR(__xludf.DUMMYFUNCTION("""COMPUTED_VALUE"""),136.95)</f>
        <v>136.94999999999999</v>
      </c>
      <c r="L1785" s="121"/>
      <c r="M1785" s="125">
        <f ca="1">IFERROR(__xludf.DUMMYFUNCTION("""COMPUTED_VALUE"""),113.1)</f>
        <v>113.1</v>
      </c>
      <c r="N1785" s="121"/>
      <c r="O1785" s="125">
        <f ca="1">IFERROR(__xludf.DUMMYFUNCTION("""COMPUTED_VALUE"""),112.9)</f>
        <v>112.9</v>
      </c>
      <c r="P1785" s="126"/>
      <c r="Q1785" s="127"/>
      <c r="R1785" s="127"/>
      <c r="S1785" s="127"/>
      <c r="T1785" s="127"/>
    </row>
    <row r="1786" spans="1:20" ht="13.8">
      <c r="A1786" s="118" t="str">
        <f ca="1">IFERROR(__xludf.DUMMYFUNCTION("""COMPUTED_VALUE"""),"SHB")</f>
        <v>SHB</v>
      </c>
      <c r="B1786" s="119" t="str">
        <f ca="1">IFERROR(__xludf.DUMMYFUNCTION("""COMPUTED_VALUE"""),"Petra Oleson")</f>
        <v>Petra Oleson</v>
      </c>
      <c r="C1786" s="118">
        <f ca="1">IFERROR(__xludf.DUMMYFUNCTION("""COMPUTED_VALUE"""),15)</f>
        <v>15</v>
      </c>
      <c r="D1786" s="118" t="str">
        <f ca="1">IFERROR(__xludf.DUMMYFUNCTION("""COMPUTED_VALUE"""),"G")</f>
        <v>G</v>
      </c>
      <c r="E1786" s="118" t="str">
        <f ca="1">IFERROR(__xludf.DUMMYFUNCTION("""COMPUTED_VALUE"""),"S")</f>
        <v>S</v>
      </c>
      <c r="F1786" s="124" t="str">
        <f ca="1">IFERROR(__xludf.DUMMYFUNCTION("""COMPUTED_VALUE"""),"S")</f>
        <v>S</v>
      </c>
      <c r="G1786" s="124">
        <f ca="1">IFERROR(__xludf.DUMMYFUNCTION("""COMPUTED_VALUE"""),6)</f>
        <v>6</v>
      </c>
      <c r="H1786" s="124" t="str">
        <f ca="1">IFERROR(__xludf.DUMMYFUNCTION("""COMPUTED_VALUE"""),"SHB")</f>
        <v>SHB</v>
      </c>
      <c r="I1786" s="124">
        <f ca="1">IFERROR(__xludf.DUMMYFUNCTION("""COMPUTED_VALUE"""),10)</f>
        <v>10</v>
      </c>
      <c r="J1786" s="124">
        <f ca="1">IFERROR(__xludf.DUMMYFUNCTION("""COMPUTED_VALUE"""),4)</f>
        <v>4</v>
      </c>
      <c r="K1786" s="125">
        <f ca="1">IFERROR(__xludf.DUMMYFUNCTION("""COMPUTED_VALUE"""),138)</f>
        <v>138</v>
      </c>
      <c r="L1786" s="121"/>
      <c r="M1786" s="125">
        <f ca="1">IFERROR(__xludf.DUMMYFUNCTION("""COMPUTED_VALUE"""),122.05)</f>
        <v>122.05</v>
      </c>
      <c r="N1786" s="121"/>
      <c r="O1786" s="125">
        <f ca="1">IFERROR(__xludf.DUMMYFUNCTION("""COMPUTED_VALUE"""),123.25)</f>
        <v>123.25</v>
      </c>
      <c r="P1786" s="126"/>
      <c r="Q1786" s="127"/>
      <c r="R1786" s="127"/>
      <c r="S1786" s="127"/>
      <c r="T1786" s="127"/>
    </row>
    <row r="1787" spans="1:20" ht="13.8">
      <c r="A1787" s="118" t="str">
        <f ca="1">IFERROR(__xludf.DUMMYFUNCTION("""COMPUTED_VALUE"""),"SHB")</f>
        <v>SHB</v>
      </c>
      <c r="B1787" s="119" t="str">
        <f ca="1">IFERROR(__xludf.DUMMYFUNCTION("""COMPUTED_VALUE"""),"Sarah Rose")</f>
        <v>Sarah Rose</v>
      </c>
      <c r="C1787" s="118">
        <f ca="1">IFERROR(__xludf.DUMMYFUNCTION("""COMPUTED_VALUE"""),17)</f>
        <v>17</v>
      </c>
      <c r="D1787" s="118" t="str">
        <f ca="1">IFERROR(__xludf.DUMMYFUNCTION("""COMPUTED_VALUE"""),"G")</f>
        <v>G</v>
      </c>
      <c r="E1787" s="118" t="str">
        <f ca="1">IFERROR(__xludf.DUMMYFUNCTION("""COMPUTED_VALUE"""),"S")</f>
        <v>S</v>
      </c>
      <c r="F1787" s="124" t="str">
        <f ca="1">IFERROR(__xludf.DUMMYFUNCTION("""COMPUTED_VALUE"""),"S")</f>
        <v>S</v>
      </c>
      <c r="G1787" s="124">
        <f ca="1">IFERROR(__xludf.DUMMYFUNCTION("""COMPUTED_VALUE"""),6)</f>
        <v>6</v>
      </c>
      <c r="H1787" s="124" t="str">
        <f ca="1">IFERROR(__xludf.DUMMYFUNCTION("""COMPUTED_VALUE"""),"SHB")</f>
        <v>SHB</v>
      </c>
      <c r="I1787" s="124">
        <f ca="1">IFERROR(__xludf.DUMMYFUNCTION("""COMPUTED_VALUE"""),10)</f>
        <v>10</v>
      </c>
      <c r="J1787" s="124">
        <f ca="1">IFERROR(__xludf.DUMMYFUNCTION("""COMPUTED_VALUE"""),4)</f>
        <v>4</v>
      </c>
      <c r="K1787" s="125">
        <f ca="1">IFERROR(__xludf.DUMMYFUNCTION("""COMPUTED_VALUE"""),109.15)</f>
        <v>109.15</v>
      </c>
      <c r="L1787" s="121"/>
      <c r="M1787" s="125">
        <f ca="1">IFERROR(__xludf.DUMMYFUNCTION("""COMPUTED_VALUE"""),95.75)</f>
        <v>95.75</v>
      </c>
      <c r="N1787" s="121"/>
      <c r="O1787" s="125">
        <f ca="1">IFERROR(__xludf.DUMMYFUNCTION("""COMPUTED_VALUE"""),93.6)</f>
        <v>93.6</v>
      </c>
      <c r="P1787" s="126"/>
      <c r="Q1787" s="127"/>
      <c r="R1787" s="127"/>
      <c r="S1787" s="127"/>
      <c r="T1787" s="127"/>
    </row>
    <row r="1788" spans="1:20" ht="13.8">
      <c r="A1788" s="118" t="str">
        <f ca="1">IFERROR(__xludf.DUMMYFUNCTION("""COMPUTED_VALUE"""),"SHB")</f>
        <v>SHB</v>
      </c>
      <c r="B1788" s="119" t="str">
        <f ca="1">IFERROR(__xludf.DUMMYFUNCTION("""COMPUTED_VALUE"""),"Sam Martin")</f>
        <v>Sam Martin</v>
      </c>
      <c r="C1788" s="118">
        <f ca="1">IFERROR(__xludf.DUMMYFUNCTION("""COMPUTED_VALUE"""),18)</f>
        <v>18</v>
      </c>
      <c r="D1788" s="118" t="str">
        <f ca="1">IFERROR(__xludf.DUMMYFUNCTION("""COMPUTED_VALUE"""),"B")</f>
        <v>B</v>
      </c>
      <c r="E1788" s="118" t="str">
        <f ca="1">IFERROR(__xludf.DUMMYFUNCTION("""COMPUTED_VALUE"""),"S")</f>
        <v>S</v>
      </c>
      <c r="F1788" s="124" t="str">
        <f ca="1">IFERROR(__xludf.DUMMYFUNCTION("""COMPUTED_VALUE"""),"S")</f>
        <v>S</v>
      </c>
      <c r="G1788" s="124">
        <f ca="1">IFERROR(__xludf.DUMMYFUNCTION("""COMPUTED_VALUE"""),6)</f>
        <v>6</v>
      </c>
      <c r="H1788" s="124" t="str">
        <f ca="1">IFERROR(__xludf.DUMMYFUNCTION("""COMPUTED_VALUE"""),"SHB")</f>
        <v>SHB</v>
      </c>
      <c r="I1788" s="124">
        <f ca="1">IFERROR(__xludf.DUMMYFUNCTION("""COMPUTED_VALUE"""),11)</f>
        <v>11</v>
      </c>
      <c r="J1788" s="124">
        <f ca="1">IFERROR(__xludf.DUMMYFUNCTION("""COMPUTED_VALUE"""),5)</f>
        <v>5</v>
      </c>
      <c r="K1788" s="125">
        <f ca="1">IFERROR(__xludf.DUMMYFUNCTION("""COMPUTED_VALUE"""),222.75)</f>
        <v>222.75</v>
      </c>
      <c r="L1788" s="121"/>
      <c r="M1788" s="125">
        <f ca="1">IFERROR(__xludf.DUMMYFUNCTION("""COMPUTED_VALUE"""),139)</f>
        <v>139</v>
      </c>
      <c r="N1788" s="121"/>
      <c r="O1788" s="125">
        <f ca="1">IFERROR(__xludf.DUMMYFUNCTION("""COMPUTED_VALUE"""),189.6)</f>
        <v>189.6</v>
      </c>
      <c r="P1788" s="126"/>
      <c r="Q1788" s="127"/>
      <c r="R1788" s="127"/>
      <c r="S1788" s="127"/>
      <c r="T1788" s="127"/>
    </row>
    <row r="1789" spans="1:20" ht="13.8">
      <c r="A1789" s="118" t="str">
        <f ca="1">IFERROR(__xludf.DUMMYFUNCTION("""COMPUTED_VALUE"""),"SHR")</f>
        <v>SHR</v>
      </c>
      <c r="B1789" s="119" t="str">
        <f ca="1">IFERROR(__xludf.DUMMYFUNCTION("""COMPUTED_VALUE"""),"Ada Scherer")</f>
        <v>Ada Scherer</v>
      </c>
      <c r="C1789" s="118">
        <f ca="1">IFERROR(__xludf.DUMMYFUNCTION("""COMPUTED_VALUE"""),7)</f>
        <v>7</v>
      </c>
      <c r="D1789" s="118" t="str">
        <f ca="1">IFERROR(__xludf.DUMMYFUNCTION("""COMPUTED_VALUE"""),"G")</f>
        <v>G</v>
      </c>
      <c r="E1789" s="118" t="str">
        <f ca="1">IFERROR(__xludf.DUMMYFUNCTION("""COMPUTED_VALUE"""),"F")</f>
        <v>F</v>
      </c>
      <c r="F1789" s="124" t="str">
        <f ca="1">IFERROR(__xludf.DUMMYFUNCTION("""COMPUTED_VALUE"""),"J")</f>
        <v>J</v>
      </c>
      <c r="G1789" s="124">
        <f ca="1">IFERROR(__xludf.DUMMYFUNCTION("""COMPUTED_VALUE"""),2)</f>
        <v>2</v>
      </c>
      <c r="H1789" s="124" t="str">
        <f ca="1">IFERROR(__xludf.DUMMYFUNCTION("""COMPUTED_VALUE"""),"SHR")</f>
        <v>SHR</v>
      </c>
      <c r="I1789" s="124">
        <f ca="1">IFERROR(__xludf.DUMMYFUNCTION("""COMPUTED_VALUE"""),4)</f>
        <v>4</v>
      </c>
      <c r="J1789" s="124">
        <f ca="1">IFERROR(__xludf.DUMMYFUNCTION("""COMPUTED_VALUE"""),3)</f>
        <v>3</v>
      </c>
      <c r="K1789" s="125">
        <f ca="1">IFERROR(__xludf.DUMMYFUNCTION("""COMPUTED_VALUE"""),42.5)</f>
        <v>42.5</v>
      </c>
      <c r="L1789" s="121"/>
      <c r="M1789" s="125"/>
      <c r="N1789" s="121"/>
      <c r="O1789" s="125">
        <f ca="1">IFERROR(__xludf.DUMMYFUNCTION("""COMPUTED_VALUE"""),42.5)</f>
        <v>42.5</v>
      </c>
      <c r="P1789" s="126"/>
      <c r="Q1789" s="127"/>
      <c r="R1789" s="127"/>
      <c r="S1789" s="127"/>
      <c r="T1789" s="127"/>
    </row>
    <row r="1790" spans="1:20" ht="13.8">
      <c r="A1790" s="118" t="str">
        <f ca="1">IFERROR(__xludf.DUMMYFUNCTION("""COMPUTED_VALUE"""),"SHR")</f>
        <v>SHR</v>
      </c>
      <c r="B1790" s="119" t="str">
        <f ca="1">IFERROR(__xludf.DUMMYFUNCTION("""COMPUTED_VALUE"""),"Adelaide Frame")</f>
        <v>Adelaide Frame</v>
      </c>
      <c r="C1790" s="118">
        <f ca="1">IFERROR(__xludf.DUMMYFUNCTION("""COMPUTED_VALUE"""),6)</f>
        <v>6</v>
      </c>
      <c r="D1790" s="118" t="str">
        <f ca="1">IFERROR(__xludf.DUMMYFUNCTION("""COMPUTED_VALUE"""),"G")</f>
        <v>G</v>
      </c>
      <c r="E1790" s="118" t="str">
        <f ca="1">IFERROR(__xludf.DUMMYFUNCTION("""COMPUTED_VALUE"""),"F")</f>
        <v>F</v>
      </c>
      <c r="F1790" s="124" t="str">
        <f ca="1">IFERROR(__xludf.DUMMYFUNCTION("""COMPUTED_VALUE"""),"J")</f>
        <v>J</v>
      </c>
      <c r="G1790" s="124">
        <f ca="1">IFERROR(__xludf.DUMMYFUNCTION("""COMPUTED_VALUE"""),2)</f>
        <v>2</v>
      </c>
      <c r="H1790" s="124" t="str">
        <f ca="1">IFERROR(__xludf.DUMMYFUNCTION("""COMPUTED_VALUE"""),"SHR")</f>
        <v>SHR</v>
      </c>
      <c r="I1790" s="124">
        <f ca="1">IFERROR(__xludf.DUMMYFUNCTION("""COMPUTED_VALUE"""),4)</f>
        <v>4</v>
      </c>
      <c r="J1790" s="124">
        <f ca="1">IFERROR(__xludf.DUMMYFUNCTION("""COMPUTED_VALUE"""),0)</f>
        <v>0</v>
      </c>
      <c r="K1790" s="125"/>
      <c r="L1790" s="121"/>
      <c r="M1790" s="125"/>
      <c r="N1790" s="121"/>
      <c r="O1790" s="125"/>
      <c r="P1790" s="126"/>
      <c r="Q1790" s="127"/>
      <c r="R1790" s="127"/>
      <c r="S1790" s="127"/>
      <c r="T1790" s="127"/>
    </row>
    <row r="1791" spans="1:20" ht="13.8">
      <c r="A1791" s="118" t="str">
        <f ca="1">IFERROR(__xludf.DUMMYFUNCTION("""COMPUTED_VALUE"""),"SHR")</f>
        <v>SHR</v>
      </c>
      <c r="B1791" s="119" t="str">
        <f ca="1">IFERROR(__xludf.DUMMYFUNCTION("""COMPUTED_VALUE"""),"Aemilia Connolly")</f>
        <v>Aemilia Connolly</v>
      </c>
      <c r="C1791" s="118">
        <f ca="1">IFERROR(__xludf.DUMMYFUNCTION("""COMPUTED_VALUE"""),10)</f>
        <v>10</v>
      </c>
      <c r="D1791" s="118" t="str">
        <f ca="1">IFERROR(__xludf.DUMMYFUNCTION("""COMPUTED_VALUE"""),"G")</f>
        <v>G</v>
      </c>
      <c r="E1791" s="118" t="str">
        <f ca="1">IFERROR(__xludf.DUMMYFUNCTION("""COMPUTED_VALUE"""),"F")</f>
        <v>F</v>
      </c>
      <c r="F1791" s="124" t="str">
        <f ca="1">IFERROR(__xludf.DUMMYFUNCTION("""COMPUTED_VALUE"""),"J")</f>
        <v>J</v>
      </c>
      <c r="G1791" s="124">
        <f ca="1">IFERROR(__xludf.DUMMYFUNCTION("""COMPUTED_VALUE"""),2)</f>
        <v>2</v>
      </c>
      <c r="H1791" s="124" t="str">
        <f ca="1">IFERROR(__xludf.DUMMYFUNCTION("""COMPUTED_VALUE"""),"SHR")</f>
        <v>SHR</v>
      </c>
      <c r="I1791" s="124">
        <f ca="1">IFERROR(__xludf.DUMMYFUNCTION("""COMPUTED_VALUE"""),4)</f>
        <v>4</v>
      </c>
      <c r="J1791" s="124">
        <f ca="1">IFERROR(__xludf.DUMMYFUNCTION("""COMPUTED_VALUE"""),5)</f>
        <v>5</v>
      </c>
      <c r="K1791" s="125">
        <f ca="1">IFERROR(__xludf.DUMMYFUNCTION("""COMPUTED_VALUE"""),55.3)</f>
        <v>55.3</v>
      </c>
      <c r="L1791" s="121"/>
      <c r="M1791" s="125">
        <f ca="1">IFERROR(__xludf.DUMMYFUNCTION("""COMPUTED_VALUE"""),55.3)</f>
        <v>55.3</v>
      </c>
      <c r="N1791" s="121"/>
      <c r="O1791" s="125">
        <f ca="1">IFERROR(__xludf.DUMMYFUNCTION("""COMPUTED_VALUE"""),48.1)</f>
        <v>48.1</v>
      </c>
      <c r="P1791" s="126"/>
      <c r="Q1791" s="127"/>
      <c r="R1791" s="127"/>
      <c r="S1791" s="127"/>
      <c r="T1791" s="127"/>
    </row>
    <row r="1792" spans="1:20" ht="13.8">
      <c r="A1792" s="118" t="str">
        <f ca="1">IFERROR(__xludf.DUMMYFUNCTION("""COMPUTED_VALUE"""),"SHR")</f>
        <v>SHR</v>
      </c>
      <c r="B1792" s="119" t="str">
        <f ca="1">IFERROR(__xludf.DUMMYFUNCTION("""COMPUTED_VALUE"""),"Afton Walter")</f>
        <v>Afton Walter</v>
      </c>
      <c r="C1792" s="118">
        <f ca="1">IFERROR(__xludf.DUMMYFUNCTION("""COMPUTED_VALUE"""),6)</f>
        <v>6</v>
      </c>
      <c r="D1792" s="118" t="str">
        <f ca="1">IFERROR(__xludf.DUMMYFUNCTION("""COMPUTED_VALUE"""),"G")</f>
        <v>G</v>
      </c>
      <c r="E1792" s="118" t="str">
        <f ca="1">IFERROR(__xludf.DUMMYFUNCTION("""COMPUTED_VALUE"""),"F")</f>
        <v>F</v>
      </c>
      <c r="F1792" s="124" t="str">
        <f ca="1">IFERROR(__xludf.DUMMYFUNCTION("""COMPUTED_VALUE"""),"J")</f>
        <v>J</v>
      </c>
      <c r="G1792" s="124">
        <f ca="1">IFERROR(__xludf.DUMMYFUNCTION("""COMPUTED_VALUE"""),2)</f>
        <v>2</v>
      </c>
      <c r="H1792" s="124" t="str">
        <f ca="1">IFERROR(__xludf.DUMMYFUNCTION("""COMPUTED_VALUE"""),"SHR")</f>
        <v>SHR</v>
      </c>
      <c r="I1792" s="124">
        <f ca="1">IFERROR(__xludf.DUMMYFUNCTION("""COMPUTED_VALUE"""),4)</f>
        <v>4</v>
      </c>
      <c r="J1792" s="124">
        <f ca="1">IFERROR(__xludf.DUMMYFUNCTION("""COMPUTED_VALUE"""),0)</f>
        <v>0</v>
      </c>
      <c r="K1792" s="125"/>
      <c r="L1792" s="121"/>
      <c r="M1792" s="125"/>
      <c r="N1792" s="121"/>
      <c r="O1792" s="125"/>
      <c r="P1792" s="126"/>
      <c r="Q1792" s="127"/>
      <c r="R1792" s="127"/>
      <c r="S1792" s="127"/>
      <c r="T1792" s="127"/>
    </row>
    <row r="1793" spans="1:20" ht="13.8">
      <c r="A1793" s="118" t="str">
        <f ca="1">IFERROR(__xludf.DUMMYFUNCTION("""COMPUTED_VALUE"""),"SHR")</f>
        <v>SHR</v>
      </c>
      <c r="B1793" s="119" t="str">
        <f ca="1">IFERROR(__xludf.DUMMYFUNCTION("""COMPUTED_VALUE"""),"Amelia Wisniewski")</f>
        <v>Amelia Wisniewski</v>
      </c>
      <c r="C1793" s="118">
        <f ca="1">IFERROR(__xludf.DUMMYFUNCTION("""COMPUTED_VALUE"""),10)</f>
        <v>10</v>
      </c>
      <c r="D1793" s="118" t="str">
        <f ca="1">IFERROR(__xludf.DUMMYFUNCTION("""COMPUTED_VALUE"""),"G")</f>
        <v>G</v>
      </c>
      <c r="E1793" s="118" t="str">
        <f ca="1">IFERROR(__xludf.DUMMYFUNCTION("""COMPUTED_VALUE"""),"F")</f>
        <v>F</v>
      </c>
      <c r="F1793" s="124" t="str">
        <f ca="1">IFERROR(__xludf.DUMMYFUNCTION("""COMPUTED_VALUE"""),"J")</f>
        <v>J</v>
      </c>
      <c r="G1793" s="124">
        <f ca="1">IFERROR(__xludf.DUMMYFUNCTION("""COMPUTED_VALUE"""),2)</f>
        <v>2</v>
      </c>
      <c r="H1793" s="124" t="str">
        <f ca="1">IFERROR(__xludf.DUMMYFUNCTION("""COMPUTED_VALUE"""),"SHR")</f>
        <v>SHR</v>
      </c>
      <c r="I1793" s="124">
        <f ca="1">IFERROR(__xludf.DUMMYFUNCTION("""COMPUTED_VALUE"""),4)</f>
        <v>4</v>
      </c>
      <c r="J1793" s="124">
        <f ca="1">IFERROR(__xludf.DUMMYFUNCTION("""COMPUTED_VALUE"""),1)</f>
        <v>1</v>
      </c>
      <c r="K1793" s="125">
        <f ca="1">IFERROR(__xludf.DUMMYFUNCTION("""COMPUTED_VALUE"""),26.6)</f>
        <v>26.6</v>
      </c>
      <c r="L1793" s="121"/>
      <c r="M1793" s="125">
        <f ca="1">IFERROR(__xludf.DUMMYFUNCTION("""COMPUTED_VALUE"""),26.6)</f>
        <v>26.6</v>
      </c>
      <c r="N1793" s="121"/>
      <c r="O1793" s="125"/>
      <c r="P1793" s="126"/>
      <c r="Q1793" s="127"/>
      <c r="R1793" s="127"/>
      <c r="S1793" s="127"/>
      <c r="T1793" s="127"/>
    </row>
    <row r="1794" spans="1:20" ht="13.8">
      <c r="A1794" s="118" t="str">
        <f ca="1">IFERROR(__xludf.DUMMYFUNCTION("""COMPUTED_VALUE"""),"SHR")</f>
        <v>SHR</v>
      </c>
      <c r="B1794" s="119" t="str">
        <f ca="1">IFERROR(__xludf.DUMMYFUNCTION("""COMPUTED_VALUE"""),"Audrey Kuoh")</f>
        <v>Audrey Kuoh</v>
      </c>
      <c r="C1794" s="118">
        <f ca="1">IFERROR(__xludf.DUMMYFUNCTION("""COMPUTED_VALUE"""),9)</f>
        <v>9</v>
      </c>
      <c r="D1794" s="118" t="str">
        <f ca="1">IFERROR(__xludf.DUMMYFUNCTION("""COMPUTED_VALUE"""),"G")</f>
        <v>G</v>
      </c>
      <c r="E1794" s="118" t="str">
        <f ca="1">IFERROR(__xludf.DUMMYFUNCTION("""COMPUTED_VALUE"""),"F")</f>
        <v>F</v>
      </c>
      <c r="F1794" s="124" t="str">
        <f ca="1">IFERROR(__xludf.DUMMYFUNCTION("""COMPUTED_VALUE"""),"J")</f>
        <v>J</v>
      </c>
      <c r="G1794" s="124">
        <f ca="1">IFERROR(__xludf.DUMMYFUNCTION("""COMPUTED_VALUE"""),2)</f>
        <v>2</v>
      </c>
      <c r="H1794" s="124" t="str">
        <f ca="1">IFERROR(__xludf.DUMMYFUNCTION("""COMPUTED_VALUE"""),"SHR")</f>
        <v>SHR</v>
      </c>
      <c r="I1794" s="124">
        <f ca="1">IFERROR(__xludf.DUMMYFUNCTION("""COMPUTED_VALUE"""),4)</f>
        <v>4</v>
      </c>
      <c r="J1794" s="124">
        <f ca="1">IFERROR(__xludf.DUMMYFUNCTION("""COMPUTED_VALUE"""),0)</f>
        <v>0</v>
      </c>
      <c r="K1794" s="125"/>
      <c r="L1794" s="121"/>
      <c r="M1794" s="125"/>
      <c r="N1794" s="121"/>
      <c r="O1794" s="125"/>
      <c r="P1794" s="126"/>
      <c r="Q1794" s="127"/>
      <c r="R1794" s="127"/>
      <c r="S1794" s="127"/>
      <c r="T1794" s="127"/>
    </row>
    <row r="1795" spans="1:20" ht="13.8">
      <c r="A1795" s="118" t="str">
        <f ca="1">IFERROR(__xludf.DUMMYFUNCTION("""COMPUTED_VALUE"""),"SHR")</f>
        <v>SHR</v>
      </c>
      <c r="B1795" s="119" t="str">
        <f ca="1">IFERROR(__xludf.DUMMYFUNCTION("""COMPUTED_VALUE"""),"Callie Swanson")</f>
        <v>Callie Swanson</v>
      </c>
      <c r="C1795" s="118">
        <f ca="1">IFERROR(__xludf.DUMMYFUNCTION("""COMPUTED_VALUE"""),8)</f>
        <v>8</v>
      </c>
      <c r="D1795" s="118" t="str">
        <f ca="1">IFERROR(__xludf.DUMMYFUNCTION("""COMPUTED_VALUE"""),"G")</f>
        <v>G</v>
      </c>
      <c r="E1795" s="118" t="str">
        <f ca="1">IFERROR(__xludf.DUMMYFUNCTION("""COMPUTED_VALUE"""),"F")</f>
        <v>F</v>
      </c>
      <c r="F1795" s="124" t="str">
        <f ca="1">IFERROR(__xludf.DUMMYFUNCTION("""COMPUTED_VALUE"""),"J")</f>
        <v>J</v>
      </c>
      <c r="G1795" s="124">
        <f ca="1">IFERROR(__xludf.DUMMYFUNCTION("""COMPUTED_VALUE"""),2)</f>
        <v>2</v>
      </c>
      <c r="H1795" s="124" t="str">
        <f ca="1">IFERROR(__xludf.DUMMYFUNCTION("""COMPUTED_VALUE"""),"SHR")</f>
        <v>SHR</v>
      </c>
      <c r="I1795" s="124">
        <f ca="1">IFERROR(__xludf.DUMMYFUNCTION("""COMPUTED_VALUE"""),4)</f>
        <v>4</v>
      </c>
      <c r="J1795" s="124">
        <f ca="1">IFERROR(__xludf.DUMMYFUNCTION("""COMPUTED_VALUE"""),4)</f>
        <v>4</v>
      </c>
      <c r="K1795" s="125">
        <f ca="1">IFERROR(__xludf.DUMMYFUNCTION("""COMPUTED_VALUE"""),53.4)</f>
        <v>53.4</v>
      </c>
      <c r="L1795" s="121"/>
      <c r="M1795" s="125">
        <f ca="1">IFERROR(__xludf.DUMMYFUNCTION("""COMPUTED_VALUE"""),35.05)</f>
        <v>35.049999999999997</v>
      </c>
      <c r="N1795" s="121"/>
      <c r="O1795" s="125">
        <f ca="1">IFERROR(__xludf.DUMMYFUNCTION("""COMPUTED_VALUE"""),38.7)</f>
        <v>38.700000000000003</v>
      </c>
      <c r="P1795" s="126"/>
      <c r="Q1795" s="127"/>
      <c r="R1795" s="127"/>
      <c r="S1795" s="127"/>
      <c r="T1795" s="127"/>
    </row>
    <row r="1796" spans="1:20" ht="13.8">
      <c r="A1796" s="118" t="str">
        <f ca="1">IFERROR(__xludf.DUMMYFUNCTION("""COMPUTED_VALUE"""),"SHR")</f>
        <v>SHR</v>
      </c>
      <c r="B1796" s="119" t="str">
        <f ca="1">IFERROR(__xludf.DUMMYFUNCTION("""COMPUTED_VALUE"""),"Cana Nguyen")</f>
        <v>Cana Nguyen</v>
      </c>
      <c r="C1796" s="118">
        <f ca="1">IFERROR(__xludf.DUMMYFUNCTION("""COMPUTED_VALUE"""),5)</f>
        <v>5</v>
      </c>
      <c r="D1796" s="118" t="str">
        <f ca="1">IFERROR(__xludf.DUMMYFUNCTION("""COMPUTED_VALUE"""),"G")</f>
        <v>G</v>
      </c>
      <c r="E1796" s="118" t="str">
        <f ca="1">IFERROR(__xludf.DUMMYFUNCTION("""COMPUTED_VALUE"""),"F")</f>
        <v>F</v>
      </c>
      <c r="F1796" s="124" t="str">
        <f ca="1">IFERROR(__xludf.DUMMYFUNCTION("""COMPUTED_VALUE"""),"J")</f>
        <v>J</v>
      </c>
      <c r="G1796" s="124">
        <f ca="1">IFERROR(__xludf.DUMMYFUNCTION("""COMPUTED_VALUE"""),2)</f>
        <v>2</v>
      </c>
      <c r="H1796" s="124" t="str">
        <f ca="1">IFERROR(__xludf.DUMMYFUNCTION("""COMPUTED_VALUE"""),"SHR")</f>
        <v>SHR</v>
      </c>
      <c r="I1796" s="124">
        <f ca="1">IFERROR(__xludf.DUMMYFUNCTION("""COMPUTED_VALUE"""),4)</f>
        <v>4</v>
      </c>
      <c r="J1796" s="124">
        <f ca="1">IFERROR(__xludf.DUMMYFUNCTION("""COMPUTED_VALUE"""),0)</f>
        <v>0</v>
      </c>
      <c r="K1796" s="125"/>
      <c r="L1796" s="121"/>
      <c r="M1796" s="125"/>
      <c r="N1796" s="121"/>
      <c r="O1796" s="125"/>
      <c r="P1796" s="126"/>
      <c r="Q1796" s="127"/>
      <c r="R1796" s="127"/>
      <c r="S1796" s="127"/>
      <c r="T1796" s="127"/>
    </row>
    <row r="1797" spans="1:20" ht="13.8">
      <c r="A1797" s="118" t="str">
        <f ca="1">IFERROR(__xludf.DUMMYFUNCTION("""COMPUTED_VALUE"""),"SHR")</f>
        <v>SHR</v>
      </c>
      <c r="B1797" s="119" t="str">
        <f ca="1">IFERROR(__xludf.DUMMYFUNCTION("""COMPUTED_VALUE"""),"Charlotte Rice")</f>
        <v>Charlotte Rice</v>
      </c>
      <c r="C1797" s="118">
        <f ca="1">IFERROR(__xludf.DUMMYFUNCTION("""COMPUTED_VALUE"""),7)</f>
        <v>7</v>
      </c>
      <c r="D1797" s="118" t="str">
        <f ca="1">IFERROR(__xludf.DUMMYFUNCTION("""COMPUTED_VALUE"""),"G")</f>
        <v>G</v>
      </c>
      <c r="E1797" s="118" t="str">
        <f ca="1">IFERROR(__xludf.DUMMYFUNCTION("""COMPUTED_VALUE"""),"F")</f>
        <v>F</v>
      </c>
      <c r="F1797" s="124" t="str">
        <f ca="1">IFERROR(__xludf.DUMMYFUNCTION("""COMPUTED_VALUE"""),"J")</f>
        <v>J</v>
      </c>
      <c r="G1797" s="124">
        <f ca="1">IFERROR(__xludf.DUMMYFUNCTION("""COMPUTED_VALUE"""),2)</f>
        <v>2</v>
      </c>
      <c r="H1797" s="124" t="str">
        <f ca="1">IFERROR(__xludf.DUMMYFUNCTION("""COMPUTED_VALUE"""),"SHR")</f>
        <v>SHR</v>
      </c>
      <c r="I1797" s="124">
        <f ca="1">IFERROR(__xludf.DUMMYFUNCTION("""COMPUTED_VALUE"""),4)</f>
        <v>4</v>
      </c>
      <c r="J1797" s="124">
        <f ca="1">IFERROR(__xludf.DUMMYFUNCTION("""COMPUTED_VALUE"""),0)</f>
        <v>0</v>
      </c>
      <c r="K1797" s="125"/>
      <c r="L1797" s="121"/>
      <c r="M1797" s="125"/>
      <c r="N1797" s="121"/>
      <c r="O1797" s="125"/>
      <c r="P1797" s="126"/>
      <c r="Q1797" s="127"/>
      <c r="R1797" s="127"/>
      <c r="S1797" s="127"/>
      <c r="T1797" s="127"/>
    </row>
    <row r="1798" spans="1:20" ht="13.8">
      <c r="A1798" s="118" t="str">
        <f ca="1">IFERROR(__xludf.DUMMYFUNCTION("""COMPUTED_VALUE"""),"SHR")</f>
        <v>SHR</v>
      </c>
      <c r="B1798" s="119" t="str">
        <f ca="1">IFERROR(__xludf.DUMMYFUNCTION("""COMPUTED_VALUE"""),"Eleanor Connolly")</f>
        <v>Eleanor Connolly</v>
      </c>
      <c r="C1798" s="118">
        <f ca="1">IFERROR(__xludf.DUMMYFUNCTION("""COMPUTED_VALUE"""),9)</f>
        <v>9</v>
      </c>
      <c r="D1798" s="118" t="str">
        <f ca="1">IFERROR(__xludf.DUMMYFUNCTION("""COMPUTED_VALUE"""),"G")</f>
        <v>G</v>
      </c>
      <c r="E1798" s="118" t="str">
        <f ca="1">IFERROR(__xludf.DUMMYFUNCTION("""COMPUTED_VALUE"""),"F")</f>
        <v>F</v>
      </c>
      <c r="F1798" s="124" t="str">
        <f ca="1">IFERROR(__xludf.DUMMYFUNCTION("""COMPUTED_VALUE"""),"J")</f>
        <v>J</v>
      </c>
      <c r="G1798" s="124">
        <f ca="1">IFERROR(__xludf.DUMMYFUNCTION("""COMPUTED_VALUE"""),2)</f>
        <v>2</v>
      </c>
      <c r="H1798" s="124" t="str">
        <f ca="1">IFERROR(__xludf.DUMMYFUNCTION("""COMPUTED_VALUE"""),"SHR")</f>
        <v>SHR</v>
      </c>
      <c r="I1798" s="124">
        <f ca="1">IFERROR(__xludf.DUMMYFUNCTION("""COMPUTED_VALUE"""),4)</f>
        <v>4</v>
      </c>
      <c r="J1798" s="124">
        <f ca="1">IFERROR(__xludf.DUMMYFUNCTION("""COMPUTED_VALUE"""),4)</f>
        <v>4</v>
      </c>
      <c r="K1798" s="125">
        <f ca="1">IFERROR(__xludf.DUMMYFUNCTION("""COMPUTED_VALUE"""),31.4)</f>
        <v>31.4</v>
      </c>
      <c r="L1798" s="121"/>
      <c r="M1798" s="125">
        <f ca="1">IFERROR(__xludf.DUMMYFUNCTION("""COMPUTED_VALUE"""),31.4)</f>
        <v>31.4</v>
      </c>
      <c r="N1798" s="121"/>
      <c r="O1798" s="125">
        <f ca="1">IFERROR(__xludf.DUMMYFUNCTION("""COMPUTED_VALUE"""),29.1)</f>
        <v>29.1</v>
      </c>
      <c r="P1798" s="126"/>
      <c r="Q1798" s="127"/>
      <c r="R1798" s="127"/>
      <c r="S1798" s="127"/>
      <c r="T1798" s="127"/>
    </row>
    <row r="1799" spans="1:20" ht="13.8">
      <c r="A1799" s="118" t="str">
        <f ca="1">IFERROR(__xludf.DUMMYFUNCTION("""COMPUTED_VALUE"""),"SHR")</f>
        <v>SHR</v>
      </c>
      <c r="B1799" s="119" t="str">
        <f ca="1">IFERROR(__xludf.DUMMYFUNCTION("""COMPUTED_VALUE"""),"Elisa Olson")</f>
        <v>Elisa Olson</v>
      </c>
      <c r="C1799" s="118">
        <f ca="1">IFERROR(__xludf.DUMMYFUNCTION("""COMPUTED_VALUE"""),6)</f>
        <v>6</v>
      </c>
      <c r="D1799" s="118" t="str">
        <f ca="1">IFERROR(__xludf.DUMMYFUNCTION("""COMPUTED_VALUE"""),"G")</f>
        <v>G</v>
      </c>
      <c r="E1799" s="118" t="str">
        <f ca="1">IFERROR(__xludf.DUMMYFUNCTION("""COMPUTED_VALUE"""),"F")</f>
        <v>F</v>
      </c>
      <c r="F1799" s="124" t="str">
        <f ca="1">IFERROR(__xludf.DUMMYFUNCTION("""COMPUTED_VALUE"""),"J")</f>
        <v>J</v>
      </c>
      <c r="G1799" s="124">
        <f ca="1">IFERROR(__xludf.DUMMYFUNCTION("""COMPUTED_VALUE"""),2)</f>
        <v>2</v>
      </c>
      <c r="H1799" s="124" t="str">
        <f ca="1">IFERROR(__xludf.DUMMYFUNCTION("""COMPUTED_VALUE"""),"SHR")</f>
        <v>SHR</v>
      </c>
      <c r="I1799" s="124">
        <f ca="1">IFERROR(__xludf.DUMMYFUNCTION("""COMPUTED_VALUE"""),4)</f>
        <v>4</v>
      </c>
      <c r="J1799" s="124">
        <f ca="1">IFERROR(__xludf.DUMMYFUNCTION("""COMPUTED_VALUE"""),0)</f>
        <v>0</v>
      </c>
      <c r="K1799" s="125"/>
      <c r="L1799" s="121"/>
      <c r="M1799" s="125"/>
      <c r="N1799" s="121"/>
      <c r="O1799" s="125"/>
      <c r="P1799" s="126"/>
      <c r="Q1799" s="127"/>
      <c r="R1799" s="127"/>
      <c r="S1799" s="127"/>
      <c r="T1799" s="127"/>
    </row>
    <row r="1800" spans="1:20" ht="13.8">
      <c r="A1800" s="118" t="str">
        <f ca="1">IFERROR(__xludf.DUMMYFUNCTION("""COMPUTED_VALUE"""),"SHR")</f>
        <v>SHR</v>
      </c>
      <c r="B1800" s="119" t="str">
        <f ca="1">IFERROR(__xludf.DUMMYFUNCTION("""COMPUTED_VALUE"""),"Elizabeth DiVincenzo")</f>
        <v>Elizabeth DiVincenzo</v>
      </c>
      <c r="C1800" s="118">
        <f ca="1">IFERROR(__xludf.DUMMYFUNCTION("""COMPUTED_VALUE"""),9)</f>
        <v>9</v>
      </c>
      <c r="D1800" s="118" t="str">
        <f ca="1">IFERROR(__xludf.DUMMYFUNCTION("""COMPUTED_VALUE"""),"G")</f>
        <v>G</v>
      </c>
      <c r="E1800" s="118" t="str">
        <f ca="1">IFERROR(__xludf.DUMMYFUNCTION("""COMPUTED_VALUE"""),"F")</f>
        <v>F</v>
      </c>
      <c r="F1800" s="124" t="str">
        <f ca="1">IFERROR(__xludf.DUMMYFUNCTION("""COMPUTED_VALUE"""),"J")</f>
        <v>J</v>
      </c>
      <c r="G1800" s="124">
        <f ca="1">IFERROR(__xludf.DUMMYFUNCTION("""COMPUTED_VALUE"""),2)</f>
        <v>2</v>
      </c>
      <c r="H1800" s="124" t="str">
        <f ca="1">IFERROR(__xludf.DUMMYFUNCTION("""COMPUTED_VALUE"""),"SHR")</f>
        <v>SHR</v>
      </c>
      <c r="I1800" s="124">
        <f ca="1">IFERROR(__xludf.DUMMYFUNCTION("""COMPUTED_VALUE"""),4)</f>
        <v>4</v>
      </c>
      <c r="J1800" s="124">
        <f ca="1">IFERROR(__xludf.DUMMYFUNCTION("""COMPUTED_VALUE"""),2)</f>
        <v>2</v>
      </c>
      <c r="K1800" s="125">
        <f ca="1">IFERROR(__xludf.DUMMYFUNCTION("""COMPUTED_VALUE"""),46.35)</f>
        <v>46.35</v>
      </c>
      <c r="L1800" s="121"/>
      <c r="M1800" s="125"/>
      <c r="N1800" s="121"/>
      <c r="O1800" s="125"/>
      <c r="P1800" s="126"/>
      <c r="Q1800" s="127"/>
      <c r="R1800" s="127"/>
      <c r="S1800" s="127"/>
      <c r="T1800" s="127"/>
    </row>
    <row r="1801" spans="1:20" ht="13.8">
      <c r="A1801" s="118" t="str">
        <f ca="1">IFERROR(__xludf.DUMMYFUNCTION("""COMPUTED_VALUE"""),"SHR")</f>
        <v>SHR</v>
      </c>
      <c r="B1801" s="119" t="str">
        <f ca="1">IFERROR(__xludf.DUMMYFUNCTION("""COMPUTED_VALUE"""),"Evangeline Thome")</f>
        <v>Evangeline Thome</v>
      </c>
      <c r="C1801" s="118">
        <f ca="1">IFERROR(__xludf.DUMMYFUNCTION("""COMPUTED_VALUE"""),10)</f>
        <v>10</v>
      </c>
      <c r="D1801" s="118" t="str">
        <f ca="1">IFERROR(__xludf.DUMMYFUNCTION("""COMPUTED_VALUE"""),"G")</f>
        <v>G</v>
      </c>
      <c r="E1801" s="118" t="str">
        <f ca="1">IFERROR(__xludf.DUMMYFUNCTION("""COMPUTED_VALUE"""),"F")</f>
        <v>F</v>
      </c>
      <c r="F1801" s="124" t="str">
        <f ca="1">IFERROR(__xludf.DUMMYFUNCTION("""COMPUTED_VALUE"""),"J")</f>
        <v>J</v>
      </c>
      <c r="G1801" s="124">
        <f ca="1">IFERROR(__xludf.DUMMYFUNCTION("""COMPUTED_VALUE"""),2)</f>
        <v>2</v>
      </c>
      <c r="H1801" s="124" t="str">
        <f ca="1">IFERROR(__xludf.DUMMYFUNCTION("""COMPUTED_VALUE"""),"SHR")</f>
        <v>SHR</v>
      </c>
      <c r="I1801" s="124">
        <f ca="1">IFERROR(__xludf.DUMMYFUNCTION("""COMPUTED_VALUE"""),4)</f>
        <v>4</v>
      </c>
      <c r="J1801" s="124">
        <f ca="1">IFERROR(__xludf.DUMMYFUNCTION("""COMPUTED_VALUE"""),3)</f>
        <v>3</v>
      </c>
      <c r="K1801" s="125">
        <f ca="1">IFERROR(__xludf.DUMMYFUNCTION("""COMPUTED_VALUE"""),65.25)</f>
        <v>65.25</v>
      </c>
      <c r="L1801" s="121"/>
      <c r="M1801" s="125">
        <f ca="1">IFERROR(__xludf.DUMMYFUNCTION("""COMPUTED_VALUE"""),52)</f>
        <v>52</v>
      </c>
      <c r="N1801" s="121"/>
      <c r="O1801" s="125"/>
      <c r="P1801" s="126"/>
      <c r="Q1801" s="127"/>
      <c r="R1801" s="127"/>
      <c r="S1801" s="127"/>
      <c r="T1801" s="127"/>
    </row>
    <row r="1802" spans="1:20" ht="13.8">
      <c r="A1802" s="118" t="str">
        <f ca="1">IFERROR(__xludf.DUMMYFUNCTION("""COMPUTED_VALUE"""),"SHR")</f>
        <v>SHR</v>
      </c>
      <c r="B1802" s="119" t="str">
        <f ca="1">IFERROR(__xludf.DUMMYFUNCTION("""COMPUTED_VALUE"""),"Fiona Whatley")</f>
        <v>Fiona Whatley</v>
      </c>
      <c r="C1802" s="118">
        <f ca="1">IFERROR(__xludf.DUMMYFUNCTION("""COMPUTED_VALUE"""),9)</f>
        <v>9</v>
      </c>
      <c r="D1802" s="118" t="str">
        <f ca="1">IFERROR(__xludf.DUMMYFUNCTION("""COMPUTED_VALUE"""),"G")</f>
        <v>G</v>
      </c>
      <c r="E1802" s="118" t="str">
        <f ca="1">IFERROR(__xludf.DUMMYFUNCTION("""COMPUTED_VALUE"""),"F")</f>
        <v>F</v>
      </c>
      <c r="F1802" s="124" t="str">
        <f ca="1">IFERROR(__xludf.DUMMYFUNCTION("""COMPUTED_VALUE"""),"J")</f>
        <v>J</v>
      </c>
      <c r="G1802" s="124">
        <f ca="1">IFERROR(__xludf.DUMMYFUNCTION("""COMPUTED_VALUE"""),2)</f>
        <v>2</v>
      </c>
      <c r="H1802" s="124" t="str">
        <f ca="1">IFERROR(__xludf.DUMMYFUNCTION("""COMPUTED_VALUE"""),"SHR")</f>
        <v>SHR</v>
      </c>
      <c r="I1802" s="124">
        <f ca="1">IFERROR(__xludf.DUMMYFUNCTION("""COMPUTED_VALUE"""),4)</f>
        <v>4</v>
      </c>
      <c r="J1802" s="124">
        <f ca="1">IFERROR(__xludf.DUMMYFUNCTION("""COMPUTED_VALUE"""),0)</f>
        <v>0</v>
      </c>
      <c r="K1802" s="125"/>
      <c r="L1802" s="121"/>
      <c r="M1802" s="125"/>
      <c r="N1802" s="121"/>
      <c r="O1802" s="125"/>
      <c r="P1802" s="126"/>
      <c r="Q1802" s="127"/>
      <c r="R1802" s="127"/>
      <c r="S1802" s="127"/>
      <c r="T1802" s="127"/>
    </row>
    <row r="1803" spans="1:20" ht="13.8">
      <c r="A1803" s="118" t="str">
        <f ca="1">IFERROR(__xludf.DUMMYFUNCTION("""COMPUTED_VALUE"""),"SHR")</f>
        <v>SHR</v>
      </c>
      <c r="B1803" s="119" t="str">
        <f ca="1">IFERROR(__xludf.DUMMYFUNCTION("""COMPUTED_VALUE"""),"Frankie Eckenrode")</f>
        <v>Frankie Eckenrode</v>
      </c>
      <c r="C1803" s="118">
        <f ca="1">IFERROR(__xludf.DUMMYFUNCTION("""COMPUTED_VALUE"""),7)</f>
        <v>7</v>
      </c>
      <c r="D1803" s="118" t="str">
        <f ca="1">IFERROR(__xludf.DUMMYFUNCTION("""COMPUTED_VALUE"""),"G")</f>
        <v>G</v>
      </c>
      <c r="E1803" s="118" t="str">
        <f ca="1">IFERROR(__xludf.DUMMYFUNCTION("""COMPUTED_VALUE"""),"F")</f>
        <v>F</v>
      </c>
      <c r="F1803" s="124" t="str">
        <f ca="1">IFERROR(__xludf.DUMMYFUNCTION("""COMPUTED_VALUE"""),"J")</f>
        <v>J</v>
      </c>
      <c r="G1803" s="124">
        <f ca="1">IFERROR(__xludf.DUMMYFUNCTION("""COMPUTED_VALUE"""),2)</f>
        <v>2</v>
      </c>
      <c r="H1803" s="124" t="str">
        <f ca="1">IFERROR(__xludf.DUMMYFUNCTION("""COMPUTED_VALUE"""),"SHR")</f>
        <v>SHR</v>
      </c>
      <c r="I1803" s="124">
        <f ca="1">IFERROR(__xludf.DUMMYFUNCTION("""COMPUTED_VALUE"""),4)</f>
        <v>4</v>
      </c>
      <c r="J1803" s="124">
        <f ca="1">IFERROR(__xludf.DUMMYFUNCTION("""COMPUTED_VALUE"""),0)</f>
        <v>0</v>
      </c>
      <c r="K1803" s="125"/>
      <c r="L1803" s="121"/>
      <c r="M1803" s="125"/>
      <c r="N1803" s="121"/>
      <c r="O1803" s="125"/>
      <c r="P1803" s="126"/>
      <c r="Q1803" s="127"/>
      <c r="R1803" s="127"/>
      <c r="S1803" s="127"/>
      <c r="T1803" s="127"/>
    </row>
    <row r="1804" spans="1:20" ht="13.8">
      <c r="A1804" s="118" t="str">
        <f ca="1">IFERROR(__xludf.DUMMYFUNCTION("""COMPUTED_VALUE"""),"SHR")</f>
        <v>SHR</v>
      </c>
      <c r="B1804" s="119" t="str">
        <f ca="1">IFERROR(__xludf.DUMMYFUNCTION("""COMPUTED_VALUE"""),"Georgie Marra")</f>
        <v>Georgie Marra</v>
      </c>
      <c r="C1804" s="118">
        <f ca="1">IFERROR(__xludf.DUMMYFUNCTION("""COMPUTED_VALUE"""),6)</f>
        <v>6</v>
      </c>
      <c r="D1804" s="118" t="str">
        <f ca="1">IFERROR(__xludf.DUMMYFUNCTION("""COMPUTED_VALUE"""),"G")</f>
        <v>G</v>
      </c>
      <c r="E1804" s="118" t="str">
        <f ca="1">IFERROR(__xludf.DUMMYFUNCTION("""COMPUTED_VALUE"""),"F")</f>
        <v>F</v>
      </c>
      <c r="F1804" s="124" t="str">
        <f ca="1">IFERROR(__xludf.DUMMYFUNCTION("""COMPUTED_VALUE"""),"J")</f>
        <v>J</v>
      </c>
      <c r="G1804" s="124">
        <f ca="1">IFERROR(__xludf.DUMMYFUNCTION("""COMPUTED_VALUE"""),2)</f>
        <v>2</v>
      </c>
      <c r="H1804" s="124" t="str">
        <f ca="1">IFERROR(__xludf.DUMMYFUNCTION("""COMPUTED_VALUE"""),"SHR")</f>
        <v>SHR</v>
      </c>
      <c r="I1804" s="124">
        <f ca="1">IFERROR(__xludf.DUMMYFUNCTION("""COMPUTED_VALUE"""),4)</f>
        <v>4</v>
      </c>
      <c r="J1804" s="124">
        <f ca="1">IFERROR(__xludf.DUMMYFUNCTION("""COMPUTED_VALUE"""),0)</f>
        <v>0</v>
      </c>
      <c r="K1804" s="125"/>
      <c r="L1804" s="121"/>
      <c r="M1804" s="125"/>
      <c r="N1804" s="121"/>
      <c r="O1804" s="125"/>
      <c r="P1804" s="126"/>
      <c r="Q1804" s="127"/>
      <c r="R1804" s="127"/>
      <c r="S1804" s="127"/>
      <c r="T1804" s="127"/>
    </row>
    <row r="1805" spans="1:20" ht="13.8">
      <c r="A1805" s="118" t="str">
        <f ca="1">IFERROR(__xludf.DUMMYFUNCTION("""COMPUTED_VALUE"""),"SHR")</f>
        <v>SHR</v>
      </c>
      <c r="B1805" s="119" t="str">
        <f ca="1">IFERROR(__xludf.DUMMYFUNCTION("""COMPUTED_VALUE"""),"Hadley Chen")</f>
        <v>Hadley Chen</v>
      </c>
      <c r="C1805" s="118">
        <f ca="1">IFERROR(__xludf.DUMMYFUNCTION("""COMPUTED_VALUE"""),6)</f>
        <v>6</v>
      </c>
      <c r="D1805" s="118" t="str">
        <f ca="1">IFERROR(__xludf.DUMMYFUNCTION("""COMPUTED_VALUE"""),"G")</f>
        <v>G</v>
      </c>
      <c r="E1805" s="118" t="str">
        <f ca="1">IFERROR(__xludf.DUMMYFUNCTION("""COMPUTED_VALUE"""),"F")</f>
        <v>F</v>
      </c>
      <c r="F1805" s="124" t="str">
        <f ca="1">IFERROR(__xludf.DUMMYFUNCTION("""COMPUTED_VALUE"""),"J")</f>
        <v>J</v>
      </c>
      <c r="G1805" s="124">
        <f ca="1">IFERROR(__xludf.DUMMYFUNCTION("""COMPUTED_VALUE"""),2)</f>
        <v>2</v>
      </c>
      <c r="H1805" s="124" t="str">
        <f ca="1">IFERROR(__xludf.DUMMYFUNCTION("""COMPUTED_VALUE"""),"SHR")</f>
        <v>SHR</v>
      </c>
      <c r="I1805" s="124">
        <f ca="1">IFERROR(__xludf.DUMMYFUNCTION("""COMPUTED_VALUE"""),4)</f>
        <v>4</v>
      </c>
      <c r="J1805" s="124">
        <f ca="1">IFERROR(__xludf.DUMMYFUNCTION("""COMPUTED_VALUE"""),0)</f>
        <v>0</v>
      </c>
      <c r="K1805" s="125"/>
      <c r="L1805" s="121"/>
      <c r="M1805" s="125"/>
      <c r="N1805" s="121"/>
      <c r="O1805" s="125"/>
      <c r="P1805" s="126"/>
      <c r="Q1805" s="127"/>
      <c r="R1805" s="127"/>
      <c r="S1805" s="127"/>
      <c r="T1805" s="127"/>
    </row>
    <row r="1806" spans="1:20" ht="13.8">
      <c r="A1806" s="118" t="str">
        <f ca="1">IFERROR(__xludf.DUMMYFUNCTION("""COMPUTED_VALUE"""),"SHR")</f>
        <v>SHR</v>
      </c>
      <c r="B1806" s="119" t="str">
        <f ca="1">IFERROR(__xludf.DUMMYFUNCTION("""COMPUTED_VALUE"""),"Harper Vida")</f>
        <v>Harper Vida</v>
      </c>
      <c r="C1806" s="118">
        <f ca="1">IFERROR(__xludf.DUMMYFUNCTION("""COMPUTED_VALUE"""),9)</f>
        <v>9</v>
      </c>
      <c r="D1806" s="118" t="str">
        <f ca="1">IFERROR(__xludf.DUMMYFUNCTION("""COMPUTED_VALUE"""),"G")</f>
        <v>G</v>
      </c>
      <c r="E1806" s="118" t="str">
        <f ca="1">IFERROR(__xludf.DUMMYFUNCTION("""COMPUTED_VALUE"""),"F")</f>
        <v>F</v>
      </c>
      <c r="F1806" s="124" t="str">
        <f ca="1">IFERROR(__xludf.DUMMYFUNCTION("""COMPUTED_VALUE"""),"J")</f>
        <v>J</v>
      </c>
      <c r="G1806" s="124">
        <f ca="1">IFERROR(__xludf.DUMMYFUNCTION("""COMPUTED_VALUE"""),2)</f>
        <v>2</v>
      </c>
      <c r="H1806" s="124" t="str">
        <f ca="1">IFERROR(__xludf.DUMMYFUNCTION("""COMPUTED_VALUE"""),"SHR")</f>
        <v>SHR</v>
      </c>
      <c r="I1806" s="124">
        <f ca="1">IFERROR(__xludf.DUMMYFUNCTION("""COMPUTED_VALUE"""),4)</f>
        <v>4</v>
      </c>
      <c r="J1806" s="124">
        <f ca="1">IFERROR(__xludf.DUMMYFUNCTION("""COMPUTED_VALUE"""),4)</f>
        <v>4</v>
      </c>
      <c r="K1806" s="125">
        <f ca="1">IFERROR(__xludf.DUMMYFUNCTION("""COMPUTED_VALUE"""),60.75)</f>
        <v>60.75</v>
      </c>
      <c r="L1806" s="121"/>
      <c r="M1806" s="125">
        <f ca="1">IFERROR(__xludf.DUMMYFUNCTION("""COMPUTED_VALUE"""),58.3)</f>
        <v>58.3</v>
      </c>
      <c r="N1806" s="121"/>
      <c r="O1806" s="125">
        <f ca="1">IFERROR(__xludf.DUMMYFUNCTION("""COMPUTED_VALUE"""),51.65)</f>
        <v>51.65</v>
      </c>
      <c r="P1806" s="126"/>
      <c r="Q1806" s="127"/>
      <c r="R1806" s="127"/>
      <c r="S1806" s="127"/>
      <c r="T1806" s="127"/>
    </row>
    <row r="1807" spans="1:20" ht="13.8">
      <c r="A1807" s="118" t="str">
        <f ca="1">IFERROR(__xludf.DUMMYFUNCTION("""COMPUTED_VALUE"""),"SHR")</f>
        <v>SHR</v>
      </c>
      <c r="B1807" s="119" t="str">
        <f ca="1">IFERROR(__xludf.DUMMYFUNCTION("""COMPUTED_VALUE"""),"Jourdan Evans")</f>
        <v>Jourdan Evans</v>
      </c>
      <c r="C1807" s="118">
        <f ca="1">IFERROR(__xludf.DUMMYFUNCTION("""COMPUTED_VALUE"""),6)</f>
        <v>6</v>
      </c>
      <c r="D1807" s="118" t="str">
        <f ca="1">IFERROR(__xludf.DUMMYFUNCTION("""COMPUTED_VALUE"""),"G")</f>
        <v>G</v>
      </c>
      <c r="E1807" s="118" t="str">
        <f ca="1">IFERROR(__xludf.DUMMYFUNCTION("""COMPUTED_VALUE"""),"F")</f>
        <v>F</v>
      </c>
      <c r="F1807" s="124" t="str">
        <f ca="1">IFERROR(__xludf.DUMMYFUNCTION("""COMPUTED_VALUE"""),"J")</f>
        <v>J</v>
      </c>
      <c r="G1807" s="124">
        <f ca="1">IFERROR(__xludf.DUMMYFUNCTION("""COMPUTED_VALUE"""),2)</f>
        <v>2</v>
      </c>
      <c r="H1807" s="124" t="str">
        <f ca="1">IFERROR(__xludf.DUMMYFUNCTION("""COMPUTED_VALUE"""),"SHR")</f>
        <v>SHR</v>
      </c>
      <c r="I1807" s="124">
        <f ca="1">IFERROR(__xludf.DUMMYFUNCTION("""COMPUTED_VALUE"""),4)</f>
        <v>4</v>
      </c>
      <c r="J1807" s="124">
        <f ca="1">IFERROR(__xludf.DUMMYFUNCTION("""COMPUTED_VALUE"""),0)</f>
        <v>0</v>
      </c>
      <c r="K1807" s="125"/>
      <c r="L1807" s="121"/>
      <c r="M1807" s="125"/>
      <c r="N1807" s="121"/>
      <c r="O1807" s="125"/>
      <c r="P1807" s="126"/>
      <c r="Q1807" s="127"/>
      <c r="R1807" s="127"/>
      <c r="S1807" s="127"/>
      <c r="T1807" s="127"/>
    </row>
    <row r="1808" spans="1:20" ht="13.8">
      <c r="A1808" s="118" t="str">
        <f ca="1">IFERROR(__xludf.DUMMYFUNCTION("""COMPUTED_VALUE"""),"SHR")</f>
        <v>SHR</v>
      </c>
      <c r="B1808" s="119" t="str">
        <f ca="1">IFERROR(__xludf.DUMMYFUNCTION("""COMPUTED_VALUE"""),"Kathryn Miller")</f>
        <v>Kathryn Miller</v>
      </c>
      <c r="C1808" s="118">
        <f ca="1">IFERROR(__xludf.DUMMYFUNCTION("""COMPUTED_VALUE"""),10)</f>
        <v>10</v>
      </c>
      <c r="D1808" s="118" t="str">
        <f ca="1">IFERROR(__xludf.DUMMYFUNCTION("""COMPUTED_VALUE"""),"G")</f>
        <v>G</v>
      </c>
      <c r="E1808" s="118" t="str">
        <f ca="1">IFERROR(__xludf.DUMMYFUNCTION("""COMPUTED_VALUE"""),"F")</f>
        <v>F</v>
      </c>
      <c r="F1808" s="124" t="str">
        <f ca="1">IFERROR(__xludf.DUMMYFUNCTION("""COMPUTED_VALUE"""),"J")</f>
        <v>J</v>
      </c>
      <c r="G1808" s="124">
        <f ca="1">IFERROR(__xludf.DUMMYFUNCTION("""COMPUTED_VALUE"""),2)</f>
        <v>2</v>
      </c>
      <c r="H1808" s="124" t="str">
        <f ca="1">IFERROR(__xludf.DUMMYFUNCTION("""COMPUTED_VALUE"""),"SHR")</f>
        <v>SHR</v>
      </c>
      <c r="I1808" s="124">
        <f ca="1">IFERROR(__xludf.DUMMYFUNCTION("""COMPUTED_VALUE"""),4)</f>
        <v>4</v>
      </c>
      <c r="J1808" s="124">
        <f ca="1">IFERROR(__xludf.DUMMYFUNCTION("""COMPUTED_VALUE"""),0)</f>
        <v>0</v>
      </c>
      <c r="K1808" s="125"/>
      <c r="L1808" s="121"/>
      <c r="M1808" s="125"/>
      <c r="N1808" s="121"/>
      <c r="O1808" s="125"/>
      <c r="P1808" s="126"/>
      <c r="Q1808" s="127"/>
      <c r="R1808" s="127"/>
      <c r="S1808" s="127"/>
      <c r="T1808" s="127"/>
    </row>
    <row r="1809" spans="1:20" ht="13.8">
      <c r="A1809" s="118" t="str">
        <f ca="1">IFERROR(__xludf.DUMMYFUNCTION("""COMPUTED_VALUE"""),"SHR")</f>
        <v>SHR</v>
      </c>
      <c r="B1809" s="119" t="str">
        <f ca="1">IFERROR(__xludf.DUMMYFUNCTION("""COMPUTED_VALUE"""),"Lily Brubeck")</f>
        <v>Lily Brubeck</v>
      </c>
      <c r="C1809" s="118">
        <f ca="1">IFERROR(__xludf.DUMMYFUNCTION("""COMPUTED_VALUE"""),6)</f>
        <v>6</v>
      </c>
      <c r="D1809" s="118" t="str">
        <f ca="1">IFERROR(__xludf.DUMMYFUNCTION("""COMPUTED_VALUE"""),"G")</f>
        <v>G</v>
      </c>
      <c r="E1809" s="118" t="str">
        <f ca="1">IFERROR(__xludf.DUMMYFUNCTION("""COMPUTED_VALUE"""),"F")</f>
        <v>F</v>
      </c>
      <c r="F1809" s="124" t="str">
        <f ca="1">IFERROR(__xludf.DUMMYFUNCTION("""COMPUTED_VALUE"""),"J")</f>
        <v>J</v>
      </c>
      <c r="G1809" s="124">
        <f ca="1">IFERROR(__xludf.DUMMYFUNCTION("""COMPUTED_VALUE"""),2)</f>
        <v>2</v>
      </c>
      <c r="H1809" s="124" t="str">
        <f ca="1">IFERROR(__xludf.DUMMYFUNCTION("""COMPUTED_VALUE"""),"SHR")</f>
        <v>SHR</v>
      </c>
      <c r="I1809" s="124">
        <f ca="1">IFERROR(__xludf.DUMMYFUNCTION("""COMPUTED_VALUE"""),4)</f>
        <v>4</v>
      </c>
      <c r="J1809" s="124">
        <f ca="1">IFERROR(__xludf.DUMMYFUNCTION("""COMPUTED_VALUE"""),0)</f>
        <v>0</v>
      </c>
      <c r="K1809" s="125"/>
      <c r="L1809" s="121"/>
      <c r="M1809" s="125"/>
      <c r="N1809" s="121"/>
      <c r="O1809" s="125"/>
      <c r="P1809" s="126"/>
      <c r="Q1809" s="127"/>
      <c r="R1809" s="127"/>
      <c r="S1809" s="127"/>
      <c r="T1809" s="127"/>
    </row>
    <row r="1810" spans="1:20" ht="13.8">
      <c r="A1810" s="118" t="str">
        <f ca="1">IFERROR(__xludf.DUMMYFUNCTION("""COMPUTED_VALUE"""),"SHR")</f>
        <v>SHR</v>
      </c>
      <c r="B1810" s="119" t="str">
        <f ca="1">IFERROR(__xludf.DUMMYFUNCTION("""COMPUTED_VALUE"""),"Luciana Fernandez")</f>
        <v>Luciana Fernandez</v>
      </c>
      <c r="C1810" s="118">
        <f ca="1">IFERROR(__xludf.DUMMYFUNCTION("""COMPUTED_VALUE"""),10)</f>
        <v>10</v>
      </c>
      <c r="D1810" s="118" t="str">
        <f ca="1">IFERROR(__xludf.DUMMYFUNCTION("""COMPUTED_VALUE"""),"G")</f>
        <v>G</v>
      </c>
      <c r="E1810" s="118" t="str">
        <f ca="1">IFERROR(__xludf.DUMMYFUNCTION("""COMPUTED_VALUE"""),"F")</f>
        <v>F</v>
      </c>
      <c r="F1810" s="124" t="str">
        <f ca="1">IFERROR(__xludf.DUMMYFUNCTION("""COMPUTED_VALUE"""),"J")</f>
        <v>J</v>
      </c>
      <c r="G1810" s="124">
        <f ca="1">IFERROR(__xludf.DUMMYFUNCTION("""COMPUTED_VALUE"""),2)</f>
        <v>2</v>
      </c>
      <c r="H1810" s="124" t="str">
        <f ca="1">IFERROR(__xludf.DUMMYFUNCTION("""COMPUTED_VALUE"""),"SHR")</f>
        <v>SHR</v>
      </c>
      <c r="I1810" s="124">
        <f ca="1">IFERROR(__xludf.DUMMYFUNCTION("""COMPUTED_VALUE"""),4)</f>
        <v>4</v>
      </c>
      <c r="J1810" s="124">
        <f ca="1">IFERROR(__xludf.DUMMYFUNCTION("""COMPUTED_VALUE"""),1)</f>
        <v>1</v>
      </c>
      <c r="K1810" s="125"/>
      <c r="L1810" s="121"/>
      <c r="M1810" s="125"/>
      <c r="N1810" s="121"/>
      <c r="O1810" s="125"/>
      <c r="P1810" s="126"/>
      <c r="Q1810" s="127"/>
      <c r="R1810" s="127"/>
      <c r="S1810" s="127"/>
      <c r="T1810" s="127"/>
    </row>
    <row r="1811" spans="1:20" ht="13.8">
      <c r="A1811" s="118" t="str">
        <f ca="1">IFERROR(__xludf.DUMMYFUNCTION("""COMPUTED_VALUE"""),"SHR")</f>
        <v>SHR</v>
      </c>
      <c r="B1811" s="119" t="str">
        <f ca="1">IFERROR(__xludf.DUMMYFUNCTION("""COMPUTED_VALUE"""),"Myla Metzger")</f>
        <v>Myla Metzger</v>
      </c>
      <c r="C1811" s="118">
        <f ca="1">IFERROR(__xludf.DUMMYFUNCTION("""COMPUTED_VALUE"""),8)</f>
        <v>8</v>
      </c>
      <c r="D1811" s="118" t="str">
        <f ca="1">IFERROR(__xludf.DUMMYFUNCTION("""COMPUTED_VALUE"""),"G")</f>
        <v>G</v>
      </c>
      <c r="E1811" s="118" t="str">
        <f ca="1">IFERROR(__xludf.DUMMYFUNCTION("""COMPUTED_VALUE"""),"F")</f>
        <v>F</v>
      </c>
      <c r="F1811" s="124" t="str">
        <f ca="1">IFERROR(__xludf.DUMMYFUNCTION("""COMPUTED_VALUE"""),"J")</f>
        <v>J</v>
      </c>
      <c r="G1811" s="124">
        <f ca="1">IFERROR(__xludf.DUMMYFUNCTION("""COMPUTED_VALUE"""),2)</f>
        <v>2</v>
      </c>
      <c r="H1811" s="124" t="str">
        <f ca="1">IFERROR(__xludf.DUMMYFUNCTION("""COMPUTED_VALUE"""),"SHR")</f>
        <v>SHR</v>
      </c>
      <c r="I1811" s="124">
        <f ca="1">IFERROR(__xludf.DUMMYFUNCTION("""COMPUTED_VALUE"""),4)</f>
        <v>4</v>
      </c>
      <c r="J1811" s="124">
        <f ca="1">IFERROR(__xludf.DUMMYFUNCTION("""COMPUTED_VALUE"""),2)</f>
        <v>2</v>
      </c>
      <c r="K1811" s="125">
        <f ca="1">IFERROR(__xludf.DUMMYFUNCTION("""COMPUTED_VALUE"""),56.45)</f>
        <v>56.45</v>
      </c>
      <c r="L1811" s="121"/>
      <c r="M1811" s="125"/>
      <c r="N1811" s="121"/>
      <c r="O1811" s="125"/>
      <c r="P1811" s="126"/>
      <c r="Q1811" s="127"/>
      <c r="R1811" s="127"/>
      <c r="S1811" s="127"/>
      <c r="T1811" s="127"/>
    </row>
    <row r="1812" spans="1:20" ht="13.8">
      <c r="A1812" s="118" t="str">
        <f ca="1">IFERROR(__xludf.DUMMYFUNCTION("""COMPUTED_VALUE"""),"SHR")</f>
        <v>SHR</v>
      </c>
      <c r="B1812" s="119" t="str">
        <f ca="1">IFERROR(__xludf.DUMMYFUNCTION("""COMPUTED_VALUE"""),"Nelly Vainsencher")</f>
        <v>Nelly Vainsencher</v>
      </c>
      <c r="C1812" s="118">
        <f ca="1">IFERROR(__xludf.DUMMYFUNCTION("""COMPUTED_VALUE"""),7)</f>
        <v>7</v>
      </c>
      <c r="D1812" s="118" t="str">
        <f ca="1">IFERROR(__xludf.DUMMYFUNCTION("""COMPUTED_VALUE"""),"G")</f>
        <v>G</v>
      </c>
      <c r="E1812" s="118" t="str">
        <f ca="1">IFERROR(__xludf.DUMMYFUNCTION("""COMPUTED_VALUE"""),"F")</f>
        <v>F</v>
      </c>
      <c r="F1812" s="124" t="str">
        <f ca="1">IFERROR(__xludf.DUMMYFUNCTION("""COMPUTED_VALUE"""),"J")</f>
        <v>J</v>
      </c>
      <c r="G1812" s="124">
        <f ca="1">IFERROR(__xludf.DUMMYFUNCTION("""COMPUTED_VALUE"""),2)</f>
        <v>2</v>
      </c>
      <c r="H1812" s="124" t="str">
        <f ca="1">IFERROR(__xludf.DUMMYFUNCTION("""COMPUTED_VALUE"""),"SHR")</f>
        <v>SHR</v>
      </c>
      <c r="I1812" s="124">
        <f ca="1">IFERROR(__xludf.DUMMYFUNCTION("""COMPUTED_VALUE"""),4)</f>
        <v>4</v>
      </c>
      <c r="J1812" s="124">
        <f ca="1">IFERROR(__xludf.DUMMYFUNCTION("""COMPUTED_VALUE"""),0)</f>
        <v>0</v>
      </c>
      <c r="K1812" s="125"/>
      <c r="L1812" s="121"/>
      <c r="M1812" s="125"/>
      <c r="N1812" s="121"/>
      <c r="O1812" s="125"/>
      <c r="P1812" s="126"/>
      <c r="Q1812" s="127"/>
      <c r="R1812" s="127"/>
      <c r="S1812" s="127"/>
      <c r="T1812" s="127"/>
    </row>
    <row r="1813" spans="1:20" ht="13.8">
      <c r="A1813" s="118" t="str">
        <f ca="1">IFERROR(__xludf.DUMMYFUNCTION("""COMPUTED_VALUE"""),"SHR")</f>
        <v>SHR</v>
      </c>
      <c r="B1813" s="119" t="str">
        <f ca="1">IFERROR(__xludf.DUMMYFUNCTION("""COMPUTED_VALUE"""),"Olivia Chen")</f>
        <v>Olivia Chen</v>
      </c>
      <c r="C1813" s="118">
        <f ca="1">IFERROR(__xludf.DUMMYFUNCTION("""COMPUTED_VALUE"""),9)</f>
        <v>9</v>
      </c>
      <c r="D1813" s="118" t="str">
        <f ca="1">IFERROR(__xludf.DUMMYFUNCTION("""COMPUTED_VALUE"""),"G")</f>
        <v>G</v>
      </c>
      <c r="E1813" s="118" t="str">
        <f ca="1">IFERROR(__xludf.DUMMYFUNCTION("""COMPUTED_VALUE"""),"F")</f>
        <v>F</v>
      </c>
      <c r="F1813" s="124" t="str">
        <f ca="1">IFERROR(__xludf.DUMMYFUNCTION("""COMPUTED_VALUE"""),"J")</f>
        <v>J</v>
      </c>
      <c r="G1813" s="124">
        <f ca="1">IFERROR(__xludf.DUMMYFUNCTION("""COMPUTED_VALUE"""),2)</f>
        <v>2</v>
      </c>
      <c r="H1813" s="124" t="str">
        <f ca="1">IFERROR(__xludf.DUMMYFUNCTION("""COMPUTED_VALUE"""),"SHR")</f>
        <v>SHR</v>
      </c>
      <c r="I1813" s="124">
        <f ca="1">IFERROR(__xludf.DUMMYFUNCTION("""COMPUTED_VALUE"""),4)</f>
        <v>4</v>
      </c>
      <c r="J1813" s="124">
        <f ca="1">IFERROR(__xludf.DUMMYFUNCTION("""COMPUTED_VALUE"""),0)</f>
        <v>0</v>
      </c>
      <c r="K1813" s="125"/>
      <c r="L1813" s="121"/>
      <c r="M1813" s="125"/>
      <c r="N1813" s="121"/>
      <c r="O1813" s="125"/>
      <c r="P1813" s="126"/>
      <c r="Q1813" s="127"/>
      <c r="R1813" s="127"/>
      <c r="S1813" s="127"/>
      <c r="T1813" s="127"/>
    </row>
    <row r="1814" spans="1:20" ht="13.8">
      <c r="A1814" s="118" t="str">
        <f ca="1">IFERROR(__xludf.DUMMYFUNCTION("""COMPUTED_VALUE"""),"SHR")</f>
        <v>SHR</v>
      </c>
      <c r="B1814" s="119" t="str">
        <f ca="1">IFERROR(__xludf.DUMMYFUNCTION("""COMPUTED_VALUE"""),"Penelope Hodgins")</f>
        <v>Penelope Hodgins</v>
      </c>
      <c r="C1814" s="118">
        <f ca="1">IFERROR(__xludf.DUMMYFUNCTION("""COMPUTED_VALUE"""),9)</f>
        <v>9</v>
      </c>
      <c r="D1814" s="118" t="str">
        <f ca="1">IFERROR(__xludf.DUMMYFUNCTION("""COMPUTED_VALUE"""),"G")</f>
        <v>G</v>
      </c>
      <c r="E1814" s="118" t="str">
        <f ca="1">IFERROR(__xludf.DUMMYFUNCTION("""COMPUTED_VALUE"""),"F")</f>
        <v>F</v>
      </c>
      <c r="F1814" s="124" t="str">
        <f ca="1">IFERROR(__xludf.DUMMYFUNCTION("""COMPUTED_VALUE"""),"J")</f>
        <v>J</v>
      </c>
      <c r="G1814" s="124">
        <f ca="1">IFERROR(__xludf.DUMMYFUNCTION("""COMPUTED_VALUE"""),2)</f>
        <v>2</v>
      </c>
      <c r="H1814" s="124" t="str">
        <f ca="1">IFERROR(__xludf.DUMMYFUNCTION("""COMPUTED_VALUE"""),"SHR")</f>
        <v>SHR</v>
      </c>
      <c r="I1814" s="124">
        <f ca="1">IFERROR(__xludf.DUMMYFUNCTION("""COMPUTED_VALUE"""),4)</f>
        <v>4</v>
      </c>
      <c r="J1814" s="124">
        <f ca="1">IFERROR(__xludf.DUMMYFUNCTION("""COMPUTED_VALUE"""),4)</f>
        <v>4</v>
      </c>
      <c r="K1814" s="125">
        <f ca="1">IFERROR(__xludf.DUMMYFUNCTION("""COMPUTED_VALUE"""),57.25)</f>
        <v>57.25</v>
      </c>
      <c r="L1814" s="121"/>
      <c r="M1814" s="125"/>
      <c r="N1814" s="121"/>
      <c r="O1814" s="125">
        <f ca="1">IFERROR(__xludf.DUMMYFUNCTION("""COMPUTED_VALUE"""),51.55)</f>
        <v>51.55</v>
      </c>
      <c r="P1814" s="126"/>
      <c r="Q1814" s="127"/>
      <c r="R1814" s="127"/>
      <c r="S1814" s="127"/>
      <c r="T1814" s="127"/>
    </row>
    <row r="1815" spans="1:20" ht="13.8">
      <c r="A1815" s="118" t="str">
        <f ca="1">IFERROR(__xludf.DUMMYFUNCTION("""COMPUTED_VALUE"""),"SHR")</f>
        <v>SHR</v>
      </c>
      <c r="B1815" s="119" t="str">
        <f ca="1">IFERROR(__xludf.DUMMYFUNCTION("""COMPUTED_VALUE"""),"Rosie Richardson")</f>
        <v>Rosie Richardson</v>
      </c>
      <c r="C1815" s="118">
        <f ca="1">IFERROR(__xludf.DUMMYFUNCTION("""COMPUTED_VALUE"""),8)</f>
        <v>8</v>
      </c>
      <c r="D1815" s="118" t="str">
        <f ca="1">IFERROR(__xludf.DUMMYFUNCTION("""COMPUTED_VALUE"""),"G")</f>
        <v>G</v>
      </c>
      <c r="E1815" s="118" t="str">
        <f ca="1">IFERROR(__xludf.DUMMYFUNCTION("""COMPUTED_VALUE"""),"F")</f>
        <v>F</v>
      </c>
      <c r="F1815" s="124" t="str">
        <f ca="1">IFERROR(__xludf.DUMMYFUNCTION("""COMPUTED_VALUE"""),"J")</f>
        <v>J</v>
      </c>
      <c r="G1815" s="124">
        <f ca="1">IFERROR(__xludf.DUMMYFUNCTION("""COMPUTED_VALUE"""),2)</f>
        <v>2</v>
      </c>
      <c r="H1815" s="124" t="str">
        <f ca="1">IFERROR(__xludf.DUMMYFUNCTION("""COMPUTED_VALUE"""),"SHR")</f>
        <v>SHR</v>
      </c>
      <c r="I1815" s="124">
        <f ca="1">IFERROR(__xludf.DUMMYFUNCTION("""COMPUTED_VALUE"""),4)</f>
        <v>4</v>
      </c>
      <c r="J1815" s="124">
        <f ca="1">IFERROR(__xludf.DUMMYFUNCTION("""COMPUTED_VALUE"""),0)</f>
        <v>0</v>
      </c>
      <c r="K1815" s="125"/>
      <c r="L1815" s="121"/>
      <c r="M1815" s="125"/>
      <c r="N1815" s="121"/>
      <c r="O1815" s="125"/>
      <c r="P1815" s="126"/>
      <c r="Q1815" s="127"/>
      <c r="R1815" s="127"/>
      <c r="S1815" s="127"/>
      <c r="T1815" s="127"/>
    </row>
    <row r="1816" spans="1:20" ht="13.8">
      <c r="A1816" s="118" t="str">
        <f ca="1">IFERROR(__xludf.DUMMYFUNCTION("""COMPUTED_VALUE"""),"SHR")</f>
        <v>SHR</v>
      </c>
      <c r="B1816" s="119" t="str">
        <f ca="1">IFERROR(__xludf.DUMMYFUNCTION("""COMPUTED_VALUE"""),"Sadie Parr")</f>
        <v>Sadie Parr</v>
      </c>
      <c r="C1816" s="118">
        <f ca="1">IFERROR(__xludf.DUMMYFUNCTION("""COMPUTED_VALUE"""),8)</f>
        <v>8</v>
      </c>
      <c r="D1816" s="118" t="str">
        <f ca="1">IFERROR(__xludf.DUMMYFUNCTION("""COMPUTED_VALUE"""),"G")</f>
        <v>G</v>
      </c>
      <c r="E1816" s="118" t="str">
        <f ca="1">IFERROR(__xludf.DUMMYFUNCTION("""COMPUTED_VALUE"""),"F")</f>
        <v>F</v>
      </c>
      <c r="F1816" s="124" t="str">
        <f ca="1">IFERROR(__xludf.DUMMYFUNCTION("""COMPUTED_VALUE"""),"J")</f>
        <v>J</v>
      </c>
      <c r="G1816" s="124">
        <f ca="1">IFERROR(__xludf.DUMMYFUNCTION("""COMPUTED_VALUE"""),2)</f>
        <v>2</v>
      </c>
      <c r="H1816" s="124" t="str">
        <f ca="1">IFERROR(__xludf.DUMMYFUNCTION("""COMPUTED_VALUE"""),"SHR")</f>
        <v>SHR</v>
      </c>
      <c r="I1816" s="124">
        <f ca="1">IFERROR(__xludf.DUMMYFUNCTION("""COMPUTED_VALUE"""),4)</f>
        <v>4</v>
      </c>
      <c r="J1816" s="124">
        <f ca="1">IFERROR(__xludf.DUMMYFUNCTION("""COMPUTED_VALUE"""),0)</f>
        <v>0</v>
      </c>
      <c r="K1816" s="125"/>
      <c r="L1816" s="121"/>
      <c r="M1816" s="125"/>
      <c r="N1816" s="121"/>
      <c r="O1816" s="125"/>
      <c r="P1816" s="126"/>
      <c r="Q1816" s="127"/>
      <c r="R1816" s="127"/>
      <c r="S1816" s="127"/>
      <c r="T1816" s="127"/>
    </row>
    <row r="1817" spans="1:20" ht="13.8">
      <c r="A1817" s="118" t="str">
        <f ca="1">IFERROR(__xludf.DUMMYFUNCTION("""COMPUTED_VALUE"""),"SHR")</f>
        <v>SHR</v>
      </c>
      <c r="B1817" s="119" t="str">
        <f ca="1">IFERROR(__xludf.DUMMYFUNCTION("""COMPUTED_VALUE"""),"Sawyer Rascona")</f>
        <v>Sawyer Rascona</v>
      </c>
      <c r="C1817" s="118">
        <f ca="1">IFERROR(__xludf.DUMMYFUNCTION("""COMPUTED_VALUE"""),8)</f>
        <v>8</v>
      </c>
      <c r="D1817" s="118" t="str">
        <f ca="1">IFERROR(__xludf.DUMMYFUNCTION("""COMPUTED_VALUE"""),"G")</f>
        <v>G</v>
      </c>
      <c r="E1817" s="118" t="str">
        <f ca="1">IFERROR(__xludf.DUMMYFUNCTION("""COMPUTED_VALUE"""),"F")</f>
        <v>F</v>
      </c>
      <c r="F1817" s="124" t="str">
        <f ca="1">IFERROR(__xludf.DUMMYFUNCTION("""COMPUTED_VALUE"""),"J")</f>
        <v>J</v>
      </c>
      <c r="G1817" s="124">
        <f ca="1">IFERROR(__xludf.DUMMYFUNCTION("""COMPUTED_VALUE"""),2)</f>
        <v>2</v>
      </c>
      <c r="H1817" s="124" t="str">
        <f ca="1">IFERROR(__xludf.DUMMYFUNCTION("""COMPUTED_VALUE"""),"SHR")</f>
        <v>SHR</v>
      </c>
      <c r="I1817" s="124">
        <f ca="1">IFERROR(__xludf.DUMMYFUNCTION("""COMPUTED_VALUE"""),4)</f>
        <v>4</v>
      </c>
      <c r="J1817" s="124">
        <f ca="1">IFERROR(__xludf.DUMMYFUNCTION("""COMPUTED_VALUE"""),0)</f>
        <v>0</v>
      </c>
      <c r="K1817" s="125"/>
      <c r="L1817" s="121"/>
      <c r="M1817" s="125"/>
      <c r="N1817" s="121"/>
      <c r="O1817" s="125"/>
      <c r="P1817" s="126"/>
      <c r="Q1817" s="127"/>
      <c r="R1817" s="127"/>
      <c r="S1817" s="127"/>
      <c r="T1817" s="127"/>
    </row>
    <row r="1818" spans="1:20" ht="13.8">
      <c r="A1818" s="118" t="str">
        <f ca="1">IFERROR(__xludf.DUMMYFUNCTION("""COMPUTED_VALUE"""),"SHR")</f>
        <v>SHR</v>
      </c>
      <c r="B1818" s="119" t="str">
        <f ca="1">IFERROR(__xludf.DUMMYFUNCTION("""COMPUTED_VALUE"""),"Sierra Jackson")</f>
        <v>Sierra Jackson</v>
      </c>
      <c r="C1818" s="118">
        <f ca="1">IFERROR(__xludf.DUMMYFUNCTION("""COMPUTED_VALUE"""),8)</f>
        <v>8</v>
      </c>
      <c r="D1818" s="118" t="str">
        <f ca="1">IFERROR(__xludf.DUMMYFUNCTION("""COMPUTED_VALUE"""),"G")</f>
        <v>G</v>
      </c>
      <c r="E1818" s="118" t="str">
        <f ca="1">IFERROR(__xludf.DUMMYFUNCTION("""COMPUTED_VALUE"""),"F")</f>
        <v>F</v>
      </c>
      <c r="F1818" s="124" t="str">
        <f ca="1">IFERROR(__xludf.DUMMYFUNCTION("""COMPUTED_VALUE"""),"J")</f>
        <v>J</v>
      </c>
      <c r="G1818" s="124">
        <f ca="1">IFERROR(__xludf.DUMMYFUNCTION("""COMPUTED_VALUE"""),2)</f>
        <v>2</v>
      </c>
      <c r="H1818" s="124" t="str">
        <f ca="1">IFERROR(__xludf.DUMMYFUNCTION("""COMPUTED_VALUE"""),"SHR")</f>
        <v>SHR</v>
      </c>
      <c r="I1818" s="124">
        <f ca="1">IFERROR(__xludf.DUMMYFUNCTION("""COMPUTED_VALUE"""),4)</f>
        <v>4</v>
      </c>
      <c r="J1818" s="124">
        <f ca="1">IFERROR(__xludf.DUMMYFUNCTION("""COMPUTED_VALUE"""),0)</f>
        <v>0</v>
      </c>
      <c r="K1818" s="125"/>
      <c r="L1818" s="121"/>
      <c r="M1818" s="125"/>
      <c r="N1818" s="121"/>
      <c r="O1818" s="125"/>
      <c r="P1818" s="126"/>
      <c r="Q1818" s="127"/>
      <c r="R1818" s="127"/>
      <c r="S1818" s="127"/>
      <c r="T1818" s="127"/>
    </row>
    <row r="1819" spans="1:20" ht="13.8">
      <c r="A1819" s="118" t="str">
        <f ca="1">IFERROR(__xludf.DUMMYFUNCTION("""COMPUTED_VALUE"""),"SHR")</f>
        <v>SHR</v>
      </c>
      <c r="B1819" s="119" t="str">
        <f ca="1">IFERROR(__xludf.DUMMYFUNCTION("""COMPUTED_VALUE"""),"Sydney White")</f>
        <v>Sydney White</v>
      </c>
      <c r="C1819" s="118">
        <f ca="1">IFERROR(__xludf.DUMMYFUNCTION("""COMPUTED_VALUE"""),7)</f>
        <v>7</v>
      </c>
      <c r="D1819" s="118" t="str">
        <f ca="1">IFERROR(__xludf.DUMMYFUNCTION("""COMPUTED_VALUE"""),"G")</f>
        <v>G</v>
      </c>
      <c r="E1819" s="118" t="str">
        <f ca="1">IFERROR(__xludf.DUMMYFUNCTION("""COMPUTED_VALUE"""),"F")</f>
        <v>F</v>
      </c>
      <c r="F1819" s="124" t="str">
        <f ca="1">IFERROR(__xludf.DUMMYFUNCTION("""COMPUTED_VALUE"""),"J")</f>
        <v>J</v>
      </c>
      <c r="G1819" s="124">
        <f ca="1">IFERROR(__xludf.DUMMYFUNCTION("""COMPUTED_VALUE"""),2)</f>
        <v>2</v>
      </c>
      <c r="H1819" s="124" t="str">
        <f ca="1">IFERROR(__xludf.DUMMYFUNCTION("""COMPUTED_VALUE"""),"SHR")</f>
        <v>SHR</v>
      </c>
      <c r="I1819" s="124">
        <f ca="1">IFERROR(__xludf.DUMMYFUNCTION("""COMPUTED_VALUE"""),4)</f>
        <v>4</v>
      </c>
      <c r="J1819" s="124">
        <f ca="1">IFERROR(__xludf.DUMMYFUNCTION("""COMPUTED_VALUE"""),0)</f>
        <v>0</v>
      </c>
      <c r="K1819" s="125"/>
      <c r="L1819" s="121"/>
      <c r="M1819" s="125"/>
      <c r="N1819" s="121"/>
      <c r="O1819" s="125"/>
      <c r="P1819" s="126"/>
      <c r="Q1819" s="127"/>
      <c r="R1819" s="127"/>
      <c r="S1819" s="127"/>
      <c r="T1819" s="127"/>
    </row>
    <row r="1820" spans="1:20" ht="13.8">
      <c r="A1820" s="118" t="str">
        <f ca="1">IFERROR(__xludf.DUMMYFUNCTION("""COMPUTED_VALUE"""),"SHR")</f>
        <v>SHR</v>
      </c>
      <c r="B1820" s="119" t="str">
        <f ca="1">IFERROR(__xludf.DUMMYFUNCTION("""COMPUTED_VALUE"""),"Tess Coleson")</f>
        <v>Tess Coleson</v>
      </c>
      <c r="C1820" s="118">
        <f ca="1">IFERROR(__xludf.DUMMYFUNCTION("""COMPUTED_VALUE"""),7)</f>
        <v>7</v>
      </c>
      <c r="D1820" s="118" t="str">
        <f ca="1">IFERROR(__xludf.DUMMYFUNCTION("""COMPUTED_VALUE"""),"G")</f>
        <v>G</v>
      </c>
      <c r="E1820" s="118" t="str">
        <f ca="1">IFERROR(__xludf.DUMMYFUNCTION("""COMPUTED_VALUE"""),"F")</f>
        <v>F</v>
      </c>
      <c r="F1820" s="124" t="str">
        <f ca="1">IFERROR(__xludf.DUMMYFUNCTION("""COMPUTED_VALUE"""),"J")</f>
        <v>J</v>
      </c>
      <c r="G1820" s="124">
        <f ca="1">IFERROR(__xludf.DUMMYFUNCTION("""COMPUTED_VALUE"""),2)</f>
        <v>2</v>
      </c>
      <c r="H1820" s="124" t="str">
        <f ca="1">IFERROR(__xludf.DUMMYFUNCTION("""COMPUTED_VALUE"""),"SHR")</f>
        <v>SHR</v>
      </c>
      <c r="I1820" s="124">
        <f ca="1">IFERROR(__xludf.DUMMYFUNCTION("""COMPUTED_VALUE"""),4)</f>
        <v>4</v>
      </c>
      <c r="J1820" s="124">
        <f ca="1">IFERROR(__xludf.DUMMYFUNCTION("""COMPUTED_VALUE"""),0)</f>
        <v>0</v>
      </c>
      <c r="K1820" s="125"/>
      <c r="L1820" s="121"/>
      <c r="M1820" s="125"/>
      <c r="N1820" s="121"/>
      <c r="O1820" s="125"/>
      <c r="P1820" s="126"/>
      <c r="Q1820" s="127"/>
      <c r="R1820" s="127"/>
      <c r="S1820" s="127"/>
      <c r="T1820" s="127"/>
    </row>
    <row r="1821" spans="1:20" ht="13.8">
      <c r="A1821" s="118" t="str">
        <f ca="1">IFERROR(__xludf.DUMMYFUNCTION("""COMPUTED_VALUE"""),"SHR")</f>
        <v>SHR</v>
      </c>
      <c r="B1821" s="119" t="str">
        <f ca="1">IFERROR(__xludf.DUMMYFUNCTION("""COMPUTED_VALUE"""),"Cormac DiVincenzo")</f>
        <v>Cormac DiVincenzo</v>
      </c>
      <c r="C1821" s="118">
        <f ca="1">IFERROR(__xludf.DUMMYFUNCTION("""COMPUTED_VALUE"""),6)</f>
        <v>6</v>
      </c>
      <c r="D1821" s="118" t="str">
        <f ca="1">IFERROR(__xludf.DUMMYFUNCTION("""COMPUTED_VALUE"""),"B")</f>
        <v>B</v>
      </c>
      <c r="E1821" s="118" t="str">
        <f ca="1">IFERROR(__xludf.DUMMYFUNCTION("""COMPUTED_VALUE"""),"F")</f>
        <v>F</v>
      </c>
      <c r="F1821" s="124" t="str">
        <f ca="1">IFERROR(__xludf.DUMMYFUNCTION("""COMPUTED_VALUE"""),"J")</f>
        <v>J</v>
      </c>
      <c r="G1821" s="124">
        <f ca="1">IFERROR(__xludf.DUMMYFUNCTION("""COMPUTED_VALUE"""),2)</f>
        <v>2</v>
      </c>
      <c r="H1821" s="124" t="str">
        <f ca="1">IFERROR(__xludf.DUMMYFUNCTION("""COMPUTED_VALUE"""),"SHR")</f>
        <v>SHR</v>
      </c>
      <c r="I1821" s="124">
        <f ca="1">IFERROR(__xludf.DUMMYFUNCTION("""COMPUTED_VALUE"""),5)</f>
        <v>5</v>
      </c>
      <c r="J1821" s="124">
        <f ca="1">IFERROR(__xludf.DUMMYFUNCTION("""COMPUTED_VALUE"""),0)</f>
        <v>0</v>
      </c>
      <c r="K1821" s="125"/>
      <c r="L1821" s="121"/>
      <c r="M1821" s="125"/>
      <c r="N1821" s="121"/>
      <c r="O1821" s="125"/>
      <c r="P1821" s="126"/>
      <c r="Q1821" s="127"/>
      <c r="R1821" s="127"/>
      <c r="S1821" s="127"/>
      <c r="T1821" s="127"/>
    </row>
    <row r="1822" spans="1:20" ht="13.8">
      <c r="A1822" s="118" t="str">
        <f ca="1">IFERROR(__xludf.DUMMYFUNCTION("""COMPUTED_VALUE"""),"SHR")</f>
        <v>SHR</v>
      </c>
      <c r="B1822" s="119" t="str">
        <f ca="1">IFERROR(__xludf.DUMMYFUNCTION("""COMPUTED_VALUE"""),"Gabriel Fernandez")</f>
        <v>Gabriel Fernandez</v>
      </c>
      <c r="C1822" s="118">
        <f ca="1">IFERROR(__xludf.DUMMYFUNCTION("""COMPUTED_VALUE"""),8)</f>
        <v>8</v>
      </c>
      <c r="D1822" s="118" t="str">
        <f ca="1">IFERROR(__xludf.DUMMYFUNCTION("""COMPUTED_VALUE"""),"B")</f>
        <v>B</v>
      </c>
      <c r="E1822" s="118" t="str">
        <f ca="1">IFERROR(__xludf.DUMMYFUNCTION("""COMPUTED_VALUE"""),"F")</f>
        <v>F</v>
      </c>
      <c r="F1822" s="124" t="str">
        <f ca="1">IFERROR(__xludf.DUMMYFUNCTION("""COMPUTED_VALUE"""),"J")</f>
        <v>J</v>
      </c>
      <c r="G1822" s="124">
        <f ca="1">IFERROR(__xludf.DUMMYFUNCTION("""COMPUTED_VALUE"""),2)</f>
        <v>2</v>
      </c>
      <c r="H1822" s="124" t="str">
        <f ca="1">IFERROR(__xludf.DUMMYFUNCTION("""COMPUTED_VALUE"""),"SHR")</f>
        <v>SHR</v>
      </c>
      <c r="I1822" s="124">
        <f ca="1">IFERROR(__xludf.DUMMYFUNCTION("""COMPUTED_VALUE"""),5)</f>
        <v>5</v>
      </c>
      <c r="J1822" s="124">
        <f ca="1">IFERROR(__xludf.DUMMYFUNCTION("""COMPUTED_VALUE"""),0)</f>
        <v>0</v>
      </c>
      <c r="K1822" s="125"/>
      <c r="L1822" s="121"/>
      <c r="M1822" s="125"/>
      <c r="N1822" s="121"/>
      <c r="O1822" s="125"/>
      <c r="P1822" s="126"/>
      <c r="Q1822" s="127"/>
      <c r="R1822" s="127"/>
      <c r="S1822" s="127"/>
      <c r="T1822" s="127"/>
    </row>
    <row r="1823" spans="1:20" ht="13.8">
      <c r="A1823" s="118" t="str">
        <f ca="1">IFERROR(__xludf.DUMMYFUNCTION("""COMPUTED_VALUE"""),"SHR")</f>
        <v>SHR</v>
      </c>
      <c r="B1823" s="119" t="str">
        <f ca="1">IFERROR(__xludf.DUMMYFUNCTION("""COMPUTED_VALUE"""),"Garrison Glasford")</f>
        <v>Garrison Glasford</v>
      </c>
      <c r="C1823" s="118">
        <f ca="1">IFERROR(__xludf.DUMMYFUNCTION("""COMPUTED_VALUE"""),7)</f>
        <v>7</v>
      </c>
      <c r="D1823" s="118" t="str">
        <f ca="1">IFERROR(__xludf.DUMMYFUNCTION("""COMPUTED_VALUE"""),"B")</f>
        <v>B</v>
      </c>
      <c r="E1823" s="118" t="str">
        <f ca="1">IFERROR(__xludf.DUMMYFUNCTION("""COMPUTED_VALUE"""),"F")</f>
        <v>F</v>
      </c>
      <c r="F1823" s="124" t="str">
        <f ca="1">IFERROR(__xludf.DUMMYFUNCTION("""COMPUTED_VALUE"""),"J")</f>
        <v>J</v>
      </c>
      <c r="G1823" s="124">
        <f ca="1">IFERROR(__xludf.DUMMYFUNCTION("""COMPUTED_VALUE"""),2)</f>
        <v>2</v>
      </c>
      <c r="H1823" s="124" t="str">
        <f ca="1">IFERROR(__xludf.DUMMYFUNCTION("""COMPUTED_VALUE"""),"SHR")</f>
        <v>SHR</v>
      </c>
      <c r="I1823" s="124">
        <f ca="1">IFERROR(__xludf.DUMMYFUNCTION("""COMPUTED_VALUE"""),5)</f>
        <v>5</v>
      </c>
      <c r="J1823" s="124">
        <f ca="1">IFERROR(__xludf.DUMMYFUNCTION("""COMPUTED_VALUE"""),0)</f>
        <v>0</v>
      </c>
      <c r="K1823" s="125"/>
      <c r="L1823" s="121"/>
      <c r="M1823" s="125"/>
      <c r="N1823" s="121"/>
      <c r="O1823" s="125"/>
      <c r="P1823" s="126"/>
      <c r="Q1823" s="127"/>
      <c r="R1823" s="127"/>
      <c r="S1823" s="127"/>
      <c r="T1823" s="127"/>
    </row>
    <row r="1824" spans="1:20" ht="13.8">
      <c r="A1824" s="118" t="str">
        <f ca="1">IFERROR(__xludf.DUMMYFUNCTION("""COMPUTED_VALUE"""),"SHR")</f>
        <v>SHR</v>
      </c>
      <c r="B1824" s="119" t="str">
        <f ca="1">IFERROR(__xludf.DUMMYFUNCTION("""COMPUTED_VALUE"""),"Hayes Miller")</f>
        <v>Hayes Miller</v>
      </c>
      <c r="C1824" s="118">
        <f ca="1">IFERROR(__xludf.DUMMYFUNCTION("""COMPUTED_VALUE"""),6)</f>
        <v>6</v>
      </c>
      <c r="D1824" s="118" t="str">
        <f ca="1">IFERROR(__xludf.DUMMYFUNCTION("""COMPUTED_VALUE"""),"B")</f>
        <v>B</v>
      </c>
      <c r="E1824" s="118" t="str">
        <f ca="1">IFERROR(__xludf.DUMMYFUNCTION("""COMPUTED_VALUE"""),"F")</f>
        <v>F</v>
      </c>
      <c r="F1824" s="124" t="str">
        <f ca="1">IFERROR(__xludf.DUMMYFUNCTION("""COMPUTED_VALUE"""),"J")</f>
        <v>J</v>
      </c>
      <c r="G1824" s="124">
        <f ca="1">IFERROR(__xludf.DUMMYFUNCTION("""COMPUTED_VALUE"""),2)</f>
        <v>2</v>
      </c>
      <c r="H1824" s="124" t="str">
        <f ca="1">IFERROR(__xludf.DUMMYFUNCTION("""COMPUTED_VALUE"""),"SHR")</f>
        <v>SHR</v>
      </c>
      <c r="I1824" s="124">
        <f ca="1">IFERROR(__xludf.DUMMYFUNCTION("""COMPUTED_VALUE"""),5)</f>
        <v>5</v>
      </c>
      <c r="J1824" s="124">
        <f ca="1">IFERROR(__xludf.DUMMYFUNCTION("""COMPUTED_VALUE"""),0)</f>
        <v>0</v>
      </c>
      <c r="K1824" s="125"/>
      <c r="L1824" s="121"/>
      <c r="M1824" s="125"/>
      <c r="N1824" s="121"/>
      <c r="O1824" s="125"/>
      <c r="P1824" s="126"/>
      <c r="Q1824" s="127"/>
      <c r="R1824" s="127"/>
      <c r="S1824" s="127"/>
      <c r="T1824" s="127"/>
    </row>
    <row r="1825" spans="1:20" ht="13.8">
      <c r="A1825" s="118" t="str">
        <f ca="1">IFERROR(__xludf.DUMMYFUNCTION("""COMPUTED_VALUE"""),"SHR")</f>
        <v>SHR</v>
      </c>
      <c r="B1825" s="119" t="str">
        <f ca="1">IFERROR(__xludf.DUMMYFUNCTION("""COMPUTED_VALUE"""),"Henry Wisniewski")</f>
        <v>Henry Wisniewski</v>
      </c>
      <c r="C1825" s="118">
        <f ca="1">IFERROR(__xludf.DUMMYFUNCTION("""COMPUTED_VALUE"""),8)</f>
        <v>8</v>
      </c>
      <c r="D1825" s="118" t="str">
        <f ca="1">IFERROR(__xludf.DUMMYFUNCTION("""COMPUTED_VALUE"""),"B")</f>
        <v>B</v>
      </c>
      <c r="E1825" s="118" t="str">
        <f ca="1">IFERROR(__xludf.DUMMYFUNCTION("""COMPUTED_VALUE"""),"F")</f>
        <v>F</v>
      </c>
      <c r="F1825" s="124" t="str">
        <f ca="1">IFERROR(__xludf.DUMMYFUNCTION("""COMPUTED_VALUE"""),"J")</f>
        <v>J</v>
      </c>
      <c r="G1825" s="124">
        <f ca="1">IFERROR(__xludf.DUMMYFUNCTION("""COMPUTED_VALUE"""),2)</f>
        <v>2</v>
      </c>
      <c r="H1825" s="124" t="str">
        <f ca="1">IFERROR(__xludf.DUMMYFUNCTION("""COMPUTED_VALUE"""),"SHR")</f>
        <v>SHR</v>
      </c>
      <c r="I1825" s="124">
        <f ca="1">IFERROR(__xludf.DUMMYFUNCTION("""COMPUTED_VALUE"""),5)</f>
        <v>5</v>
      </c>
      <c r="J1825" s="124">
        <f ca="1">IFERROR(__xludf.DUMMYFUNCTION("""COMPUTED_VALUE"""),0)</f>
        <v>0</v>
      </c>
      <c r="K1825" s="125"/>
      <c r="L1825" s="121"/>
      <c r="M1825" s="125"/>
      <c r="N1825" s="121"/>
      <c r="O1825" s="125"/>
      <c r="P1825" s="126"/>
      <c r="Q1825" s="127"/>
      <c r="R1825" s="127"/>
      <c r="S1825" s="127"/>
      <c r="T1825" s="127"/>
    </row>
    <row r="1826" spans="1:20" ht="13.8">
      <c r="A1826" s="118" t="str">
        <f ca="1">IFERROR(__xludf.DUMMYFUNCTION("""COMPUTED_VALUE"""),"SHR")</f>
        <v>SHR</v>
      </c>
      <c r="B1826" s="119" t="str">
        <f ca="1">IFERROR(__xludf.DUMMYFUNCTION("""COMPUTED_VALUE"""),"Keone Sheriff")</f>
        <v>Keone Sheriff</v>
      </c>
      <c r="C1826" s="118">
        <f ca="1">IFERROR(__xludf.DUMMYFUNCTION("""COMPUTED_VALUE"""),6)</f>
        <v>6</v>
      </c>
      <c r="D1826" s="118" t="str">
        <f ca="1">IFERROR(__xludf.DUMMYFUNCTION("""COMPUTED_VALUE"""),"B")</f>
        <v>B</v>
      </c>
      <c r="E1826" s="118" t="str">
        <f ca="1">IFERROR(__xludf.DUMMYFUNCTION("""COMPUTED_VALUE"""),"F")</f>
        <v>F</v>
      </c>
      <c r="F1826" s="124" t="str">
        <f ca="1">IFERROR(__xludf.DUMMYFUNCTION("""COMPUTED_VALUE"""),"J")</f>
        <v>J</v>
      </c>
      <c r="G1826" s="124">
        <f ca="1">IFERROR(__xludf.DUMMYFUNCTION("""COMPUTED_VALUE"""),2)</f>
        <v>2</v>
      </c>
      <c r="H1826" s="124" t="str">
        <f ca="1">IFERROR(__xludf.DUMMYFUNCTION("""COMPUTED_VALUE"""),"SHR")</f>
        <v>SHR</v>
      </c>
      <c r="I1826" s="124">
        <f ca="1">IFERROR(__xludf.DUMMYFUNCTION("""COMPUTED_VALUE"""),5)</f>
        <v>5</v>
      </c>
      <c r="J1826" s="124">
        <f ca="1">IFERROR(__xludf.DUMMYFUNCTION("""COMPUTED_VALUE"""),0)</f>
        <v>0</v>
      </c>
      <c r="K1826" s="125"/>
      <c r="L1826" s="121"/>
      <c r="M1826" s="125"/>
      <c r="N1826" s="121"/>
      <c r="O1826" s="125"/>
      <c r="P1826" s="126"/>
      <c r="Q1826" s="127"/>
      <c r="R1826" s="127"/>
      <c r="S1826" s="127"/>
      <c r="T1826" s="127"/>
    </row>
    <row r="1827" spans="1:20" ht="13.8">
      <c r="A1827" s="118" t="str">
        <f ca="1">IFERROR(__xludf.DUMMYFUNCTION("""COMPUTED_VALUE"""),"SHR")</f>
        <v>SHR</v>
      </c>
      <c r="B1827" s="119" t="str">
        <f ca="1">IFERROR(__xludf.DUMMYFUNCTION("""COMPUTED_VALUE"""),"Liam Ross")</f>
        <v>Liam Ross</v>
      </c>
      <c r="C1827" s="118">
        <f ca="1">IFERROR(__xludf.DUMMYFUNCTION("""COMPUTED_VALUE"""),10)</f>
        <v>10</v>
      </c>
      <c r="D1827" s="118" t="str">
        <f ca="1">IFERROR(__xludf.DUMMYFUNCTION("""COMPUTED_VALUE"""),"B")</f>
        <v>B</v>
      </c>
      <c r="E1827" s="118" t="str">
        <f ca="1">IFERROR(__xludf.DUMMYFUNCTION("""COMPUTED_VALUE"""),"F")</f>
        <v>F</v>
      </c>
      <c r="F1827" s="124" t="str">
        <f ca="1">IFERROR(__xludf.DUMMYFUNCTION("""COMPUTED_VALUE"""),"J")</f>
        <v>J</v>
      </c>
      <c r="G1827" s="124">
        <f ca="1">IFERROR(__xludf.DUMMYFUNCTION("""COMPUTED_VALUE"""),2)</f>
        <v>2</v>
      </c>
      <c r="H1827" s="124" t="str">
        <f ca="1">IFERROR(__xludf.DUMMYFUNCTION("""COMPUTED_VALUE"""),"SHR")</f>
        <v>SHR</v>
      </c>
      <c r="I1827" s="124">
        <f ca="1">IFERROR(__xludf.DUMMYFUNCTION("""COMPUTED_VALUE"""),5)</f>
        <v>5</v>
      </c>
      <c r="J1827" s="124">
        <f ca="1">IFERROR(__xludf.DUMMYFUNCTION("""COMPUTED_VALUE"""),5)</f>
        <v>5</v>
      </c>
      <c r="K1827" s="125">
        <f ca="1">IFERROR(__xludf.DUMMYFUNCTION("""COMPUTED_VALUE"""),77.9)</f>
        <v>77.900000000000006</v>
      </c>
      <c r="L1827" s="121"/>
      <c r="M1827" s="125">
        <f ca="1">IFERROR(__xludf.DUMMYFUNCTION("""COMPUTED_VALUE"""),77.9)</f>
        <v>77.900000000000006</v>
      </c>
      <c r="N1827" s="121"/>
      <c r="O1827" s="125">
        <f ca="1">IFERROR(__xludf.DUMMYFUNCTION("""COMPUTED_VALUE"""),73)</f>
        <v>73</v>
      </c>
      <c r="P1827" s="126"/>
      <c r="Q1827" s="127"/>
      <c r="R1827" s="127"/>
      <c r="S1827" s="127"/>
      <c r="T1827" s="127"/>
    </row>
    <row r="1828" spans="1:20" ht="13.8">
      <c r="A1828" s="118" t="str">
        <f ca="1">IFERROR(__xludf.DUMMYFUNCTION("""COMPUTED_VALUE"""),"SHR")</f>
        <v>SHR</v>
      </c>
      <c r="B1828" s="119" t="str">
        <f ca="1">IFERROR(__xludf.DUMMYFUNCTION("""COMPUTED_VALUE"""),"Louie Marra")</f>
        <v>Louie Marra</v>
      </c>
      <c r="C1828" s="118">
        <f ca="1">IFERROR(__xludf.DUMMYFUNCTION("""COMPUTED_VALUE"""),9)</f>
        <v>9</v>
      </c>
      <c r="D1828" s="118" t="str">
        <f ca="1">IFERROR(__xludf.DUMMYFUNCTION("""COMPUTED_VALUE"""),"B")</f>
        <v>B</v>
      </c>
      <c r="E1828" s="118" t="str">
        <f ca="1">IFERROR(__xludf.DUMMYFUNCTION("""COMPUTED_VALUE"""),"F")</f>
        <v>F</v>
      </c>
      <c r="F1828" s="124" t="str">
        <f ca="1">IFERROR(__xludf.DUMMYFUNCTION("""COMPUTED_VALUE"""),"J")</f>
        <v>J</v>
      </c>
      <c r="G1828" s="124">
        <f ca="1">IFERROR(__xludf.DUMMYFUNCTION("""COMPUTED_VALUE"""),2)</f>
        <v>2</v>
      </c>
      <c r="H1828" s="124" t="str">
        <f ca="1">IFERROR(__xludf.DUMMYFUNCTION("""COMPUTED_VALUE"""),"SHR")</f>
        <v>SHR</v>
      </c>
      <c r="I1828" s="124">
        <f ca="1">IFERROR(__xludf.DUMMYFUNCTION("""COMPUTED_VALUE"""),5)</f>
        <v>5</v>
      </c>
      <c r="J1828" s="124">
        <f ca="1">IFERROR(__xludf.DUMMYFUNCTION("""COMPUTED_VALUE"""),4)</f>
        <v>4</v>
      </c>
      <c r="K1828" s="125">
        <f ca="1">IFERROR(__xludf.DUMMYFUNCTION("""COMPUTED_VALUE"""),60.9)</f>
        <v>60.9</v>
      </c>
      <c r="L1828" s="121"/>
      <c r="M1828" s="125">
        <f ca="1">IFERROR(__xludf.DUMMYFUNCTION("""COMPUTED_VALUE"""),60.6)</f>
        <v>60.6</v>
      </c>
      <c r="N1828" s="121"/>
      <c r="O1828" s="125"/>
      <c r="P1828" s="126"/>
      <c r="Q1828" s="127"/>
      <c r="R1828" s="127"/>
      <c r="S1828" s="127"/>
      <c r="T1828" s="127"/>
    </row>
    <row r="1829" spans="1:20" ht="13.8">
      <c r="A1829" s="118" t="str">
        <f ca="1">IFERROR(__xludf.DUMMYFUNCTION("""COMPUTED_VALUE"""),"SHR")</f>
        <v>SHR</v>
      </c>
      <c r="B1829" s="119" t="str">
        <f ca="1">IFERROR(__xludf.DUMMYFUNCTION("""COMPUTED_VALUE"""),"Samyar Khodabandeh")</f>
        <v>Samyar Khodabandeh</v>
      </c>
      <c r="C1829" s="118">
        <f ca="1">IFERROR(__xludf.DUMMYFUNCTION("""COMPUTED_VALUE"""),8)</f>
        <v>8</v>
      </c>
      <c r="D1829" s="118" t="str">
        <f ca="1">IFERROR(__xludf.DUMMYFUNCTION("""COMPUTED_VALUE"""),"B")</f>
        <v>B</v>
      </c>
      <c r="E1829" s="118" t="str">
        <f ca="1">IFERROR(__xludf.DUMMYFUNCTION("""COMPUTED_VALUE"""),"F")</f>
        <v>F</v>
      </c>
      <c r="F1829" s="124" t="str">
        <f ca="1">IFERROR(__xludf.DUMMYFUNCTION("""COMPUTED_VALUE"""),"J")</f>
        <v>J</v>
      </c>
      <c r="G1829" s="124">
        <f ca="1">IFERROR(__xludf.DUMMYFUNCTION("""COMPUTED_VALUE"""),2)</f>
        <v>2</v>
      </c>
      <c r="H1829" s="124" t="str">
        <f ca="1">IFERROR(__xludf.DUMMYFUNCTION("""COMPUTED_VALUE"""),"SHR")</f>
        <v>SHR</v>
      </c>
      <c r="I1829" s="124">
        <f ca="1">IFERROR(__xludf.DUMMYFUNCTION("""COMPUTED_VALUE"""),5)</f>
        <v>5</v>
      </c>
      <c r="J1829" s="124">
        <f ca="1">IFERROR(__xludf.DUMMYFUNCTION("""COMPUTED_VALUE"""),0)</f>
        <v>0</v>
      </c>
      <c r="K1829" s="125"/>
      <c r="L1829" s="121"/>
      <c r="M1829" s="125"/>
      <c r="N1829" s="121"/>
      <c r="O1829" s="125"/>
      <c r="P1829" s="126"/>
      <c r="Q1829" s="127"/>
      <c r="R1829" s="127"/>
      <c r="S1829" s="127"/>
      <c r="T1829" s="127"/>
    </row>
    <row r="1830" spans="1:20" ht="13.8">
      <c r="A1830" s="118" t="str">
        <f ca="1">IFERROR(__xludf.DUMMYFUNCTION("""COMPUTED_VALUE"""),"SHR")</f>
        <v>SHR</v>
      </c>
      <c r="B1830" s="119" t="str">
        <f ca="1">IFERROR(__xludf.DUMMYFUNCTION("""COMPUTED_VALUE"""),"Sawyer Wichert")</f>
        <v>Sawyer Wichert</v>
      </c>
      <c r="C1830" s="118">
        <f ca="1">IFERROR(__xludf.DUMMYFUNCTION("""COMPUTED_VALUE"""),10)</f>
        <v>10</v>
      </c>
      <c r="D1830" s="118" t="str">
        <f ca="1">IFERROR(__xludf.DUMMYFUNCTION("""COMPUTED_VALUE"""),"B")</f>
        <v>B</v>
      </c>
      <c r="E1830" s="118" t="str">
        <f ca="1">IFERROR(__xludf.DUMMYFUNCTION("""COMPUTED_VALUE"""),"F")</f>
        <v>F</v>
      </c>
      <c r="F1830" s="124" t="str">
        <f ca="1">IFERROR(__xludf.DUMMYFUNCTION("""COMPUTED_VALUE"""),"J")</f>
        <v>J</v>
      </c>
      <c r="G1830" s="124">
        <f ca="1">IFERROR(__xludf.DUMMYFUNCTION("""COMPUTED_VALUE"""),2)</f>
        <v>2</v>
      </c>
      <c r="H1830" s="124" t="str">
        <f ca="1">IFERROR(__xludf.DUMMYFUNCTION("""COMPUTED_VALUE"""),"SHR")</f>
        <v>SHR</v>
      </c>
      <c r="I1830" s="124">
        <f ca="1">IFERROR(__xludf.DUMMYFUNCTION("""COMPUTED_VALUE"""),5)</f>
        <v>5</v>
      </c>
      <c r="J1830" s="124">
        <f ca="1">IFERROR(__xludf.DUMMYFUNCTION("""COMPUTED_VALUE"""),5)</f>
        <v>5</v>
      </c>
      <c r="K1830" s="125">
        <f ca="1">IFERROR(__xludf.DUMMYFUNCTION("""COMPUTED_VALUE"""),49.35)</f>
        <v>49.35</v>
      </c>
      <c r="L1830" s="121"/>
      <c r="M1830" s="125">
        <f ca="1">IFERROR(__xludf.DUMMYFUNCTION("""COMPUTED_VALUE"""),40.55)</f>
        <v>40.549999999999997</v>
      </c>
      <c r="N1830" s="121"/>
      <c r="O1830" s="125">
        <f ca="1">IFERROR(__xludf.DUMMYFUNCTION("""COMPUTED_VALUE"""),47.4)</f>
        <v>47.4</v>
      </c>
      <c r="P1830" s="126"/>
      <c r="Q1830" s="127"/>
      <c r="R1830" s="127"/>
      <c r="S1830" s="127"/>
      <c r="T1830" s="127"/>
    </row>
    <row r="1831" spans="1:20" ht="13.8">
      <c r="A1831" s="118" t="str">
        <f ca="1">IFERROR(__xludf.DUMMYFUNCTION("""COMPUTED_VALUE"""),"SHR")</f>
        <v>SHR</v>
      </c>
      <c r="B1831" s="119" t="str">
        <f ca="1">IFERROR(__xludf.DUMMYFUNCTION("""COMPUTED_VALUE"""),"Shepard Whatley")</f>
        <v>Shepard Whatley</v>
      </c>
      <c r="C1831" s="118">
        <f ca="1">IFERROR(__xludf.DUMMYFUNCTION("""COMPUTED_VALUE"""),7)</f>
        <v>7</v>
      </c>
      <c r="D1831" s="118" t="str">
        <f ca="1">IFERROR(__xludf.DUMMYFUNCTION("""COMPUTED_VALUE"""),"B")</f>
        <v>B</v>
      </c>
      <c r="E1831" s="118" t="str">
        <f ca="1">IFERROR(__xludf.DUMMYFUNCTION("""COMPUTED_VALUE"""),"F")</f>
        <v>F</v>
      </c>
      <c r="F1831" s="124" t="str">
        <f ca="1">IFERROR(__xludf.DUMMYFUNCTION("""COMPUTED_VALUE"""),"J")</f>
        <v>J</v>
      </c>
      <c r="G1831" s="124">
        <f ca="1">IFERROR(__xludf.DUMMYFUNCTION("""COMPUTED_VALUE"""),2)</f>
        <v>2</v>
      </c>
      <c r="H1831" s="124" t="str">
        <f ca="1">IFERROR(__xludf.DUMMYFUNCTION("""COMPUTED_VALUE"""),"SHR")</f>
        <v>SHR</v>
      </c>
      <c r="I1831" s="124">
        <f ca="1">IFERROR(__xludf.DUMMYFUNCTION("""COMPUTED_VALUE"""),5)</f>
        <v>5</v>
      </c>
      <c r="J1831" s="124">
        <f ca="1">IFERROR(__xludf.DUMMYFUNCTION("""COMPUTED_VALUE"""),0)</f>
        <v>0</v>
      </c>
      <c r="K1831" s="125"/>
      <c r="L1831" s="121"/>
      <c r="M1831" s="125"/>
      <c r="N1831" s="121"/>
      <c r="O1831" s="125"/>
      <c r="P1831" s="126"/>
      <c r="Q1831" s="127"/>
      <c r="R1831" s="127"/>
      <c r="S1831" s="127"/>
      <c r="T1831" s="127"/>
    </row>
    <row r="1832" spans="1:20" ht="13.8">
      <c r="A1832" s="118" t="str">
        <f ca="1">IFERROR(__xludf.DUMMYFUNCTION("""COMPUTED_VALUE"""),"SHR")</f>
        <v>SHR</v>
      </c>
      <c r="B1832" s="119" t="str">
        <f ca="1">IFERROR(__xludf.DUMMYFUNCTION("""COMPUTED_VALUE"""),"Soren Khodabandeh")</f>
        <v>Soren Khodabandeh</v>
      </c>
      <c r="C1832" s="118">
        <f ca="1">IFERROR(__xludf.DUMMYFUNCTION("""COMPUTED_VALUE"""),6)</f>
        <v>6</v>
      </c>
      <c r="D1832" s="118" t="str">
        <f ca="1">IFERROR(__xludf.DUMMYFUNCTION("""COMPUTED_VALUE"""),"B")</f>
        <v>B</v>
      </c>
      <c r="E1832" s="118" t="str">
        <f ca="1">IFERROR(__xludf.DUMMYFUNCTION("""COMPUTED_VALUE"""),"F")</f>
        <v>F</v>
      </c>
      <c r="F1832" s="124" t="str">
        <f ca="1">IFERROR(__xludf.DUMMYFUNCTION("""COMPUTED_VALUE"""),"J")</f>
        <v>J</v>
      </c>
      <c r="G1832" s="124">
        <f ca="1">IFERROR(__xludf.DUMMYFUNCTION("""COMPUTED_VALUE"""),2)</f>
        <v>2</v>
      </c>
      <c r="H1832" s="124" t="str">
        <f ca="1">IFERROR(__xludf.DUMMYFUNCTION("""COMPUTED_VALUE"""),"SHR")</f>
        <v>SHR</v>
      </c>
      <c r="I1832" s="124">
        <f ca="1">IFERROR(__xludf.DUMMYFUNCTION("""COMPUTED_VALUE"""),5)</f>
        <v>5</v>
      </c>
      <c r="J1832" s="124">
        <f ca="1">IFERROR(__xludf.DUMMYFUNCTION("""COMPUTED_VALUE"""),0)</f>
        <v>0</v>
      </c>
      <c r="K1832" s="125"/>
      <c r="L1832" s="121"/>
      <c r="M1832" s="125"/>
      <c r="N1832" s="121"/>
      <c r="O1832" s="125"/>
      <c r="P1832" s="126"/>
      <c r="Q1832" s="127"/>
      <c r="R1832" s="127"/>
      <c r="S1832" s="127"/>
      <c r="T1832" s="127"/>
    </row>
    <row r="1833" spans="1:20" ht="13.8">
      <c r="A1833" s="118" t="str">
        <f ca="1">IFERROR(__xludf.DUMMYFUNCTION("""COMPUTED_VALUE"""),"SHR")</f>
        <v>SHR</v>
      </c>
      <c r="B1833" s="119" t="str">
        <f ca="1">IFERROR(__xludf.DUMMYFUNCTION("""COMPUTED_VALUE"""),"Stanley Hopwood")</f>
        <v>Stanley Hopwood</v>
      </c>
      <c r="C1833" s="118">
        <f ca="1">IFERROR(__xludf.DUMMYFUNCTION("""COMPUTED_VALUE"""),10)</f>
        <v>10</v>
      </c>
      <c r="D1833" s="118" t="str">
        <f ca="1">IFERROR(__xludf.DUMMYFUNCTION("""COMPUTED_VALUE"""),"B")</f>
        <v>B</v>
      </c>
      <c r="E1833" s="118" t="str">
        <f ca="1">IFERROR(__xludf.DUMMYFUNCTION("""COMPUTED_VALUE"""),"F")</f>
        <v>F</v>
      </c>
      <c r="F1833" s="124" t="str">
        <f ca="1">IFERROR(__xludf.DUMMYFUNCTION("""COMPUTED_VALUE"""),"J")</f>
        <v>J</v>
      </c>
      <c r="G1833" s="124">
        <f ca="1">IFERROR(__xludf.DUMMYFUNCTION("""COMPUTED_VALUE"""),2)</f>
        <v>2</v>
      </c>
      <c r="H1833" s="124" t="str">
        <f ca="1">IFERROR(__xludf.DUMMYFUNCTION("""COMPUTED_VALUE"""),"SHR")</f>
        <v>SHR</v>
      </c>
      <c r="I1833" s="124">
        <f ca="1">IFERROR(__xludf.DUMMYFUNCTION("""COMPUTED_VALUE"""),5)</f>
        <v>5</v>
      </c>
      <c r="J1833" s="124">
        <f ca="1">IFERROR(__xludf.DUMMYFUNCTION("""COMPUTED_VALUE"""),5)</f>
        <v>5</v>
      </c>
      <c r="K1833" s="125">
        <f ca="1">IFERROR(__xludf.DUMMYFUNCTION("""COMPUTED_VALUE"""),48.9)</f>
        <v>48.9</v>
      </c>
      <c r="L1833" s="121"/>
      <c r="M1833" s="125">
        <f ca="1">IFERROR(__xludf.DUMMYFUNCTION("""COMPUTED_VALUE"""),48.9)</f>
        <v>48.9</v>
      </c>
      <c r="N1833" s="121"/>
      <c r="O1833" s="125">
        <f ca="1">IFERROR(__xludf.DUMMYFUNCTION("""COMPUTED_VALUE"""),40.85)</f>
        <v>40.85</v>
      </c>
      <c r="P1833" s="126"/>
      <c r="Q1833" s="127"/>
      <c r="R1833" s="127"/>
      <c r="S1833" s="127"/>
      <c r="T1833" s="127"/>
    </row>
    <row r="1834" spans="1:20" ht="13.8">
      <c r="A1834" s="118" t="str">
        <f ca="1">IFERROR(__xludf.DUMMYFUNCTION("""COMPUTED_VALUE"""),"SHR")</f>
        <v>SHR</v>
      </c>
      <c r="B1834" s="119" t="str">
        <f ca="1">IFERROR(__xludf.DUMMYFUNCTION("""COMPUTED_VALUE"""),"Tripp Walter")</f>
        <v>Tripp Walter</v>
      </c>
      <c r="C1834" s="118">
        <f ca="1">IFERROR(__xludf.DUMMYFUNCTION("""COMPUTED_VALUE"""),9)</f>
        <v>9</v>
      </c>
      <c r="D1834" s="118" t="str">
        <f ca="1">IFERROR(__xludf.DUMMYFUNCTION("""COMPUTED_VALUE"""),"B")</f>
        <v>B</v>
      </c>
      <c r="E1834" s="118" t="str">
        <f ca="1">IFERROR(__xludf.DUMMYFUNCTION("""COMPUTED_VALUE"""),"F")</f>
        <v>F</v>
      </c>
      <c r="F1834" s="124" t="str">
        <f ca="1">IFERROR(__xludf.DUMMYFUNCTION("""COMPUTED_VALUE"""),"J")</f>
        <v>J</v>
      </c>
      <c r="G1834" s="124">
        <f ca="1">IFERROR(__xludf.DUMMYFUNCTION("""COMPUTED_VALUE"""),2)</f>
        <v>2</v>
      </c>
      <c r="H1834" s="124" t="str">
        <f ca="1">IFERROR(__xludf.DUMMYFUNCTION("""COMPUTED_VALUE"""),"SHR")</f>
        <v>SHR</v>
      </c>
      <c r="I1834" s="124">
        <f ca="1">IFERROR(__xludf.DUMMYFUNCTION("""COMPUTED_VALUE"""),5)</f>
        <v>5</v>
      </c>
      <c r="J1834" s="124">
        <f ca="1">IFERROR(__xludf.DUMMYFUNCTION("""COMPUTED_VALUE"""),3)</f>
        <v>3</v>
      </c>
      <c r="K1834" s="125">
        <f ca="1">IFERROR(__xludf.DUMMYFUNCTION("""COMPUTED_VALUE"""),47.3)</f>
        <v>47.3</v>
      </c>
      <c r="L1834" s="121"/>
      <c r="M1834" s="125"/>
      <c r="N1834" s="121"/>
      <c r="O1834" s="125"/>
      <c r="P1834" s="126"/>
      <c r="Q1834" s="127"/>
      <c r="R1834" s="127"/>
      <c r="S1834" s="127"/>
      <c r="T1834" s="127"/>
    </row>
    <row r="1835" spans="1:20" ht="13.8">
      <c r="A1835" s="118" t="str">
        <f ca="1">IFERROR(__xludf.DUMMYFUNCTION("""COMPUTED_VALUE"""),"SHR")</f>
        <v>SHR</v>
      </c>
      <c r="B1835" s="119" t="str">
        <f ca="1">IFERROR(__xludf.DUMMYFUNCTION("""COMPUTED_VALUE"""),"Wade Squire")</f>
        <v>Wade Squire</v>
      </c>
      <c r="C1835" s="118">
        <f ca="1">IFERROR(__xludf.DUMMYFUNCTION("""COMPUTED_VALUE"""),10)</f>
        <v>10</v>
      </c>
      <c r="D1835" s="118" t="str">
        <f ca="1">IFERROR(__xludf.DUMMYFUNCTION("""COMPUTED_VALUE"""),"B")</f>
        <v>B</v>
      </c>
      <c r="E1835" s="118" t="str">
        <f ca="1">IFERROR(__xludf.DUMMYFUNCTION("""COMPUTED_VALUE"""),"F")</f>
        <v>F</v>
      </c>
      <c r="F1835" s="124" t="str">
        <f ca="1">IFERROR(__xludf.DUMMYFUNCTION("""COMPUTED_VALUE"""),"J")</f>
        <v>J</v>
      </c>
      <c r="G1835" s="124">
        <f ca="1">IFERROR(__xludf.DUMMYFUNCTION("""COMPUTED_VALUE"""),2)</f>
        <v>2</v>
      </c>
      <c r="H1835" s="124" t="str">
        <f ca="1">IFERROR(__xludf.DUMMYFUNCTION("""COMPUTED_VALUE"""),"SHR")</f>
        <v>SHR</v>
      </c>
      <c r="I1835" s="124">
        <f ca="1">IFERROR(__xludf.DUMMYFUNCTION("""COMPUTED_VALUE"""),5)</f>
        <v>5</v>
      </c>
      <c r="J1835" s="124">
        <f ca="1">IFERROR(__xludf.DUMMYFUNCTION("""COMPUTED_VALUE"""),5)</f>
        <v>5</v>
      </c>
      <c r="K1835" s="125">
        <f ca="1">IFERROR(__xludf.DUMMYFUNCTION("""COMPUTED_VALUE"""),82.55)</f>
        <v>82.55</v>
      </c>
      <c r="L1835" s="121"/>
      <c r="M1835" s="125">
        <f ca="1">IFERROR(__xludf.DUMMYFUNCTION("""COMPUTED_VALUE"""),66)</f>
        <v>66</v>
      </c>
      <c r="N1835" s="121"/>
      <c r="O1835" s="125">
        <f ca="1">IFERROR(__xludf.DUMMYFUNCTION("""COMPUTED_VALUE"""),73.15)</f>
        <v>73.150000000000006</v>
      </c>
      <c r="P1835" s="126"/>
      <c r="Q1835" s="127"/>
      <c r="R1835" s="127"/>
      <c r="S1835" s="127"/>
      <c r="T1835" s="127"/>
    </row>
    <row r="1836" spans="1:20" ht="13.8">
      <c r="A1836" s="118" t="str">
        <f ca="1">IFERROR(__xludf.DUMMYFUNCTION("""COMPUTED_VALUE"""),"SHR")</f>
        <v>SHR</v>
      </c>
      <c r="B1836" s="119" t="str">
        <f ca="1">IFERROR(__xludf.DUMMYFUNCTION("""COMPUTED_VALUE"""),"William Camel")</f>
        <v>William Camel</v>
      </c>
      <c r="C1836" s="118">
        <f ca="1">IFERROR(__xludf.DUMMYFUNCTION("""COMPUTED_VALUE"""),7)</f>
        <v>7</v>
      </c>
      <c r="D1836" s="118" t="str">
        <f ca="1">IFERROR(__xludf.DUMMYFUNCTION("""COMPUTED_VALUE"""),"B")</f>
        <v>B</v>
      </c>
      <c r="E1836" s="118" t="str">
        <f ca="1">IFERROR(__xludf.DUMMYFUNCTION("""COMPUTED_VALUE"""),"F")</f>
        <v>F</v>
      </c>
      <c r="F1836" s="124" t="str">
        <f ca="1">IFERROR(__xludf.DUMMYFUNCTION("""COMPUTED_VALUE"""),"J")</f>
        <v>J</v>
      </c>
      <c r="G1836" s="124">
        <f ca="1">IFERROR(__xludf.DUMMYFUNCTION("""COMPUTED_VALUE"""),2)</f>
        <v>2</v>
      </c>
      <c r="H1836" s="124" t="str">
        <f ca="1">IFERROR(__xludf.DUMMYFUNCTION("""COMPUTED_VALUE"""),"SHR")</f>
        <v>SHR</v>
      </c>
      <c r="I1836" s="124">
        <f ca="1">IFERROR(__xludf.DUMMYFUNCTION("""COMPUTED_VALUE"""),5)</f>
        <v>5</v>
      </c>
      <c r="J1836" s="124">
        <f ca="1">IFERROR(__xludf.DUMMYFUNCTION("""COMPUTED_VALUE"""),0)</f>
        <v>0</v>
      </c>
      <c r="K1836" s="125"/>
      <c r="L1836" s="121"/>
      <c r="M1836" s="125"/>
      <c r="N1836" s="121"/>
      <c r="O1836" s="125"/>
      <c r="P1836" s="126"/>
      <c r="Q1836" s="127"/>
      <c r="R1836" s="127"/>
      <c r="S1836" s="127"/>
      <c r="T1836" s="127"/>
    </row>
    <row r="1837" spans="1:20" ht="13.8">
      <c r="A1837" s="118" t="str">
        <f ca="1">IFERROR(__xludf.DUMMYFUNCTION("""COMPUTED_VALUE"""),"SHR")</f>
        <v>SHR</v>
      </c>
      <c r="B1837" s="119" t="str">
        <f ca="1">IFERROR(__xludf.DUMMYFUNCTION("""COMPUTED_VALUE"""),"Zach Scherer")</f>
        <v>Zach Scherer</v>
      </c>
      <c r="C1837" s="118">
        <f ca="1">IFERROR(__xludf.DUMMYFUNCTION("""COMPUTED_VALUE"""),10)</f>
        <v>10</v>
      </c>
      <c r="D1837" s="118" t="str">
        <f ca="1">IFERROR(__xludf.DUMMYFUNCTION("""COMPUTED_VALUE"""),"B")</f>
        <v>B</v>
      </c>
      <c r="E1837" s="118" t="str">
        <f ca="1">IFERROR(__xludf.DUMMYFUNCTION("""COMPUTED_VALUE"""),"F")</f>
        <v>F</v>
      </c>
      <c r="F1837" s="124" t="str">
        <f ca="1">IFERROR(__xludf.DUMMYFUNCTION("""COMPUTED_VALUE"""),"J")</f>
        <v>J</v>
      </c>
      <c r="G1837" s="124">
        <f ca="1">IFERROR(__xludf.DUMMYFUNCTION("""COMPUTED_VALUE"""),2)</f>
        <v>2</v>
      </c>
      <c r="H1837" s="124" t="str">
        <f ca="1">IFERROR(__xludf.DUMMYFUNCTION("""COMPUTED_VALUE"""),"SHR")</f>
        <v>SHR</v>
      </c>
      <c r="I1837" s="124">
        <f ca="1">IFERROR(__xludf.DUMMYFUNCTION("""COMPUTED_VALUE"""),5)</f>
        <v>5</v>
      </c>
      <c r="J1837" s="124">
        <f ca="1">IFERROR(__xludf.DUMMYFUNCTION("""COMPUTED_VALUE"""),5)</f>
        <v>5</v>
      </c>
      <c r="K1837" s="125">
        <f ca="1">IFERROR(__xludf.DUMMYFUNCTION("""COMPUTED_VALUE"""),62.4)</f>
        <v>62.4</v>
      </c>
      <c r="L1837" s="121"/>
      <c r="M1837" s="125">
        <f ca="1">IFERROR(__xludf.DUMMYFUNCTION("""COMPUTED_VALUE"""),62.4)</f>
        <v>62.4</v>
      </c>
      <c r="N1837" s="121"/>
      <c r="O1837" s="125">
        <f ca="1">IFERROR(__xludf.DUMMYFUNCTION("""COMPUTED_VALUE"""),55.5)</f>
        <v>55.5</v>
      </c>
      <c r="P1837" s="126"/>
      <c r="Q1837" s="127"/>
      <c r="R1837" s="127"/>
      <c r="S1837" s="127"/>
      <c r="T1837" s="127"/>
    </row>
    <row r="1838" spans="1:20" ht="13.8">
      <c r="A1838" s="118" t="str">
        <f ca="1">IFERROR(__xludf.DUMMYFUNCTION("""COMPUTED_VALUE"""),"SHR")</f>
        <v>SHR</v>
      </c>
      <c r="B1838" s="119" t="str">
        <f ca="1">IFERROR(__xludf.DUMMYFUNCTION("""COMPUTED_VALUE"""),"Annabelle Freshman")</f>
        <v>Annabelle Freshman</v>
      </c>
      <c r="C1838" s="118">
        <f ca="1">IFERROR(__xludf.DUMMYFUNCTION("""COMPUTED_VALUE"""),11)</f>
        <v>11</v>
      </c>
      <c r="D1838" s="118" t="str">
        <f ca="1">IFERROR(__xludf.DUMMYFUNCTION("""COMPUTED_VALUE"""),"G")</f>
        <v>G</v>
      </c>
      <c r="E1838" s="118" t="str">
        <f ca="1">IFERROR(__xludf.DUMMYFUNCTION("""COMPUTED_VALUE"""),"J")</f>
        <v>J</v>
      </c>
      <c r="F1838" s="124" t="str">
        <f ca="1">IFERROR(__xludf.DUMMYFUNCTION("""COMPUTED_VALUE"""),"I")</f>
        <v>I</v>
      </c>
      <c r="G1838" s="124">
        <f ca="1">IFERROR(__xludf.DUMMYFUNCTION("""COMPUTED_VALUE"""),2)</f>
        <v>2</v>
      </c>
      <c r="H1838" s="124" t="str">
        <f ca="1">IFERROR(__xludf.DUMMYFUNCTION("""COMPUTED_VALUE"""),"SHR")</f>
        <v>SHR</v>
      </c>
      <c r="I1838" s="124">
        <f ca="1">IFERROR(__xludf.DUMMYFUNCTION("""COMPUTED_VALUE"""),6)</f>
        <v>6</v>
      </c>
      <c r="J1838" s="124">
        <f ca="1">IFERROR(__xludf.DUMMYFUNCTION("""COMPUTED_VALUE"""),0)</f>
        <v>0</v>
      </c>
      <c r="K1838" s="125"/>
      <c r="L1838" s="121"/>
      <c r="M1838" s="125"/>
      <c r="N1838" s="121"/>
      <c r="O1838" s="125"/>
      <c r="P1838" s="126"/>
      <c r="Q1838" s="127"/>
      <c r="R1838" s="127"/>
      <c r="S1838" s="127"/>
      <c r="T1838" s="127"/>
    </row>
    <row r="1839" spans="1:20" ht="13.8">
      <c r="A1839" s="118" t="str">
        <f ca="1">IFERROR(__xludf.DUMMYFUNCTION("""COMPUTED_VALUE"""),"SHR")</f>
        <v>SHR</v>
      </c>
      <c r="B1839" s="119" t="str">
        <f ca="1">IFERROR(__xludf.DUMMYFUNCTION("""COMPUTED_VALUE"""),"Avery Jackson")</f>
        <v>Avery Jackson</v>
      </c>
      <c r="C1839" s="118">
        <f ca="1">IFERROR(__xludf.DUMMYFUNCTION("""COMPUTED_VALUE"""),11)</f>
        <v>11</v>
      </c>
      <c r="D1839" s="118" t="str">
        <f ca="1">IFERROR(__xludf.DUMMYFUNCTION("""COMPUTED_VALUE"""),"G")</f>
        <v>G</v>
      </c>
      <c r="E1839" s="118" t="str">
        <f ca="1">IFERROR(__xludf.DUMMYFUNCTION("""COMPUTED_VALUE"""),"J")</f>
        <v>J</v>
      </c>
      <c r="F1839" s="124" t="str">
        <f ca="1">IFERROR(__xludf.DUMMYFUNCTION("""COMPUTED_VALUE"""),"I")</f>
        <v>I</v>
      </c>
      <c r="G1839" s="124">
        <f ca="1">IFERROR(__xludf.DUMMYFUNCTION("""COMPUTED_VALUE"""),2)</f>
        <v>2</v>
      </c>
      <c r="H1839" s="124" t="str">
        <f ca="1">IFERROR(__xludf.DUMMYFUNCTION("""COMPUTED_VALUE"""),"SHR")</f>
        <v>SHR</v>
      </c>
      <c r="I1839" s="124">
        <f ca="1">IFERROR(__xludf.DUMMYFUNCTION("""COMPUTED_VALUE"""),6)</f>
        <v>6</v>
      </c>
      <c r="J1839" s="124">
        <f ca="1">IFERROR(__xludf.DUMMYFUNCTION("""COMPUTED_VALUE"""),5)</f>
        <v>5</v>
      </c>
      <c r="K1839" s="125">
        <f ca="1">IFERROR(__xludf.DUMMYFUNCTION("""COMPUTED_VALUE"""),76.65)</f>
        <v>76.650000000000006</v>
      </c>
      <c r="L1839" s="121"/>
      <c r="M1839" s="125">
        <f ca="1">IFERROR(__xludf.DUMMYFUNCTION("""COMPUTED_VALUE"""),70.2)</f>
        <v>70.2</v>
      </c>
      <c r="N1839" s="121"/>
      <c r="O1839" s="125">
        <f ca="1">IFERROR(__xludf.DUMMYFUNCTION("""COMPUTED_VALUE"""),65.9)</f>
        <v>65.900000000000006</v>
      </c>
      <c r="P1839" s="126"/>
      <c r="Q1839" s="127"/>
      <c r="R1839" s="127"/>
      <c r="S1839" s="127"/>
      <c r="T1839" s="127"/>
    </row>
    <row r="1840" spans="1:20" ht="13.8">
      <c r="A1840" s="118" t="str">
        <f ca="1">IFERROR(__xludf.DUMMYFUNCTION("""COMPUTED_VALUE"""),"SHR")</f>
        <v>SHR</v>
      </c>
      <c r="B1840" s="119" t="str">
        <f ca="1">IFERROR(__xludf.DUMMYFUNCTION("""COMPUTED_VALUE"""),"Avery Swanson")</f>
        <v>Avery Swanson</v>
      </c>
      <c r="C1840" s="118">
        <f ca="1">IFERROR(__xludf.DUMMYFUNCTION("""COMPUTED_VALUE"""),11)</f>
        <v>11</v>
      </c>
      <c r="D1840" s="118" t="str">
        <f ca="1">IFERROR(__xludf.DUMMYFUNCTION("""COMPUTED_VALUE"""),"G")</f>
        <v>G</v>
      </c>
      <c r="E1840" s="118" t="str">
        <f ca="1">IFERROR(__xludf.DUMMYFUNCTION("""COMPUTED_VALUE"""),"J")</f>
        <v>J</v>
      </c>
      <c r="F1840" s="124" t="str">
        <f ca="1">IFERROR(__xludf.DUMMYFUNCTION("""COMPUTED_VALUE"""),"I")</f>
        <v>I</v>
      </c>
      <c r="G1840" s="124">
        <f ca="1">IFERROR(__xludf.DUMMYFUNCTION("""COMPUTED_VALUE"""),2)</f>
        <v>2</v>
      </c>
      <c r="H1840" s="124" t="str">
        <f ca="1">IFERROR(__xludf.DUMMYFUNCTION("""COMPUTED_VALUE"""),"SHR")</f>
        <v>SHR</v>
      </c>
      <c r="I1840" s="124">
        <f ca="1">IFERROR(__xludf.DUMMYFUNCTION("""COMPUTED_VALUE"""),6)</f>
        <v>6</v>
      </c>
      <c r="J1840" s="124">
        <f ca="1">IFERROR(__xludf.DUMMYFUNCTION("""COMPUTED_VALUE"""),4)</f>
        <v>4</v>
      </c>
      <c r="K1840" s="125">
        <f ca="1">IFERROR(__xludf.DUMMYFUNCTION("""COMPUTED_VALUE"""),85)</f>
        <v>85</v>
      </c>
      <c r="L1840" s="121"/>
      <c r="M1840" s="125">
        <f ca="1">IFERROR(__xludf.DUMMYFUNCTION("""COMPUTED_VALUE"""),68.95)</f>
        <v>68.95</v>
      </c>
      <c r="N1840" s="121"/>
      <c r="O1840" s="125">
        <f ca="1">IFERROR(__xludf.DUMMYFUNCTION("""COMPUTED_VALUE"""),84.3)</f>
        <v>84.3</v>
      </c>
      <c r="P1840" s="126"/>
      <c r="Q1840" s="127"/>
      <c r="R1840" s="127"/>
      <c r="S1840" s="127"/>
      <c r="T1840" s="127"/>
    </row>
    <row r="1841" spans="1:20" ht="13.8">
      <c r="A1841" s="118" t="str">
        <f ca="1">IFERROR(__xludf.DUMMYFUNCTION("""COMPUTED_VALUE"""),"SHR")</f>
        <v>SHR</v>
      </c>
      <c r="B1841" s="119" t="str">
        <f ca="1">IFERROR(__xludf.DUMMYFUNCTION("""COMPUTED_VALUE"""),"Coco Marra")</f>
        <v>Coco Marra</v>
      </c>
      <c r="C1841" s="118">
        <f ca="1">IFERROR(__xludf.DUMMYFUNCTION("""COMPUTED_VALUE"""),11)</f>
        <v>11</v>
      </c>
      <c r="D1841" s="118" t="str">
        <f ca="1">IFERROR(__xludf.DUMMYFUNCTION("""COMPUTED_VALUE"""),"G")</f>
        <v>G</v>
      </c>
      <c r="E1841" s="118" t="str">
        <f ca="1">IFERROR(__xludf.DUMMYFUNCTION("""COMPUTED_VALUE"""),"J")</f>
        <v>J</v>
      </c>
      <c r="F1841" s="124" t="str">
        <f ca="1">IFERROR(__xludf.DUMMYFUNCTION("""COMPUTED_VALUE"""),"I")</f>
        <v>I</v>
      </c>
      <c r="G1841" s="124">
        <f ca="1">IFERROR(__xludf.DUMMYFUNCTION("""COMPUTED_VALUE"""),2)</f>
        <v>2</v>
      </c>
      <c r="H1841" s="124" t="str">
        <f ca="1">IFERROR(__xludf.DUMMYFUNCTION("""COMPUTED_VALUE"""),"SHR")</f>
        <v>SHR</v>
      </c>
      <c r="I1841" s="124">
        <f ca="1">IFERROR(__xludf.DUMMYFUNCTION("""COMPUTED_VALUE"""),6)</f>
        <v>6</v>
      </c>
      <c r="J1841" s="124">
        <f ca="1">IFERROR(__xludf.DUMMYFUNCTION("""COMPUTED_VALUE"""),5)</f>
        <v>5</v>
      </c>
      <c r="K1841" s="125">
        <f ca="1">IFERROR(__xludf.DUMMYFUNCTION("""COMPUTED_VALUE"""),83.9)</f>
        <v>83.9</v>
      </c>
      <c r="L1841" s="121"/>
      <c r="M1841" s="125">
        <f ca="1">IFERROR(__xludf.DUMMYFUNCTION("""COMPUTED_VALUE"""),77.75)</f>
        <v>77.75</v>
      </c>
      <c r="N1841" s="121"/>
      <c r="O1841" s="125">
        <f ca="1">IFERROR(__xludf.DUMMYFUNCTION("""COMPUTED_VALUE"""),70.9)</f>
        <v>70.900000000000006</v>
      </c>
      <c r="P1841" s="126"/>
      <c r="Q1841" s="127"/>
      <c r="R1841" s="127"/>
      <c r="S1841" s="127"/>
      <c r="T1841" s="127"/>
    </row>
    <row r="1842" spans="1:20" ht="13.8">
      <c r="A1842" s="118" t="str">
        <f ca="1">IFERROR(__xludf.DUMMYFUNCTION("""COMPUTED_VALUE"""),"SHR")</f>
        <v>SHR</v>
      </c>
      <c r="B1842" s="119" t="str">
        <f ca="1">IFERROR(__xludf.DUMMYFUNCTION("""COMPUTED_VALUE"""),"Elle Feeley")</f>
        <v>Elle Feeley</v>
      </c>
      <c r="C1842" s="118">
        <f ca="1">IFERROR(__xludf.DUMMYFUNCTION("""COMPUTED_VALUE"""),11)</f>
        <v>11</v>
      </c>
      <c r="D1842" s="118" t="str">
        <f ca="1">IFERROR(__xludf.DUMMYFUNCTION("""COMPUTED_VALUE"""),"G")</f>
        <v>G</v>
      </c>
      <c r="E1842" s="118" t="str">
        <f ca="1">IFERROR(__xludf.DUMMYFUNCTION("""COMPUTED_VALUE"""),"J")</f>
        <v>J</v>
      </c>
      <c r="F1842" s="124" t="str">
        <f ca="1">IFERROR(__xludf.DUMMYFUNCTION("""COMPUTED_VALUE"""),"I")</f>
        <v>I</v>
      </c>
      <c r="G1842" s="124">
        <f ca="1">IFERROR(__xludf.DUMMYFUNCTION("""COMPUTED_VALUE"""),2)</f>
        <v>2</v>
      </c>
      <c r="H1842" s="124" t="str">
        <f ca="1">IFERROR(__xludf.DUMMYFUNCTION("""COMPUTED_VALUE"""),"SHR")</f>
        <v>SHR</v>
      </c>
      <c r="I1842" s="124">
        <f ca="1">IFERROR(__xludf.DUMMYFUNCTION("""COMPUTED_VALUE"""),6)</f>
        <v>6</v>
      </c>
      <c r="J1842" s="124">
        <f ca="1">IFERROR(__xludf.DUMMYFUNCTION("""COMPUTED_VALUE"""),5)</f>
        <v>5</v>
      </c>
      <c r="K1842" s="125">
        <f ca="1">IFERROR(__xludf.DUMMYFUNCTION("""COMPUTED_VALUE"""),100.55)</f>
        <v>100.55</v>
      </c>
      <c r="L1842" s="121"/>
      <c r="M1842" s="125">
        <f ca="1">IFERROR(__xludf.DUMMYFUNCTION("""COMPUTED_VALUE"""),95.85)</f>
        <v>95.85</v>
      </c>
      <c r="N1842" s="121"/>
      <c r="O1842" s="125">
        <f ca="1">IFERROR(__xludf.DUMMYFUNCTION("""COMPUTED_VALUE"""),87.7)</f>
        <v>87.7</v>
      </c>
      <c r="P1842" s="126"/>
      <c r="Q1842" s="127"/>
      <c r="R1842" s="127"/>
      <c r="S1842" s="127"/>
      <c r="T1842" s="127"/>
    </row>
    <row r="1843" spans="1:20" ht="13.8">
      <c r="A1843" s="118" t="str">
        <f ca="1">IFERROR(__xludf.DUMMYFUNCTION("""COMPUTED_VALUE"""),"SHR")</f>
        <v>SHR</v>
      </c>
      <c r="B1843" s="119" t="str">
        <f ca="1">IFERROR(__xludf.DUMMYFUNCTION("""COMPUTED_VALUE"""),"Hailey DiVincenzo")</f>
        <v>Hailey DiVincenzo</v>
      </c>
      <c r="C1843" s="118">
        <f ca="1">IFERROR(__xludf.DUMMYFUNCTION("""COMPUTED_VALUE"""),11)</f>
        <v>11</v>
      </c>
      <c r="D1843" s="118" t="str">
        <f ca="1">IFERROR(__xludf.DUMMYFUNCTION("""COMPUTED_VALUE"""),"G")</f>
        <v>G</v>
      </c>
      <c r="E1843" s="118" t="str">
        <f ca="1">IFERROR(__xludf.DUMMYFUNCTION("""COMPUTED_VALUE"""),"J")</f>
        <v>J</v>
      </c>
      <c r="F1843" s="124" t="str">
        <f ca="1">IFERROR(__xludf.DUMMYFUNCTION("""COMPUTED_VALUE"""),"I")</f>
        <v>I</v>
      </c>
      <c r="G1843" s="124">
        <f ca="1">IFERROR(__xludf.DUMMYFUNCTION("""COMPUTED_VALUE"""),2)</f>
        <v>2</v>
      </c>
      <c r="H1843" s="124" t="str">
        <f ca="1">IFERROR(__xludf.DUMMYFUNCTION("""COMPUTED_VALUE"""),"SHR")</f>
        <v>SHR</v>
      </c>
      <c r="I1843" s="124">
        <f ca="1">IFERROR(__xludf.DUMMYFUNCTION("""COMPUTED_VALUE"""),6)</f>
        <v>6</v>
      </c>
      <c r="J1843" s="124">
        <f ca="1">IFERROR(__xludf.DUMMYFUNCTION("""COMPUTED_VALUE"""),1)</f>
        <v>1</v>
      </c>
      <c r="K1843" s="125"/>
      <c r="L1843" s="121"/>
      <c r="M1843" s="125"/>
      <c r="N1843" s="121"/>
      <c r="O1843" s="125"/>
      <c r="P1843" s="126"/>
      <c r="Q1843" s="127"/>
      <c r="R1843" s="127"/>
      <c r="S1843" s="127"/>
      <c r="T1843" s="127"/>
    </row>
    <row r="1844" spans="1:20" ht="13.8">
      <c r="A1844" s="118" t="str">
        <f ca="1">IFERROR(__xludf.DUMMYFUNCTION("""COMPUTED_VALUE"""),"SHR")</f>
        <v>SHR</v>
      </c>
      <c r="B1844" s="119" t="str">
        <f ca="1">IFERROR(__xludf.DUMMYFUNCTION("""COMPUTED_VALUE"""),"Hannah Brubeck")</f>
        <v>Hannah Brubeck</v>
      </c>
      <c r="C1844" s="118">
        <f ca="1">IFERROR(__xludf.DUMMYFUNCTION("""COMPUTED_VALUE"""),11)</f>
        <v>11</v>
      </c>
      <c r="D1844" s="118" t="str">
        <f ca="1">IFERROR(__xludf.DUMMYFUNCTION("""COMPUTED_VALUE"""),"G")</f>
        <v>G</v>
      </c>
      <c r="E1844" s="118" t="str">
        <f ca="1">IFERROR(__xludf.DUMMYFUNCTION("""COMPUTED_VALUE"""),"J")</f>
        <v>J</v>
      </c>
      <c r="F1844" s="124" t="str">
        <f ca="1">IFERROR(__xludf.DUMMYFUNCTION("""COMPUTED_VALUE"""),"I")</f>
        <v>I</v>
      </c>
      <c r="G1844" s="124">
        <f ca="1">IFERROR(__xludf.DUMMYFUNCTION("""COMPUTED_VALUE"""),2)</f>
        <v>2</v>
      </c>
      <c r="H1844" s="124" t="str">
        <f ca="1">IFERROR(__xludf.DUMMYFUNCTION("""COMPUTED_VALUE"""),"SHR")</f>
        <v>SHR</v>
      </c>
      <c r="I1844" s="124">
        <f ca="1">IFERROR(__xludf.DUMMYFUNCTION("""COMPUTED_VALUE"""),6)</f>
        <v>6</v>
      </c>
      <c r="J1844" s="124">
        <f ca="1">IFERROR(__xludf.DUMMYFUNCTION("""COMPUTED_VALUE"""),5)</f>
        <v>5</v>
      </c>
      <c r="K1844" s="125">
        <f ca="1">IFERROR(__xludf.DUMMYFUNCTION("""COMPUTED_VALUE"""),121.45)</f>
        <v>121.45</v>
      </c>
      <c r="L1844" s="121"/>
      <c r="M1844" s="125">
        <f ca="1">IFERROR(__xludf.DUMMYFUNCTION("""COMPUTED_VALUE"""),-143.25)</f>
        <v>-143.25</v>
      </c>
      <c r="N1844" s="121"/>
      <c r="O1844" s="125">
        <f ca="1">IFERROR(__xludf.DUMMYFUNCTION("""COMPUTED_VALUE"""),105.75)</f>
        <v>105.75</v>
      </c>
      <c r="P1844" s="126"/>
      <c r="Q1844" s="127"/>
      <c r="R1844" s="127"/>
      <c r="S1844" s="127"/>
      <c r="T1844" s="127"/>
    </row>
    <row r="1845" spans="1:20" ht="13.8">
      <c r="A1845" s="118" t="str">
        <f ca="1">IFERROR(__xludf.DUMMYFUNCTION("""COMPUTED_VALUE"""),"SHR")</f>
        <v>SHR</v>
      </c>
      <c r="B1845" s="119" t="str">
        <f ca="1">IFERROR(__xludf.DUMMYFUNCTION("""COMPUTED_VALUE"""),"Isla Cannon")</f>
        <v>Isla Cannon</v>
      </c>
      <c r="C1845" s="118">
        <f ca="1">IFERROR(__xludf.DUMMYFUNCTION("""COMPUTED_VALUE"""),11)</f>
        <v>11</v>
      </c>
      <c r="D1845" s="118" t="str">
        <f ca="1">IFERROR(__xludf.DUMMYFUNCTION("""COMPUTED_VALUE"""),"G")</f>
        <v>G</v>
      </c>
      <c r="E1845" s="118" t="str">
        <f ca="1">IFERROR(__xludf.DUMMYFUNCTION("""COMPUTED_VALUE"""),"J")</f>
        <v>J</v>
      </c>
      <c r="F1845" s="124" t="str">
        <f ca="1">IFERROR(__xludf.DUMMYFUNCTION("""COMPUTED_VALUE"""),"I")</f>
        <v>I</v>
      </c>
      <c r="G1845" s="124">
        <f ca="1">IFERROR(__xludf.DUMMYFUNCTION("""COMPUTED_VALUE"""),2)</f>
        <v>2</v>
      </c>
      <c r="H1845" s="124" t="str">
        <f ca="1">IFERROR(__xludf.DUMMYFUNCTION("""COMPUTED_VALUE"""),"SHR")</f>
        <v>SHR</v>
      </c>
      <c r="I1845" s="124">
        <f ca="1">IFERROR(__xludf.DUMMYFUNCTION("""COMPUTED_VALUE"""),6)</f>
        <v>6</v>
      </c>
      <c r="J1845" s="124">
        <f ca="1">IFERROR(__xludf.DUMMYFUNCTION("""COMPUTED_VALUE"""),0)</f>
        <v>0</v>
      </c>
      <c r="K1845" s="125"/>
      <c r="L1845" s="121"/>
      <c r="M1845" s="125"/>
      <c r="N1845" s="121"/>
      <c r="O1845" s="125"/>
      <c r="P1845" s="126"/>
      <c r="Q1845" s="127"/>
      <c r="R1845" s="127"/>
      <c r="S1845" s="127"/>
      <c r="T1845" s="127"/>
    </row>
    <row r="1846" spans="1:20" ht="13.8">
      <c r="A1846" s="118" t="str">
        <f ca="1">IFERROR(__xludf.DUMMYFUNCTION("""COMPUTED_VALUE"""),"SHR")</f>
        <v>SHR</v>
      </c>
      <c r="B1846" s="119" t="str">
        <f ca="1">IFERROR(__xludf.DUMMYFUNCTION("""COMPUTED_VALUE"""),"Molly Hamill")</f>
        <v>Molly Hamill</v>
      </c>
      <c r="C1846" s="118">
        <f ca="1">IFERROR(__xludf.DUMMYFUNCTION("""COMPUTED_VALUE"""),11)</f>
        <v>11</v>
      </c>
      <c r="D1846" s="118" t="str">
        <f ca="1">IFERROR(__xludf.DUMMYFUNCTION("""COMPUTED_VALUE"""),"G")</f>
        <v>G</v>
      </c>
      <c r="E1846" s="118" t="str">
        <f ca="1">IFERROR(__xludf.DUMMYFUNCTION("""COMPUTED_VALUE"""),"J")</f>
        <v>J</v>
      </c>
      <c r="F1846" s="124" t="str">
        <f ca="1">IFERROR(__xludf.DUMMYFUNCTION("""COMPUTED_VALUE"""),"I")</f>
        <v>I</v>
      </c>
      <c r="G1846" s="124">
        <f ca="1">IFERROR(__xludf.DUMMYFUNCTION("""COMPUTED_VALUE"""),2)</f>
        <v>2</v>
      </c>
      <c r="H1846" s="124" t="str">
        <f ca="1">IFERROR(__xludf.DUMMYFUNCTION("""COMPUTED_VALUE"""),"SHR")</f>
        <v>SHR</v>
      </c>
      <c r="I1846" s="124">
        <f ca="1">IFERROR(__xludf.DUMMYFUNCTION("""COMPUTED_VALUE"""),6)</f>
        <v>6</v>
      </c>
      <c r="J1846" s="124">
        <f ca="1">IFERROR(__xludf.DUMMYFUNCTION("""COMPUTED_VALUE"""),0)</f>
        <v>0</v>
      </c>
      <c r="K1846" s="125"/>
      <c r="L1846" s="121"/>
      <c r="M1846" s="125"/>
      <c r="N1846" s="121"/>
      <c r="O1846" s="125"/>
      <c r="P1846" s="126"/>
      <c r="Q1846" s="127"/>
      <c r="R1846" s="127"/>
      <c r="S1846" s="127"/>
      <c r="T1846" s="127"/>
    </row>
    <row r="1847" spans="1:20" ht="13.8">
      <c r="A1847" s="118" t="str">
        <f ca="1">IFERROR(__xludf.DUMMYFUNCTION("""COMPUTED_VALUE"""),"SHR")</f>
        <v>SHR</v>
      </c>
      <c r="B1847" s="119" t="str">
        <f ca="1">IFERROR(__xludf.DUMMYFUNCTION("""COMPUTED_VALUE"""),"Pennie Erwin")</f>
        <v>Pennie Erwin</v>
      </c>
      <c r="C1847" s="118">
        <f ca="1">IFERROR(__xludf.DUMMYFUNCTION("""COMPUTED_VALUE"""),11)</f>
        <v>11</v>
      </c>
      <c r="D1847" s="118" t="str">
        <f ca="1">IFERROR(__xludf.DUMMYFUNCTION("""COMPUTED_VALUE"""),"G")</f>
        <v>G</v>
      </c>
      <c r="E1847" s="118" t="str">
        <f ca="1">IFERROR(__xludf.DUMMYFUNCTION("""COMPUTED_VALUE"""),"J")</f>
        <v>J</v>
      </c>
      <c r="F1847" s="124" t="str">
        <f ca="1">IFERROR(__xludf.DUMMYFUNCTION("""COMPUTED_VALUE"""),"I")</f>
        <v>I</v>
      </c>
      <c r="G1847" s="124">
        <f ca="1">IFERROR(__xludf.DUMMYFUNCTION("""COMPUTED_VALUE"""),2)</f>
        <v>2</v>
      </c>
      <c r="H1847" s="124" t="str">
        <f ca="1">IFERROR(__xludf.DUMMYFUNCTION("""COMPUTED_VALUE"""),"SHR")</f>
        <v>SHR</v>
      </c>
      <c r="I1847" s="124">
        <f ca="1">IFERROR(__xludf.DUMMYFUNCTION("""COMPUTED_VALUE"""),6)</f>
        <v>6</v>
      </c>
      <c r="J1847" s="124">
        <f ca="1">IFERROR(__xludf.DUMMYFUNCTION("""COMPUTED_VALUE"""),0)</f>
        <v>0</v>
      </c>
      <c r="K1847" s="125"/>
      <c r="L1847" s="121"/>
      <c r="M1847" s="125"/>
      <c r="N1847" s="121"/>
      <c r="O1847" s="125"/>
      <c r="P1847" s="126"/>
      <c r="Q1847" s="127"/>
      <c r="R1847" s="127"/>
      <c r="S1847" s="127"/>
      <c r="T1847" s="127"/>
    </row>
    <row r="1848" spans="1:20" ht="13.8">
      <c r="A1848" s="118" t="str">
        <f ca="1">IFERROR(__xludf.DUMMYFUNCTION("""COMPUTED_VALUE"""),"SHR")</f>
        <v>SHR</v>
      </c>
      <c r="B1848" s="119" t="str">
        <f ca="1">IFERROR(__xludf.DUMMYFUNCTION("""COMPUTED_VALUE"""),"Remi Sobota")</f>
        <v>Remi Sobota</v>
      </c>
      <c r="C1848" s="118">
        <f ca="1">IFERROR(__xludf.DUMMYFUNCTION("""COMPUTED_VALUE"""),11)</f>
        <v>11</v>
      </c>
      <c r="D1848" s="118" t="str">
        <f ca="1">IFERROR(__xludf.DUMMYFUNCTION("""COMPUTED_VALUE"""),"G")</f>
        <v>G</v>
      </c>
      <c r="E1848" s="118" t="str">
        <f ca="1">IFERROR(__xludf.DUMMYFUNCTION("""COMPUTED_VALUE"""),"J")</f>
        <v>J</v>
      </c>
      <c r="F1848" s="124" t="str">
        <f ca="1">IFERROR(__xludf.DUMMYFUNCTION("""COMPUTED_VALUE"""),"I")</f>
        <v>I</v>
      </c>
      <c r="G1848" s="124">
        <f ca="1">IFERROR(__xludf.DUMMYFUNCTION("""COMPUTED_VALUE"""),2)</f>
        <v>2</v>
      </c>
      <c r="H1848" s="124" t="str">
        <f ca="1">IFERROR(__xludf.DUMMYFUNCTION("""COMPUTED_VALUE"""),"SHR")</f>
        <v>SHR</v>
      </c>
      <c r="I1848" s="124">
        <f ca="1">IFERROR(__xludf.DUMMYFUNCTION("""COMPUTED_VALUE"""),6)</f>
        <v>6</v>
      </c>
      <c r="J1848" s="124">
        <f ca="1">IFERROR(__xludf.DUMMYFUNCTION("""COMPUTED_VALUE"""),0)</f>
        <v>0</v>
      </c>
      <c r="K1848" s="125"/>
      <c r="L1848" s="121"/>
      <c r="M1848" s="125"/>
      <c r="N1848" s="121"/>
      <c r="O1848" s="125"/>
      <c r="P1848" s="126"/>
      <c r="Q1848" s="127"/>
      <c r="R1848" s="127"/>
      <c r="S1848" s="127"/>
      <c r="T1848" s="127"/>
    </row>
    <row r="1849" spans="1:20" ht="13.8">
      <c r="A1849" s="118" t="str">
        <f ca="1">IFERROR(__xludf.DUMMYFUNCTION("""COMPUTED_VALUE"""),"SHR")</f>
        <v>SHR</v>
      </c>
      <c r="B1849" s="119" t="str">
        <f ca="1">IFERROR(__xludf.DUMMYFUNCTION("""COMPUTED_VALUE"""),"Ryann Rautenbach")</f>
        <v>Ryann Rautenbach</v>
      </c>
      <c r="C1849" s="118">
        <f ca="1">IFERROR(__xludf.DUMMYFUNCTION("""COMPUTED_VALUE"""),11)</f>
        <v>11</v>
      </c>
      <c r="D1849" s="118" t="str">
        <f ca="1">IFERROR(__xludf.DUMMYFUNCTION("""COMPUTED_VALUE"""),"G")</f>
        <v>G</v>
      </c>
      <c r="E1849" s="118" t="str">
        <f ca="1">IFERROR(__xludf.DUMMYFUNCTION("""COMPUTED_VALUE"""),"J")</f>
        <v>J</v>
      </c>
      <c r="F1849" s="124" t="str">
        <f ca="1">IFERROR(__xludf.DUMMYFUNCTION("""COMPUTED_VALUE"""),"I")</f>
        <v>I</v>
      </c>
      <c r="G1849" s="124">
        <f ca="1">IFERROR(__xludf.DUMMYFUNCTION("""COMPUTED_VALUE"""),2)</f>
        <v>2</v>
      </c>
      <c r="H1849" s="124" t="str">
        <f ca="1">IFERROR(__xludf.DUMMYFUNCTION("""COMPUTED_VALUE"""),"SHR")</f>
        <v>SHR</v>
      </c>
      <c r="I1849" s="124">
        <f ca="1">IFERROR(__xludf.DUMMYFUNCTION("""COMPUTED_VALUE"""),6)</f>
        <v>6</v>
      </c>
      <c r="J1849" s="124">
        <f ca="1">IFERROR(__xludf.DUMMYFUNCTION("""COMPUTED_VALUE"""),2)</f>
        <v>2</v>
      </c>
      <c r="K1849" s="125">
        <f ca="1">IFERROR(__xludf.DUMMYFUNCTION("""COMPUTED_VALUE"""),40.9)</f>
        <v>40.9</v>
      </c>
      <c r="L1849" s="121"/>
      <c r="M1849" s="125">
        <f ca="1">IFERROR(__xludf.DUMMYFUNCTION("""COMPUTED_VALUE"""),40.9)</f>
        <v>40.9</v>
      </c>
      <c r="N1849" s="121"/>
      <c r="O1849" s="125">
        <f ca="1">IFERROR(__xludf.DUMMYFUNCTION("""COMPUTED_VALUE"""),26.25)</f>
        <v>26.25</v>
      </c>
      <c r="P1849" s="126"/>
      <c r="Q1849" s="127"/>
      <c r="R1849" s="127"/>
      <c r="S1849" s="127"/>
      <c r="T1849" s="127"/>
    </row>
    <row r="1850" spans="1:20" ht="13.8">
      <c r="A1850" s="118" t="str">
        <f ca="1">IFERROR(__xludf.DUMMYFUNCTION("""COMPUTED_VALUE"""),"SHR")</f>
        <v>SHR</v>
      </c>
      <c r="B1850" s="119" t="str">
        <f ca="1">IFERROR(__xludf.DUMMYFUNCTION("""COMPUTED_VALUE"""),"Kai Sheriff")</f>
        <v>Kai Sheriff</v>
      </c>
      <c r="C1850" s="118">
        <f ca="1">IFERROR(__xludf.DUMMYFUNCTION("""COMPUTED_VALUE"""),11)</f>
        <v>11</v>
      </c>
      <c r="D1850" s="118" t="str">
        <f ca="1">IFERROR(__xludf.DUMMYFUNCTION("""COMPUTED_VALUE"""),"B")</f>
        <v>B</v>
      </c>
      <c r="E1850" s="118" t="str">
        <f ca="1">IFERROR(__xludf.DUMMYFUNCTION("""COMPUTED_VALUE"""),"J")</f>
        <v>J</v>
      </c>
      <c r="F1850" s="124" t="str">
        <f ca="1">IFERROR(__xludf.DUMMYFUNCTION("""COMPUTED_VALUE"""),"I")</f>
        <v>I</v>
      </c>
      <c r="G1850" s="124">
        <f ca="1">IFERROR(__xludf.DUMMYFUNCTION("""COMPUTED_VALUE"""),2)</f>
        <v>2</v>
      </c>
      <c r="H1850" s="124" t="str">
        <f ca="1">IFERROR(__xludf.DUMMYFUNCTION("""COMPUTED_VALUE"""),"SHR")</f>
        <v>SHR</v>
      </c>
      <c r="I1850" s="124">
        <f ca="1">IFERROR(__xludf.DUMMYFUNCTION("""COMPUTED_VALUE"""),7)</f>
        <v>7</v>
      </c>
      <c r="J1850" s="124">
        <f ca="1">IFERROR(__xludf.DUMMYFUNCTION("""COMPUTED_VALUE"""),0)</f>
        <v>0</v>
      </c>
      <c r="K1850" s="125"/>
      <c r="L1850" s="121"/>
      <c r="M1850" s="125"/>
      <c r="N1850" s="121"/>
      <c r="O1850" s="125"/>
      <c r="P1850" s="126"/>
      <c r="Q1850" s="127"/>
      <c r="R1850" s="127"/>
      <c r="S1850" s="127"/>
      <c r="T1850" s="127"/>
    </row>
    <row r="1851" spans="1:20" ht="13.8">
      <c r="A1851" s="118" t="str">
        <f ca="1">IFERROR(__xludf.DUMMYFUNCTION("""COMPUTED_VALUE"""),"SHR")</f>
        <v>SHR</v>
      </c>
      <c r="B1851" s="119" t="str">
        <f ca="1">IFERROR(__xludf.DUMMYFUNCTION("""COMPUTED_VALUE"""),"Lucas Vida")</f>
        <v>Lucas Vida</v>
      </c>
      <c r="C1851" s="118">
        <f ca="1">IFERROR(__xludf.DUMMYFUNCTION("""COMPUTED_VALUE"""),11)</f>
        <v>11</v>
      </c>
      <c r="D1851" s="118" t="str">
        <f ca="1">IFERROR(__xludf.DUMMYFUNCTION("""COMPUTED_VALUE"""),"B")</f>
        <v>B</v>
      </c>
      <c r="E1851" s="118" t="str">
        <f ca="1">IFERROR(__xludf.DUMMYFUNCTION("""COMPUTED_VALUE"""),"J")</f>
        <v>J</v>
      </c>
      <c r="F1851" s="124" t="str">
        <f ca="1">IFERROR(__xludf.DUMMYFUNCTION("""COMPUTED_VALUE"""),"I")</f>
        <v>I</v>
      </c>
      <c r="G1851" s="124">
        <f ca="1">IFERROR(__xludf.DUMMYFUNCTION("""COMPUTED_VALUE"""),2)</f>
        <v>2</v>
      </c>
      <c r="H1851" s="124" t="str">
        <f ca="1">IFERROR(__xludf.DUMMYFUNCTION("""COMPUTED_VALUE"""),"SHR")</f>
        <v>SHR</v>
      </c>
      <c r="I1851" s="124">
        <f ca="1">IFERROR(__xludf.DUMMYFUNCTION("""COMPUTED_VALUE"""),7)</f>
        <v>7</v>
      </c>
      <c r="J1851" s="124">
        <f ca="1">IFERROR(__xludf.DUMMYFUNCTION("""COMPUTED_VALUE"""),4)</f>
        <v>4</v>
      </c>
      <c r="K1851" s="125">
        <f ca="1">IFERROR(__xludf.DUMMYFUNCTION("""COMPUTED_VALUE"""),85.5)</f>
        <v>85.5</v>
      </c>
      <c r="L1851" s="121"/>
      <c r="M1851" s="125">
        <f ca="1">IFERROR(__xludf.DUMMYFUNCTION("""COMPUTED_VALUE"""),85.5)</f>
        <v>85.5</v>
      </c>
      <c r="N1851" s="121"/>
      <c r="O1851" s="125">
        <f ca="1">IFERROR(__xludf.DUMMYFUNCTION("""COMPUTED_VALUE"""),75.1)</f>
        <v>75.099999999999994</v>
      </c>
      <c r="P1851" s="126"/>
      <c r="Q1851" s="127"/>
      <c r="R1851" s="127"/>
      <c r="S1851" s="127"/>
      <c r="T1851" s="127"/>
    </row>
    <row r="1852" spans="1:20" ht="13.8">
      <c r="A1852" s="118" t="str">
        <f ca="1">IFERROR(__xludf.DUMMYFUNCTION("""COMPUTED_VALUE"""),"SHR")</f>
        <v>SHR</v>
      </c>
      <c r="B1852" s="119" t="str">
        <f ca="1">IFERROR(__xludf.DUMMYFUNCTION("""COMPUTED_VALUE"""),"Walter Hopwood")</f>
        <v>Walter Hopwood</v>
      </c>
      <c r="C1852" s="118">
        <f ca="1">IFERROR(__xludf.DUMMYFUNCTION("""COMPUTED_VALUE"""),12)</f>
        <v>12</v>
      </c>
      <c r="D1852" s="118" t="str">
        <f ca="1">IFERROR(__xludf.DUMMYFUNCTION("""COMPUTED_VALUE"""),"B")</f>
        <v>B</v>
      </c>
      <c r="E1852" s="118" t="str">
        <f ca="1">IFERROR(__xludf.DUMMYFUNCTION("""COMPUTED_VALUE"""),"J")</f>
        <v>J</v>
      </c>
      <c r="F1852" s="124" t="str">
        <f ca="1">IFERROR(__xludf.DUMMYFUNCTION("""COMPUTED_VALUE"""),"I")</f>
        <v>I</v>
      </c>
      <c r="G1852" s="124">
        <f ca="1">IFERROR(__xludf.DUMMYFUNCTION("""COMPUTED_VALUE"""),2)</f>
        <v>2</v>
      </c>
      <c r="H1852" s="124" t="str">
        <f ca="1">IFERROR(__xludf.DUMMYFUNCTION("""COMPUTED_VALUE"""),"SHR")</f>
        <v>SHR</v>
      </c>
      <c r="I1852" s="124">
        <f ca="1">IFERROR(__xludf.DUMMYFUNCTION("""COMPUTED_VALUE"""),7)</f>
        <v>7</v>
      </c>
      <c r="J1852" s="124">
        <f ca="1">IFERROR(__xludf.DUMMYFUNCTION("""COMPUTED_VALUE"""),3)</f>
        <v>3</v>
      </c>
      <c r="K1852" s="125">
        <f ca="1">IFERROR(__xludf.DUMMYFUNCTION("""COMPUTED_VALUE"""),65.8)</f>
        <v>65.8</v>
      </c>
      <c r="L1852" s="121"/>
      <c r="M1852" s="125">
        <f ca="1">IFERROR(__xludf.DUMMYFUNCTION("""COMPUTED_VALUE"""),60.75)</f>
        <v>60.75</v>
      </c>
      <c r="N1852" s="121"/>
      <c r="O1852" s="125">
        <f ca="1">IFERROR(__xludf.DUMMYFUNCTION("""COMPUTED_VALUE"""),65.8)</f>
        <v>65.8</v>
      </c>
      <c r="P1852" s="126"/>
      <c r="Q1852" s="127"/>
      <c r="R1852" s="127"/>
      <c r="S1852" s="127"/>
      <c r="T1852" s="127"/>
    </row>
    <row r="1853" spans="1:20" ht="13.8">
      <c r="A1853" s="118" t="str">
        <f ca="1">IFERROR(__xludf.DUMMYFUNCTION("""COMPUTED_VALUE"""),"SHR")</f>
        <v>SHR</v>
      </c>
      <c r="B1853" s="119" t="str">
        <f ca="1">IFERROR(__xludf.DUMMYFUNCTION("""COMPUTED_VALUE"""),"William Erwin")</f>
        <v>William Erwin</v>
      </c>
      <c r="C1853" s="118">
        <f ca="1">IFERROR(__xludf.DUMMYFUNCTION("""COMPUTED_VALUE"""),12)</f>
        <v>12</v>
      </c>
      <c r="D1853" s="118" t="str">
        <f ca="1">IFERROR(__xludf.DUMMYFUNCTION("""COMPUTED_VALUE"""),"B")</f>
        <v>B</v>
      </c>
      <c r="E1853" s="118" t="str">
        <f ca="1">IFERROR(__xludf.DUMMYFUNCTION("""COMPUTED_VALUE"""),"J")</f>
        <v>J</v>
      </c>
      <c r="F1853" s="124" t="str">
        <f ca="1">IFERROR(__xludf.DUMMYFUNCTION("""COMPUTED_VALUE"""),"I")</f>
        <v>I</v>
      </c>
      <c r="G1853" s="124">
        <f ca="1">IFERROR(__xludf.DUMMYFUNCTION("""COMPUTED_VALUE"""),2)</f>
        <v>2</v>
      </c>
      <c r="H1853" s="124" t="str">
        <f ca="1">IFERROR(__xludf.DUMMYFUNCTION("""COMPUTED_VALUE"""),"SHR")</f>
        <v>SHR</v>
      </c>
      <c r="I1853" s="124">
        <f ca="1">IFERROR(__xludf.DUMMYFUNCTION("""COMPUTED_VALUE"""),7)</f>
        <v>7</v>
      </c>
      <c r="J1853" s="124">
        <f ca="1">IFERROR(__xludf.DUMMYFUNCTION("""COMPUTED_VALUE"""),0)</f>
        <v>0</v>
      </c>
      <c r="K1853" s="125"/>
      <c r="L1853" s="121"/>
      <c r="M1853" s="125"/>
      <c r="N1853" s="121"/>
      <c r="O1853" s="125"/>
      <c r="P1853" s="126"/>
      <c r="Q1853" s="127"/>
      <c r="R1853" s="127"/>
      <c r="S1853" s="127"/>
      <c r="T1853" s="127"/>
    </row>
    <row r="1854" spans="1:20" ht="13.8">
      <c r="A1854" s="118" t="str">
        <f ca="1">IFERROR(__xludf.DUMMYFUNCTION("""COMPUTED_VALUE"""),"SHR")</f>
        <v>SHR</v>
      </c>
      <c r="B1854" s="119" t="str">
        <f ca="1">IFERROR(__xludf.DUMMYFUNCTION("""COMPUTED_VALUE"""),"Elizabeth Heim")</f>
        <v>Elizabeth Heim</v>
      </c>
      <c r="C1854" s="118">
        <f ca="1">IFERROR(__xludf.DUMMYFUNCTION("""COMPUTED_VALUE"""),13)</f>
        <v>13</v>
      </c>
      <c r="D1854" s="118" t="str">
        <f ca="1">IFERROR(__xludf.DUMMYFUNCTION("""COMPUTED_VALUE"""),"G")</f>
        <v>G</v>
      </c>
      <c r="E1854" s="118" t="str">
        <f ca="1">IFERROR(__xludf.DUMMYFUNCTION("""COMPUTED_VALUE"""),"I")</f>
        <v>I</v>
      </c>
      <c r="F1854" s="124" t="str">
        <f ca="1">IFERROR(__xludf.DUMMYFUNCTION("""COMPUTED_VALUE"""),"S")</f>
        <v>S</v>
      </c>
      <c r="G1854" s="124">
        <f ca="1">IFERROR(__xludf.DUMMYFUNCTION("""COMPUTED_VALUE"""),2)</f>
        <v>2</v>
      </c>
      <c r="H1854" s="124" t="str">
        <f ca="1">IFERROR(__xludf.DUMMYFUNCTION("""COMPUTED_VALUE"""),"SHR")</f>
        <v>SHR</v>
      </c>
      <c r="I1854" s="124">
        <f ca="1">IFERROR(__xludf.DUMMYFUNCTION("""COMPUTED_VALUE"""),8)</f>
        <v>8</v>
      </c>
      <c r="J1854" s="124">
        <f ca="1">IFERROR(__xludf.DUMMYFUNCTION("""COMPUTED_VALUE"""),0)</f>
        <v>0</v>
      </c>
      <c r="K1854" s="125"/>
      <c r="L1854" s="121"/>
      <c r="M1854" s="125"/>
      <c r="N1854" s="121"/>
      <c r="O1854" s="125"/>
      <c r="P1854" s="126"/>
      <c r="Q1854" s="127"/>
      <c r="R1854" s="127"/>
      <c r="S1854" s="127"/>
      <c r="T1854" s="127"/>
    </row>
    <row r="1855" spans="1:20" ht="13.8">
      <c r="A1855" s="118" t="str">
        <f ca="1">IFERROR(__xludf.DUMMYFUNCTION("""COMPUTED_VALUE"""),"SHR")</f>
        <v>SHR</v>
      </c>
      <c r="B1855" s="119" t="str">
        <f ca="1">IFERROR(__xludf.DUMMYFUNCTION("""COMPUTED_VALUE"""),"Kalyn O'Hara")</f>
        <v>Kalyn O'Hara</v>
      </c>
      <c r="C1855" s="118">
        <f ca="1">IFERROR(__xludf.DUMMYFUNCTION("""COMPUTED_VALUE"""),14)</f>
        <v>14</v>
      </c>
      <c r="D1855" s="118" t="str">
        <f ca="1">IFERROR(__xludf.DUMMYFUNCTION("""COMPUTED_VALUE"""),"G")</f>
        <v>G</v>
      </c>
      <c r="E1855" s="118" t="str">
        <f ca="1">IFERROR(__xludf.DUMMYFUNCTION("""COMPUTED_VALUE"""),"I")</f>
        <v>I</v>
      </c>
      <c r="F1855" s="124" t="str">
        <f ca="1">IFERROR(__xludf.DUMMYFUNCTION("""COMPUTED_VALUE"""),"S")</f>
        <v>S</v>
      </c>
      <c r="G1855" s="124">
        <f ca="1">IFERROR(__xludf.DUMMYFUNCTION("""COMPUTED_VALUE"""),2)</f>
        <v>2</v>
      </c>
      <c r="H1855" s="124" t="str">
        <f ca="1">IFERROR(__xludf.DUMMYFUNCTION("""COMPUTED_VALUE"""),"SHR")</f>
        <v>SHR</v>
      </c>
      <c r="I1855" s="124">
        <f ca="1">IFERROR(__xludf.DUMMYFUNCTION("""COMPUTED_VALUE"""),8)</f>
        <v>8</v>
      </c>
      <c r="J1855" s="124">
        <f ca="1">IFERROR(__xludf.DUMMYFUNCTION("""COMPUTED_VALUE"""),3)</f>
        <v>3</v>
      </c>
      <c r="K1855" s="125">
        <f ca="1">IFERROR(__xludf.DUMMYFUNCTION("""COMPUTED_VALUE"""),129.25)</f>
        <v>129.25</v>
      </c>
      <c r="L1855" s="121"/>
      <c r="M1855" s="125"/>
      <c r="N1855" s="121"/>
      <c r="O1855" s="125">
        <f ca="1">IFERROR(__xludf.DUMMYFUNCTION("""COMPUTED_VALUE"""),128.4)</f>
        <v>128.4</v>
      </c>
      <c r="P1855" s="126"/>
      <c r="Q1855" s="127"/>
      <c r="R1855" s="127"/>
      <c r="S1855" s="127"/>
      <c r="T1855" s="127"/>
    </row>
    <row r="1856" spans="1:20" ht="13.8">
      <c r="A1856" s="118" t="str">
        <f ca="1">IFERROR(__xludf.DUMMYFUNCTION("""COMPUTED_VALUE"""),"SHR")</f>
        <v>SHR</v>
      </c>
      <c r="B1856" s="119" t="str">
        <f ca="1">IFERROR(__xludf.DUMMYFUNCTION("""COMPUTED_VALUE"""),"CJ Silva")</f>
        <v>CJ Silva</v>
      </c>
      <c r="C1856" s="118">
        <f ca="1">IFERROR(__xludf.DUMMYFUNCTION("""COMPUTED_VALUE"""),14)</f>
        <v>14</v>
      </c>
      <c r="D1856" s="118" t="str">
        <f ca="1">IFERROR(__xludf.DUMMYFUNCTION("""COMPUTED_VALUE"""),"B")</f>
        <v>B</v>
      </c>
      <c r="E1856" s="118" t="str">
        <f ca="1">IFERROR(__xludf.DUMMYFUNCTION("""COMPUTED_VALUE"""),"I")</f>
        <v>I</v>
      </c>
      <c r="F1856" s="124" t="str">
        <f ca="1">IFERROR(__xludf.DUMMYFUNCTION("""COMPUTED_VALUE"""),"S")</f>
        <v>S</v>
      </c>
      <c r="G1856" s="124">
        <f ca="1">IFERROR(__xludf.DUMMYFUNCTION("""COMPUTED_VALUE"""),2)</f>
        <v>2</v>
      </c>
      <c r="H1856" s="124" t="str">
        <f ca="1">IFERROR(__xludf.DUMMYFUNCTION("""COMPUTED_VALUE"""),"SHR")</f>
        <v>SHR</v>
      </c>
      <c r="I1856" s="124">
        <f ca="1">IFERROR(__xludf.DUMMYFUNCTION("""COMPUTED_VALUE"""),9)</f>
        <v>9</v>
      </c>
      <c r="J1856" s="124">
        <f ca="1">IFERROR(__xludf.DUMMYFUNCTION("""COMPUTED_VALUE"""),3)</f>
        <v>3</v>
      </c>
      <c r="K1856" s="125">
        <f ca="1">IFERROR(__xludf.DUMMYFUNCTION("""COMPUTED_VALUE"""),138.75)</f>
        <v>138.75</v>
      </c>
      <c r="L1856" s="121"/>
      <c r="M1856" s="125"/>
      <c r="N1856" s="121"/>
      <c r="O1856" s="125">
        <f ca="1">IFERROR(__xludf.DUMMYFUNCTION("""COMPUTED_VALUE"""),125.75)</f>
        <v>125.75</v>
      </c>
      <c r="P1856" s="126"/>
      <c r="Q1856" s="127"/>
      <c r="R1856" s="127"/>
      <c r="S1856" s="127"/>
      <c r="T1856" s="127"/>
    </row>
    <row r="1857" spans="1:20" ht="13.8">
      <c r="A1857" s="118" t="str">
        <f ca="1">IFERROR(__xludf.DUMMYFUNCTION("""COMPUTED_VALUE"""),"SHR")</f>
        <v>SHR</v>
      </c>
      <c r="B1857" s="119" t="str">
        <f ca="1">IFERROR(__xludf.DUMMYFUNCTION("""COMPUTED_VALUE"""),"Matheo Korin")</f>
        <v>Matheo Korin</v>
      </c>
      <c r="C1857" s="118">
        <f ca="1">IFERROR(__xludf.DUMMYFUNCTION("""COMPUTED_VALUE"""),13)</f>
        <v>13</v>
      </c>
      <c r="D1857" s="118" t="str">
        <f ca="1">IFERROR(__xludf.DUMMYFUNCTION("""COMPUTED_VALUE"""),"B")</f>
        <v>B</v>
      </c>
      <c r="E1857" s="118" t="str">
        <f ca="1">IFERROR(__xludf.DUMMYFUNCTION("""COMPUTED_VALUE"""),"I")</f>
        <v>I</v>
      </c>
      <c r="F1857" s="124" t="str">
        <f ca="1">IFERROR(__xludf.DUMMYFUNCTION("""COMPUTED_VALUE"""),"S")</f>
        <v>S</v>
      </c>
      <c r="G1857" s="124">
        <f ca="1">IFERROR(__xludf.DUMMYFUNCTION("""COMPUTED_VALUE"""),2)</f>
        <v>2</v>
      </c>
      <c r="H1857" s="124" t="str">
        <f ca="1">IFERROR(__xludf.DUMMYFUNCTION("""COMPUTED_VALUE"""),"SHR")</f>
        <v>SHR</v>
      </c>
      <c r="I1857" s="124">
        <f ca="1">IFERROR(__xludf.DUMMYFUNCTION("""COMPUTED_VALUE"""),9)</f>
        <v>9</v>
      </c>
      <c r="J1857" s="124">
        <f ca="1">IFERROR(__xludf.DUMMYFUNCTION("""COMPUTED_VALUE"""),2)</f>
        <v>2</v>
      </c>
      <c r="K1857" s="125">
        <f ca="1">IFERROR(__xludf.DUMMYFUNCTION("""COMPUTED_VALUE"""),95.35)</f>
        <v>95.35</v>
      </c>
      <c r="L1857" s="121"/>
      <c r="M1857" s="125">
        <f ca="1">IFERROR(__xludf.DUMMYFUNCTION("""COMPUTED_VALUE"""),81.35)</f>
        <v>81.349999999999994</v>
      </c>
      <c r="N1857" s="121"/>
      <c r="O1857" s="125"/>
      <c r="P1857" s="126"/>
      <c r="Q1857" s="127"/>
      <c r="R1857" s="127"/>
      <c r="S1857" s="127"/>
      <c r="T1857" s="127"/>
    </row>
    <row r="1858" spans="1:20" ht="13.8">
      <c r="A1858" s="118" t="str">
        <f ca="1">IFERROR(__xludf.DUMMYFUNCTION("""COMPUTED_VALUE"""),"SHR")</f>
        <v>SHR</v>
      </c>
      <c r="B1858" s="119" t="str">
        <f ca="1">IFERROR(__xludf.DUMMYFUNCTION("""COMPUTED_VALUE"""),"Nathan Connelly")</f>
        <v>Nathan Connelly</v>
      </c>
      <c r="C1858" s="118">
        <f ca="1">IFERROR(__xludf.DUMMYFUNCTION("""COMPUTED_VALUE"""),13)</f>
        <v>13</v>
      </c>
      <c r="D1858" s="118" t="str">
        <f ca="1">IFERROR(__xludf.DUMMYFUNCTION("""COMPUTED_VALUE"""),"B")</f>
        <v>B</v>
      </c>
      <c r="E1858" s="118" t="str">
        <f ca="1">IFERROR(__xludf.DUMMYFUNCTION("""COMPUTED_VALUE"""),"I")</f>
        <v>I</v>
      </c>
      <c r="F1858" s="124" t="str">
        <f ca="1">IFERROR(__xludf.DUMMYFUNCTION("""COMPUTED_VALUE"""),"S")</f>
        <v>S</v>
      </c>
      <c r="G1858" s="124">
        <f ca="1">IFERROR(__xludf.DUMMYFUNCTION("""COMPUTED_VALUE"""),2)</f>
        <v>2</v>
      </c>
      <c r="H1858" s="124" t="str">
        <f ca="1">IFERROR(__xludf.DUMMYFUNCTION("""COMPUTED_VALUE"""),"SHR")</f>
        <v>SHR</v>
      </c>
      <c r="I1858" s="124">
        <f ca="1">IFERROR(__xludf.DUMMYFUNCTION("""COMPUTED_VALUE"""),9)</f>
        <v>9</v>
      </c>
      <c r="J1858" s="124">
        <f ca="1">IFERROR(__xludf.DUMMYFUNCTION("""COMPUTED_VALUE"""),2)</f>
        <v>2</v>
      </c>
      <c r="K1858" s="125">
        <f ca="1">IFERROR(__xludf.DUMMYFUNCTION("""COMPUTED_VALUE"""),77.4)</f>
        <v>77.400000000000006</v>
      </c>
      <c r="L1858" s="121"/>
      <c r="M1858" s="125">
        <f ca="1">IFERROR(__xludf.DUMMYFUNCTION("""COMPUTED_VALUE"""),73.7)</f>
        <v>73.7</v>
      </c>
      <c r="N1858" s="121"/>
      <c r="O1858" s="125"/>
      <c r="P1858" s="126"/>
      <c r="Q1858" s="127"/>
      <c r="R1858" s="127"/>
      <c r="S1858" s="127"/>
      <c r="T1858" s="127"/>
    </row>
    <row r="1859" spans="1:20" ht="13.8">
      <c r="A1859" s="118" t="str">
        <f ca="1">IFERROR(__xludf.DUMMYFUNCTION("""COMPUTED_VALUE"""),"SHR")</f>
        <v>SHR</v>
      </c>
      <c r="B1859" s="119" t="str">
        <f ca="1">IFERROR(__xludf.DUMMYFUNCTION("""COMPUTED_VALUE"""),"Preston Wichert")</f>
        <v>Preston Wichert</v>
      </c>
      <c r="C1859" s="118">
        <f ca="1">IFERROR(__xludf.DUMMYFUNCTION("""COMPUTED_VALUE"""),13)</f>
        <v>13</v>
      </c>
      <c r="D1859" s="118" t="str">
        <f ca="1">IFERROR(__xludf.DUMMYFUNCTION("""COMPUTED_VALUE"""),"B")</f>
        <v>B</v>
      </c>
      <c r="E1859" s="118" t="str">
        <f ca="1">IFERROR(__xludf.DUMMYFUNCTION("""COMPUTED_VALUE"""),"I")</f>
        <v>I</v>
      </c>
      <c r="F1859" s="124" t="str">
        <f ca="1">IFERROR(__xludf.DUMMYFUNCTION("""COMPUTED_VALUE"""),"S")</f>
        <v>S</v>
      </c>
      <c r="G1859" s="124">
        <f ca="1">IFERROR(__xludf.DUMMYFUNCTION("""COMPUTED_VALUE"""),2)</f>
        <v>2</v>
      </c>
      <c r="H1859" s="124" t="str">
        <f ca="1">IFERROR(__xludf.DUMMYFUNCTION("""COMPUTED_VALUE"""),"SHR")</f>
        <v>SHR</v>
      </c>
      <c r="I1859" s="124">
        <f ca="1">IFERROR(__xludf.DUMMYFUNCTION("""COMPUTED_VALUE"""),9)</f>
        <v>9</v>
      </c>
      <c r="J1859" s="124">
        <f ca="1">IFERROR(__xludf.DUMMYFUNCTION("""COMPUTED_VALUE"""),5)</f>
        <v>5</v>
      </c>
      <c r="K1859" s="125">
        <f ca="1">IFERROR(__xludf.DUMMYFUNCTION("""COMPUTED_VALUE"""),135.15)</f>
        <v>135.15</v>
      </c>
      <c r="L1859" s="121"/>
      <c r="M1859" s="125">
        <f ca="1">IFERROR(__xludf.DUMMYFUNCTION("""COMPUTED_VALUE"""),115.9)</f>
        <v>115.9</v>
      </c>
      <c r="N1859" s="121"/>
      <c r="O1859" s="125">
        <f ca="1">IFERROR(__xludf.DUMMYFUNCTION("""COMPUTED_VALUE"""),118.1)</f>
        <v>118.1</v>
      </c>
      <c r="P1859" s="126"/>
      <c r="Q1859" s="127"/>
      <c r="R1859" s="127"/>
      <c r="S1859" s="127"/>
      <c r="T1859" s="127"/>
    </row>
    <row r="1860" spans="1:20" ht="13.8">
      <c r="A1860" s="118" t="str">
        <f ca="1">IFERROR(__xludf.DUMMYFUNCTION("""COMPUTED_VALUE"""),"SHR")</f>
        <v>SHR</v>
      </c>
      <c r="B1860" s="119" t="str">
        <f ca="1">IFERROR(__xludf.DUMMYFUNCTION("""COMPUTED_VALUE"""),"Quinton Freshman")</f>
        <v>Quinton Freshman</v>
      </c>
      <c r="C1860" s="118">
        <f ca="1">IFERROR(__xludf.DUMMYFUNCTION("""COMPUTED_VALUE"""),13)</f>
        <v>13</v>
      </c>
      <c r="D1860" s="118" t="str">
        <f ca="1">IFERROR(__xludf.DUMMYFUNCTION("""COMPUTED_VALUE"""),"B")</f>
        <v>B</v>
      </c>
      <c r="E1860" s="118" t="str">
        <f ca="1">IFERROR(__xludf.DUMMYFUNCTION("""COMPUTED_VALUE"""),"I")</f>
        <v>I</v>
      </c>
      <c r="F1860" s="124" t="str">
        <f ca="1">IFERROR(__xludf.DUMMYFUNCTION("""COMPUTED_VALUE"""),"S")</f>
        <v>S</v>
      </c>
      <c r="G1860" s="124">
        <f ca="1">IFERROR(__xludf.DUMMYFUNCTION("""COMPUTED_VALUE"""),2)</f>
        <v>2</v>
      </c>
      <c r="H1860" s="124" t="str">
        <f ca="1">IFERROR(__xludf.DUMMYFUNCTION("""COMPUTED_VALUE"""),"SHR")</f>
        <v>SHR</v>
      </c>
      <c r="I1860" s="124">
        <f ca="1">IFERROR(__xludf.DUMMYFUNCTION("""COMPUTED_VALUE"""),9)</f>
        <v>9</v>
      </c>
      <c r="J1860" s="124">
        <f ca="1">IFERROR(__xludf.DUMMYFUNCTION("""COMPUTED_VALUE"""),0)</f>
        <v>0</v>
      </c>
      <c r="K1860" s="125"/>
      <c r="L1860" s="121"/>
      <c r="M1860" s="125"/>
      <c r="N1860" s="121"/>
      <c r="O1860" s="125"/>
      <c r="P1860" s="126"/>
      <c r="Q1860" s="127"/>
      <c r="R1860" s="127"/>
      <c r="S1860" s="127"/>
      <c r="T1860" s="127"/>
    </row>
    <row r="1861" spans="1:20" ht="13.8">
      <c r="A1861" s="118" t="str">
        <f ca="1">IFERROR(__xludf.DUMMYFUNCTION("""COMPUTED_VALUE"""),"SHR")</f>
        <v>SHR</v>
      </c>
      <c r="B1861" s="119" t="str">
        <f ca="1">IFERROR(__xludf.DUMMYFUNCTION("""COMPUTED_VALUE"""),"Anna Fitzgerald")</f>
        <v>Anna Fitzgerald</v>
      </c>
      <c r="C1861" s="118">
        <f ca="1">IFERROR(__xludf.DUMMYFUNCTION("""COMPUTED_VALUE"""),15)</f>
        <v>15</v>
      </c>
      <c r="D1861" s="118" t="str">
        <f ca="1">IFERROR(__xludf.DUMMYFUNCTION("""COMPUTED_VALUE"""),"G")</f>
        <v>G</v>
      </c>
      <c r="E1861" s="118" t="str">
        <f ca="1">IFERROR(__xludf.DUMMYFUNCTION("""COMPUTED_VALUE"""),"S")</f>
        <v>S</v>
      </c>
      <c r="F1861" s="124" t="str">
        <f ca="1">IFERROR(__xludf.DUMMYFUNCTION("""COMPUTED_VALUE"""),"S")</f>
        <v>S</v>
      </c>
      <c r="G1861" s="124">
        <f ca="1">IFERROR(__xludf.DUMMYFUNCTION("""COMPUTED_VALUE"""),2)</f>
        <v>2</v>
      </c>
      <c r="H1861" s="124" t="str">
        <f ca="1">IFERROR(__xludf.DUMMYFUNCTION("""COMPUTED_VALUE"""),"SHR")</f>
        <v>SHR</v>
      </c>
      <c r="I1861" s="124">
        <f ca="1">IFERROR(__xludf.DUMMYFUNCTION("""COMPUTED_VALUE"""),10)</f>
        <v>10</v>
      </c>
      <c r="J1861" s="124">
        <f ca="1">IFERROR(__xludf.DUMMYFUNCTION("""COMPUTED_VALUE"""),5)</f>
        <v>5</v>
      </c>
      <c r="K1861" s="125">
        <f ca="1">IFERROR(__xludf.DUMMYFUNCTION("""COMPUTED_VALUE"""),165.2)</f>
        <v>165.2</v>
      </c>
      <c r="L1861" s="121"/>
      <c r="M1861" s="125">
        <f ca="1">IFERROR(__xludf.DUMMYFUNCTION("""COMPUTED_VALUE"""),165.2)</f>
        <v>165.2</v>
      </c>
      <c r="N1861" s="121"/>
      <c r="O1861" s="125">
        <f ca="1">IFERROR(__xludf.DUMMYFUNCTION("""COMPUTED_VALUE"""),163.7)</f>
        <v>163.69999999999999</v>
      </c>
      <c r="P1861" s="126"/>
      <c r="Q1861" s="127"/>
      <c r="R1861" s="127"/>
      <c r="S1861" s="127"/>
      <c r="T1861" s="127"/>
    </row>
    <row r="1862" spans="1:20" ht="13.8">
      <c r="A1862" s="118" t="str">
        <f ca="1">IFERROR(__xludf.DUMMYFUNCTION("""COMPUTED_VALUE"""),"SHR")</f>
        <v>SHR</v>
      </c>
      <c r="B1862" s="119" t="str">
        <f ca="1">IFERROR(__xludf.DUMMYFUNCTION("""COMPUTED_VALUE"""),"Chloe Richards")</f>
        <v>Chloe Richards</v>
      </c>
      <c r="C1862" s="118">
        <f ca="1">IFERROR(__xludf.DUMMYFUNCTION("""COMPUTED_VALUE"""),17)</f>
        <v>17</v>
      </c>
      <c r="D1862" s="118" t="str">
        <f ca="1">IFERROR(__xludf.DUMMYFUNCTION("""COMPUTED_VALUE"""),"G")</f>
        <v>G</v>
      </c>
      <c r="E1862" s="118" t="str">
        <f ca="1">IFERROR(__xludf.DUMMYFUNCTION("""COMPUTED_VALUE"""),"S")</f>
        <v>S</v>
      </c>
      <c r="F1862" s="124" t="str">
        <f ca="1">IFERROR(__xludf.DUMMYFUNCTION("""COMPUTED_VALUE"""),"S")</f>
        <v>S</v>
      </c>
      <c r="G1862" s="124">
        <f ca="1">IFERROR(__xludf.DUMMYFUNCTION("""COMPUTED_VALUE"""),2)</f>
        <v>2</v>
      </c>
      <c r="H1862" s="124" t="str">
        <f ca="1">IFERROR(__xludf.DUMMYFUNCTION("""COMPUTED_VALUE"""),"SHR")</f>
        <v>SHR</v>
      </c>
      <c r="I1862" s="124">
        <f ca="1">IFERROR(__xludf.DUMMYFUNCTION("""COMPUTED_VALUE"""),10)</f>
        <v>10</v>
      </c>
      <c r="J1862" s="124">
        <f ca="1">IFERROR(__xludf.DUMMYFUNCTION("""COMPUTED_VALUE"""),3)</f>
        <v>3</v>
      </c>
      <c r="K1862" s="125">
        <f ca="1">IFERROR(__xludf.DUMMYFUNCTION("""COMPUTED_VALUE"""),191.5)</f>
        <v>191.5</v>
      </c>
      <c r="L1862" s="121"/>
      <c r="M1862" s="125">
        <f ca="1">IFERROR(__xludf.DUMMYFUNCTION("""COMPUTED_VALUE"""),183.25)</f>
        <v>183.25</v>
      </c>
      <c r="N1862" s="121"/>
      <c r="O1862" s="125"/>
      <c r="P1862" s="126"/>
      <c r="Q1862" s="127"/>
      <c r="R1862" s="127"/>
      <c r="S1862" s="127"/>
      <c r="T1862" s="127"/>
    </row>
    <row r="1863" spans="1:20" ht="13.8">
      <c r="A1863" s="118" t="str">
        <f ca="1">IFERROR(__xludf.DUMMYFUNCTION("""COMPUTED_VALUE"""),"SHR")</f>
        <v>SHR</v>
      </c>
      <c r="B1863" s="119" t="str">
        <f ca="1">IFERROR(__xludf.DUMMYFUNCTION("""COMPUTED_VALUE"""),"Emma Redman")</f>
        <v>Emma Redman</v>
      </c>
      <c r="C1863" s="118">
        <f ca="1">IFERROR(__xludf.DUMMYFUNCTION("""COMPUTED_VALUE"""),17)</f>
        <v>17</v>
      </c>
      <c r="D1863" s="118" t="str">
        <f ca="1">IFERROR(__xludf.DUMMYFUNCTION("""COMPUTED_VALUE"""),"G")</f>
        <v>G</v>
      </c>
      <c r="E1863" s="118" t="str">
        <f ca="1">IFERROR(__xludf.DUMMYFUNCTION("""COMPUTED_VALUE"""),"S")</f>
        <v>S</v>
      </c>
      <c r="F1863" s="124" t="str">
        <f ca="1">IFERROR(__xludf.DUMMYFUNCTION("""COMPUTED_VALUE"""),"S")</f>
        <v>S</v>
      </c>
      <c r="G1863" s="124">
        <f ca="1">IFERROR(__xludf.DUMMYFUNCTION("""COMPUTED_VALUE"""),2)</f>
        <v>2</v>
      </c>
      <c r="H1863" s="124" t="str">
        <f ca="1">IFERROR(__xludf.DUMMYFUNCTION("""COMPUTED_VALUE"""),"SHR")</f>
        <v>SHR</v>
      </c>
      <c r="I1863" s="124">
        <f ca="1">IFERROR(__xludf.DUMMYFUNCTION("""COMPUTED_VALUE"""),10)</f>
        <v>10</v>
      </c>
      <c r="J1863" s="124">
        <f ca="1">IFERROR(__xludf.DUMMYFUNCTION("""COMPUTED_VALUE"""),5)</f>
        <v>5</v>
      </c>
      <c r="K1863" s="125">
        <f ca="1">IFERROR(__xludf.DUMMYFUNCTION("""COMPUTED_VALUE"""),170.3)</f>
        <v>170.3</v>
      </c>
      <c r="L1863" s="121"/>
      <c r="M1863" s="125">
        <f ca="1">IFERROR(__xludf.DUMMYFUNCTION("""COMPUTED_VALUE"""),159.7)</f>
        <v>159.69999999999999</v>
      </c>
      <c r="N1863" s="121"/>
      <c r="O1863" s="125">
        <f ca="1">IFERROR(__xludf.DUMMYFUNCTION("""COMPUTED_VALUE"""),157.65)</f>
        <v>157.65</v>
      </c>
      <c r="P1863" s="126"/>
      <c r="Q1863" s="127"/>
      <c r="R1863" s="127"/>
      <c r="S1863" s="127"/>
      <c r="T1863" s="127"/>
    </row>
    <row r="1864" spans="1:20" ht="13.8">
      <c r="A1864" s="118" t="str">
        <f ca="1">IFERROR(__xludf.DUMMYFUNCTION("""COMPUTED_VALUE"""),"SHR")</f>
        <v>SHR</v>
      </c>
      <c r="B1864" s="119" t="str">
        <f ca="1">IFERROR(__xludf.DUMMYFUNCTION("""COMPUTED_VALUE"""),"Lili Lepore")</f>
        <v>Lili Lepore</v>
      </c>
      <c r="C1864" s="118">
        <f ca="1">IFERROR(__xludf.DUMMYFUNCTION("""COMPUTED_VALUE"""),15)</f>
        <v>15</v>
      </c>
      <c r="D1864" s="118" t="str">
        <f ca="1">IFERROR(__xludf.DUMMYFUNCTION("""COMPUTED_VALUE"""),"G")</f>
        <v>G</v>
      </c>
      <c r="E1864" s="118" t="str">
        <f ca="1">IFERROR(__xludf.DUMMYFUNCTION("""COMPUTED_VALUE"""),"S")</f>
        <v>S</v>
      </c>
      <c r="F1864" s="124" t="str">
        <f ca="1">IFERROR(__xludf.DUMMYFUNCTION("""COMPUTED_VALUE"""),"S")</f>
        <v>S</v>
      </c>
      <c r="G1864" s="124">
        <f ca="1">IFERROR(__xludf.DUMMYFUNCTION("""COMPUTED_VALUE"""),2)</f>
        <v>2</v>
      </c>
      <c r="H1864" s="124" t="str">
        <f ca="1">IFERROR(__xludf.DUMMYFUNCTION("""COMPUTED_VALUE"""),"SHR")</f>
        <v>SHR</v>
      </c>
      <c r="I1864" s="124">
        <f ca="1">IFERROR(__xludf.DUMMYFUNCTION("""COMPUTED_VALUE"""),10)</f>
        <v>10</v>
      </c>
      <c r="J1864" s="124">
        <f ca="1">IFERROR(__xludf.DUMMYFUNCTION("""COMPUTED_VALUE"""),2)</f>
        <v>2</v>
      </c>
      <c r="K1864" s="125">
        <f ca="1">IFERROR(__xludf.DUMMYFUNCTION("""COMPUTED_VALUE"""),177.75)</f>
        <v>177.75</v>
      </c>
      <c r="L1864" s="121"/>
      <c r="M1864" s="125"/>
      <c r="N1864" s="121"/>
      <c r="O1864" s="125">
        <f ca="1">IFERROR(__xludf.DUMMYFUNCTION("""COMPUTED_VALUE"""),166.85)</f>
        <v>166.85</v>
      </c>
      <c r="P1864" s="126"/>
      <c r="Q1864" s="127"/>
      <c r="R1864" s="127"/>
      <c r="S1864" s="127"/>
      <c r="T1864" s="127"/>
    </row>
    <row r="1865" spans="1:20" ht="13.8">
      <c r="A1865" s="118" t="str">
        <f ca="1">IFERROR(__xludf.DUMMYFUNCTION("""COMPUTED_VALUE"""),"SHR")</f>
        <v>SHR</v>
      </c>
      <c r="B1865" s="119" t="str">
        <f ca="1">IFERROR(__xludf.DUMMYFUNCTION("""COMPUTED_VALUE"""),"Ocean Archambault")</f>
        <v>Ocean Archambault</v>
      </c>
      <c r="C1865" s="118">
        <f ca="1">IFERROR(__xludf.DUMMYFUNCTION("""COMPUTED_VALUE"""),18)</f>
        <v>18</v>
      </c>
      <c r="D1865" s="118" t="str">
        <f ca="1">IFERROR(__xludf.DUMMYFUNCTION("""COMPUTED_VALUE"""),"G")</f>
        <v>G</v>
      </c>
      <c r="E1865" s="118" t="str">
        <f ca="1">IFERROR(__xludf.DUMMYFUNCTION("""COMPUTED_VALUE"""),"S")</f>
        <v>S</v>
      </c>
      <c r="F1865" s="124" t="str">
        <f ca="1">IFERROR(__xludf.DUMMYFUNCTION("""COMPUTED_VALUE"""),"S")</f>
        <v>S</v>
      </c>
      <c r="G1865" s="124">
        <f ca="1">IFERROR(__xludf.DUMMYFUNCTION("""COMPUTED_VALUE"""),2)</f>
        <v>2</v>
      </c>
      <c r="H1865" s="124" t="str">
        <f ca="1">IFERROR(__xludf.DUMMYFUNCTION("""COMPUTED_VALUE"""),"SHR")</f>
        <v>SHR</v>
      </c>
      <c r="I1865" s="124">
        <f ca="1">IFERROR(__xludf.DUMMYFUNCTION("""COMPUTED_VALUE"""),10)</f>
        <v>10</v>
      </c>
      <c r="J1865" s="124">
        <f ca="1">IFERROR(__xludf.DUMMYFUNCTION("""COMPUTED_VALUE"""),4)</f>
        <v>4</v>
      </c>
      <c r="K1865" s="125">
        <f ca="1">IFERROR(__xludf.DUMMYFUNCTION("""COMPUTED_VALUE"""),191.2)</f>
        <v>191.2</v>
      </c>
      <c r="L1865" s="121"/>
      <c r="M1865" s="125">
        <f ca="1">IFERROR(__xludf.DUMMYFUNCTION("""COMPUTED_VALUE"""),179.5)</f>
        <v>179.5</v>
      </c>
      <c r="N1865" s="121"/>
      <c r="O1865" s="125"/>
      <c r="P1865" s="126"/>
      <c r="Q1865" s="127"/>
      <c r="R1865" s="127"/>
      <c r="S1865" s="127"/>
      <c r="T1865" s="127"/>
    </row>
    <row r="1866" spans="1:20" ht="13.8">
      <c r="A1866" s="118" t="str">
        <f ca="1">IFERROR(__xludf.DUMMYFUNCTION("""COMPUTED_VALUE"""),"SHR")</f>
        <v>SHR</v>
      </c>
      <c r="B1866" s="119" t="str">
        <f ca="1">IFERROR(__xludf.DUMMYFUNCTION("""COMPUTED_VALUE"""),"Matthew Heim")</f>
        <v>Matthew Heim</v>
      </c>
      <c r="C1866" s="118">
        <f ca="1">IFERROR(__xludf.DUMMYFUNCTION("""COMPUTED_VALUE"""),16)</f>
        <v>16</v>
      </c>
      <c r="D1866" s="118" t="str">
        <f ca="1">IFERROR(__xludf.DUMMYFUNCTION("""COMPUTED_VALUE"""),"B")</f>
        <v>B</v>
      </c>
      <c r="E1866" s="118" t="str">
        <f ca="1">IFERROR(__xludf.DUMMYFUNCTION("""COMPUTED_VALUE"""),"S")</f>
        <v>S</v>
      </c>
      <c r="F1866" s="124" t="str">
        <f ca="1">IFERROR(__xludf.DUMMYFUNCTION("""COMPUTED_VALUE"""),"S")</f>
        <v>S</v>
      </c>
      <c r="G1866" s="124">
        <f ca="1">IFERROR(__xludf.DUMMYFUNCTION("""COMPUTED_VALUE"""),2)</f>
        <v>2</v>
      </c>
      <c r="H1866" s="124" t="str">
        <f ca="1">IFERROR(__xludf.DUMMYFUNCTION("""COMPUTED_VALUE"""),"SHR")</f>
        <v>SHR</v>
      </c>
      <c r="I1866" s="124">
        <f ca="1">IFERROR(__xludf.DUMMYFUNCTION("""COMPUTED_VALUE"""),11)</f>
        <v>11</v>
      </c>
      <c r="J1866" s="124">
        <f ca="1">IFERROR(__xludf.DUMMYFUNCTION("""COMPUTED_VALUE"""),5)</f>
        <v>5</v>
      </c>
      <c r="K1866" s="125">
        <f ca="1">IFERROR(__xludf.DUMMYFUNCTION("""COMPUTED_VALUE"""),194.1)</f>
        <v>194.1</v>
      </c>
      <c r="L1866" s="121"/>
      <c r="M1866" s="125">
        <f ca="1">IFERROR(__xludf.DUMMYFUNCTION("""COMPUTED_VALUE"""),173.25)</f>
        <v>173.25</v>
      </c>
      <c r="N1866" s="121"/>
      <c r="O1866" s="125">
        <f ca="1">IFERROR(__xludf.DUMMYFUNCTION("""COMPUTED_VALUE"""),174.65)</f>
        <v>174.65</v>
      </c>
      <c r="P1866" s="126"/>
      <c r="Q1866" s="127"/>
      <c r="R1866" s="127"/>
      <c r="S1866" s="127"/>
      <c r="T1866" s="127"/>
    </row>
    <row r="1867" spans="1:20" ht="13.8">
      <c r="A1867" s="118" t="str">
        <f ca="1">IFERROR(__xludf.DUMMYFUNCTION("""COMPUTED_VALUE"""),"SHR")</f>
        <v>SHR</v>
      </c>
      <c r="B1867" s="119" t="str">
        <f ca="1">IFERROR(__xludf.DUMMYFUNCTION("""COMPUTED_VALUE"""),"Parker Rice")</f>
        <v>Parker Rice</v>
      </c>
      <c r="C1867" s="118">
        <f ca="1">IFERROR(__xludf.DUMMYFUNCTION("""COMPUTED_VALUE"""),18)</f>
        <v>18</v>
      </c>
      <c r="D1867" s="118" t="str">
        <f ca="1">IFERROR(__xludf.DUMMYFUNCTION("""COMPUTED_VALUE"""),"B")</f>
        <v>B</v>
      </c>
      <c r="E1867" s="118" t="str">
        <f ca="1">IFERROR(__xludf.DUMMYFUNCTION("""COMPUTED_VALUE"""),"S")</f>
        <v>S</v>
      </c>
      <c r="F1867" s="124" t="str">
        <f ca="1">IFERROR(__xludf.DUMMYFUNCTION("""COMPUTED_VALUE"""),"S")</f>
        <v>S</v>
      </c>
      <c r="G1867" s="124">
        <f ca="1">IFERROR(__xludf.DUMMYFUNCTION("""COMPUTED_VALUE"""),2)</f>
        <v>2</v>
      </c>
      <c r="H1867" s="124" t="str">
        <f ca="1">IFERROR(__xludf.DUMMYFUNCTION("""COMPUTED_VALUE"""),"SHR")</f>
        <v>SHR</v>
      </c>
      <c r="I1867" s="124">
        <f ca="1">IFERROR(__xludf.DUMMYFUNCTION("""COMPUTED_VALUE"""),11)</f>
        <v>11</v>
      </c>
      <c r="J1867" s="124">
        <f ca="1">IFERROR(__xludf.DUMMYFUNCTION("""COMPUTED_VALUE"""),3)</f>
        <v>3</v>
      </c>
      <c r="K1867" s="125">
        <f ca="1">IFERROR(__xludf.DUMMYFUNCTION("""COMPUTED_VALUE"""),170.1)</f>
        <v>170.1</v>
      </c>
      <c r="L1867" s="121"/>
      <c r="M1867" s="125"/>
      <c r="N1867" s="121"/>
      <c r="O1867" s="125"/>
      <c r="P1867" s="126"/>
      <c r="Q1867" s="127"/>
      <c r="R1867" s="127"/>
      <c r="S1867" s="127"/>
      <c r="T1867" s="127"/>
    </row>
    <row r="1868" spans="1:20" ht="13.8">
      <c r="A1868" s="118" t="str">
        <f ca="1">IFERROR(__xludf.DUMMYFUNCTION("""COMPUTED_VALUE"""),"SR")</f>
        <v>SR</v>
      </c>
      <c r="B1868" s="119" t="str">
        <f ca="1">IFERROR(__xludf.DUMMYFUNCTION("""COMPUTED_VALUE"""),"Anne Marie Cummings")</f>
        <v>Anne Marie Cummings</v>
      </c>
      <c r="C1868" s="118">
        <f ca="1">IFERROR(__xludf.DUMMYFUNCTION("""COMPUTED_VALUE"""),7)</f>
        <v>7</v>
      </c>
      <c r="D1868" s="118" t="str">
        <f ca="1">IFERROR(__xludf.DUMMYFUNCTION("""COMPUTED_VALUE"""),"G")</f>
        <v>G</v>
      </c>
      <c r="E1868" s="118" t="str">
        <f ca="1">IFERROR(__xludf.DUMMYFUNCTION("""COMPUTED_VALUE"""),"F")</f>
        <v>F</v>
      </c>
      <c r="F1868" s="124" t="str">
        <f ca="1">IFERROR(__xludf.DUMMYFUNCTION("""COMPUTED_VALUE"""),"J")</f>
        <v>J</v>
      </c>
      <c r="G1868" s="124">
        <f ca="1">IFERROR(__xludf.DUMMYFUNCTION("""COMPUTED_VALUE"""),5)</f>
        <v>5</v>
      </c>
      <c r="H1868" s="124" t="str">
        <f ca="1">IFERROR(__xludf.DUMMYFUNCTION("""COMPUTED_VALUE"""),"SR")</f>
        <v>SR</v>
      </c>
      <c r="I1868" s="124">
        <f ca="1">IFERROR(__xludf.DUMMYFUNCTION("""COMPUTED_VALUE"""),4)</f>
        <v>4</v>
      </c>
      <c r="J1868" s="124">
        <f ca="1">IFERROR(__xludf.DUMMYFUNCTION("""COMPUTED_VALUE"""),5)</f>
        <v>5</v>
      </c>
      <c r="K1868" s="125">
        <f ca="1">IFERROR(__xludf.DUMMYFUNCTION("""COMPUTED_VALUE"""),45.4)</f>
        <v>45.4</v>
      </c>
      <c r="L1868" s="121"/>
      <c r="M1868" s="125">
        <f ca="1">IFERROR(__xludf.DUMMYFUNCTION("""COMPUTED_VALUE"""),16)</f>
        <v>16</v>
      </c>
      <c r="N1868" s="121"/>
      <c r="O1868" s="125">
        <f ca="1">IFERROR(__xludf.DUMMYFUNCTION("""COMPUTED_VALUE"""),40.15)</f>
        <v>40.15</v>
      </c>
      <c r="P1868" s="126"/>
      <c r="Q1868" s="127"/>
      <c r="R1868" s="127"/>
      <c r="S1868" s="127"/>
      <c r="T1868" s="127"/>
    </row>
    <row r="1869" spans="1:20" ht="13.8">
      <c r="A1869" s="118" t="str">
        <f ca="1">IFERROR(__xludf.DUMMYFUNCTION("""COMPUTED_VALUE"""),"SR")</f>
        <v>SR</v>
      </c>
      <c r="B1869" s="119" t="str">
        <f ca="1">IFERROR(__xludf.DUMMYFUNCTION("""COMPUTED_VALUE"""),"Beatrice Simonsen")</f>
        <v>Beatrice Simonsen</v>
      </c>
      <c r="C1869" s="118">
        <f ca="1">IFERROR(__xludf.DUMMYFUNCTION("""COMPUTED_VALUE"""),10)</f>
        <v>10</v>
      </c>
      <c r="D1869" s="118" t="str">
        <f ca="1">IFERROR(__xludf.DUMMYFUNCTION("""COMPUTED_VALUE"""),"G")</f>
        <v>G</v>
      </c>
      <c r="E1869" s="118" t="str">
        <f ca="1">IFERROR(__xludf.DUMMYFUNCTION("""COMPUTED_VALUE"""),"F")</f>
        <v>F</v>
      </c>
      <c r="F1869" s="124" t="str">
        <f ca="1">IFERROR(__xludf.DUMMYFUNCTION("""COMPUTED_VALUE"""),"J")</f>
        <v>J</v>
      </c>
      <c r="G1869" s="124">
        <f ca="1">IFERROR(__xludf.DUMMYFUNCTION("""COMPUTED_VALUE"""),5)</f>
        <v>5</v>
      </c>
      <c r="H1869" s="124" t="str">
        <f ca="1">IFERROR(__xludf.DUMMYFUNCTION("""COMPUTED_VALUE"""),"SR")</f>
        <v>SR</v>
      </c>
      <c r="I1869" s="124">
        <f ca="1">IFERROR(__xludf.DUMMYFUNCTION("""COMPUTED_VALUE"""),4)</f>
        <v>4</v>
      </c>
      <c r="J1869" s="124">
        <f ca="1">IFERROR(__xludf.DUMMYFUNCTION("""COMPUTED_VALUE"""),5)</f>
        <v>5</v>
      </c>
      <c r="K1869" s="125">
        <f ca="1">IFERROR(__xludf.DUMMYFUNCTION("""COMPUTED_VALUE"""),59.75)</f>
        <v>59.75</v>
      </c>
      <c r="L1869" s="121"/>
      <c r="M1869" s="125">
        <f ca="1">IFERROR(__xludf.DUMMYFUNCTION("""COMPUTED_VALUE"""),59.75)</f>
        <v>59.75</v>
      </c>
      <c r="N1869" s="121"/>
      <c r="O1869" s="125">
        <f ca="1">IFERROR(__xludf.DUMMYFUNCTION("""COMPUTED_VALUE"""),58.8)</f>
        <v>58.8</v>
      </c>
      <c r="P1869" s="126"/>
      <c r="Q1869" s="127"/>
      <c r="R1869" s="127"/>
      <c r="S1869" s="127"/>
      <c r="T1869" s="127"/>
    </row>
    <row r="1870" spans="1:20" ht="13.8">
      <c r="A1870" s="118" t="str">
        <f ca="1">IFERROR(__xludf.DUMMYFUNCTION("""COMPUTED_VALUE"""),"SR")</f>
        <v>SR</v>
      </c>
      <c r="B1870" s="119" t="str">
        <f ca="1">IFERROR(__xludf.DUMMYFUNCTION("""COMPUTED_VALUE"""),"Caroline Markey")</f>
        <v>Caroline Markey</v>
      </c>
      <c r="C1870" s="118">
        <f ca="1">IFERROR(__xludf.DUMMYFUNCTION("""COMPUTED_VALUE"""),10)</f>
        <v>10</v>
      </c>
      <c r="D1870" s="118" t="str">
        <f ca="1">IFERROR(__xludf.DUMMYFUNCTION("""COMPUTED_VALUE"""),"G")</f>
        <v>G</v>
      </c>
      <c r="E1870" s="118" t="str">
        <f ca="1">IFERROR(__xludf.DUMMYFUNCTION("""COMPUTED_VALUE"""),"F")</f>
        <v>F</v>
      </c>
      <c r="F1870" s="124" t="str">
        <f ca="1">IFERROR(__xludf.DUMMYFUNCTION("""COMPUTED_VALUE"""),"J")</f>
        <v>J</v>
      </c>
      <c r="G1870" s="124">
        <f ca="1">IFERROR(__xludf.DUMMYFUNCTION("""COMPUTED_VALUE"""),5)</f>
        <v>5</v>
      </c>
      <c r="H1870" s="124" t="str">
        <f ca="1">IFERROR(__xludf.DUMMYFUNCTION("""COMPUTED_VALUE"""),"SR")</f>
        <v>SR</v>
      </c>
      <c r="I1870" s="124">
        <f ca="1">IFERROR(__xludf.DUMMYFUNCTION("""COMPUTED_VALUE"""),4)</f>
        <v>4</v>
      </c>
      <c r="J1870" s="124">
        <f ca="1">IFERROR(__xludf.DUMMYFUNCTION("""COMPUTED_VALUE"""),5)</f>
        <v>5</v>
      </c>
      <c r="K1870" s="125">
        <f ca="1">IFERROR(__xludf.DUMMYFUNCTION("""COMPUTED_VALUE"""),43.6)</f>
        <v>43.6</v>
      </c>
      <c r="L1870" s="121"/>
      <c r="M1870" s="125">
        <f ca="1">IFERROR(__xludf.DUMMYFUNCTION("""COMPUTED_VALUE"""),43.6)</f>
        <v>43.6</v>
      </c>
      <c r="N1870" s="121"/>
      <c r="O1870" s="125">
        <f ca="1">IFERROR(__xludf.DUMMYFUNCTION("""COMPUTED_VALUE"""),41.5)</f>
        <v>41.5</v>
      </c>
      <c r="P1870" s="126"/>
      <c r="Q1870" s="127"/>
      <c r="R1870" s="127"/>
      <c r="S1870" s="127"/>
      <c r="T1870" s="127"/>
    </row>
    <row r="1871" spans="1:20" ht="13.8">
      <c r="A1871" s="118" t="str">
        <f ca="1">IFERROR(__xludf.DUMMYFUNCTION("""COMPUTED_VALUE"""),"SR")</f>
        <v>SR</v>
      </c>
      <c r="B1871" s="119" t="str">
        <f ca="1">IFERROR(__xludf.DUMMYFUNCTION("""COMPUTED_VALUE"""),"Caroline Wilson")</f>
        <v>Caroline Wilson</v>
      </c>
      <c r="C1871" s="118">
        <f ca="1">IFERROR(__xludf.DUMMYFUNCTION("""COMPUTED_VALUE"""),9)</f>
        <v>9</v>
      </c>
      <c r="D1871" s="118" t="str">
        <f ca="1">IFERROR(__xludf.DUMMYFUNCTION("""COMPUTED_VALUE"""),"G")</f>
        <v>G</v>
      </c>
      <c r="E1871" s="118" t="str">
        <f ca="1">IFERROR(__xludf.DUMMYFUNCTION("""COMPUTED_VALUE"""),"F")</f>
        <v>F</v>
      </c>
      <c r="F1871" s="124" t="str">
        <f ca="1">IFERROR(__xludf.DUMMYFUNCTION("""COMPUTED_VALUE"""),"J")</f>
        <v>J</v>
      </c>
      <c r="G1871" s="124">
        <f ca="1">IFERROR(__xludf.DUMMYFUNCTION("""COMPUTED_VALUE"""),5)</f>
        <v>5</v>
      </c>
      <c r="H1871" s="124" t="str">
        <f ca="1">IFERROR(__xludf.DUMMYFUNCTION("""COMPUTED_VALUE"""),"SR")</f>
        <v>SR</v>
      </c>
      <c r="I1871" s="124">
        <f ca="1">IFERROR(__xludf.DUMMYFUNCTION("""COMPUTED_VALUE"""),4)</f>
        <v>4</v>
      </c>
      <c r="J1871" s="124">
        <f ca="1">IFERROR(__xludf.DUMMYFUNCTION("""COMPUTED_VALUE"""),4)</f>
        <v>4</v>
      </c>
      <c r="K1871" s="125">
        <f ca="1">IFERROR(__xludf.DUMMYFUNCTION("""COMPUTED_VALUE"""),45)</f>
        <v>45</v>
      </c>
      <c r="L1871" s="121"/>
      <c r="M1871" s="125"/>
      <c r="N1871" s="121"/>
      <c r="O1871" s="125">
        <f ca="1">IFERROR(__xludf.DUMMYFUNCTION("""COMPUTED_VALUE"""),45)</f>
        <v>45</v>
      </c>
      <c r="P1871" s="126"/>
      <c r="Q1871" s="127"/>
      <c r="R1871" s="127"/>
      <c r="S1871" s="127"/>
      <c r="T1871" s="127"/>
    </row>
    <row r="1872" spans="1:20" ht="13.8">
      <c r="A1872" s="118" t="str">
        <f ca="1">IFERROR(__xludf.DUMMYFUNCTION("""COMPUTED_VALUE"""),"SR")</f>
        <v>SR</v>
      </c>
      <c r="B1872" s="119" t="str">
        <f ca="1">IFERROR(__xludf.DUMMYFUNCTION("""COMPUTED_VALUE"""),"Clara Cummings")</f>
        <v>Clara Cummings</v>
      </c>
      <c r="C1872" s="118">
        <f ca="1">IFERROR(__xludf.DUMMYFUNCTION("""COMPUTED_VALUE"""),9)</f>
        <v>9</v>
      </c>
      <c r="D1872" s="118" t="str">
        <f ca="1">IFERROR(__xludf.DUMMYFUNCTION("""COMPUTED_VALUE"""),"G")</f>
        <v>G</v>
      </c>
      <c r="E1872" s="118" t="str">
        <f ca="1">IFERROR(__xludf.DUMMYFUNCTION("""COMPUTED_VALUE"""),"F")</f>
        <v>F</v>
      </c>
      <c r="F1872" s="124" t="str">
        <f ca="1">IFERROR(__xludf.DUMMYFUNCTION("""COMPUTED_VALUE"""),"J")</f>
        <v>J</v>
      </c>
      <c r="G1872" s="124">
        <f ca="1">IFERROR(__xludf.DUMMYFUNCTION("""COMPUTED_VALUE"""),5)</f>
        <v>5</v>
      </c>
      <c r="H1872" s="124" t="str">
        <f ca="1">IFERROR(__xludf.DUMMYFUNCTION("""COMPUTED_VALUE"""),"SR")</f>
        <v>SR</v>
      </c>
      <c r="I1872" s="124">
        <f ca="1">IFERROR(__xludf.DUMMYFUNCTION("""COMPUTED_VALUE"""),4)</f>
        <v>4</v>
      </c>
      <c r="J1872" s="124">
        <f ca="1">IFERROR(__xludf.DUMMYFUNCTION("""COMPUTED_VALUE"""),5)</f>
        <v>5</v>
      </c>
      <c r="K1872" s="125">
        <f ca="1">IFERROR(__xludf.DUMMYFUNCTION("""COMPUTED_VALUE"""),57.05)</f>
        <v>57.05</v>
      </c>
      <c r="L1872" s="121"/>
      <c r="M1872" s="125">
        <f ca="1">IFERROR(__xludf.DUMMYFUNCTION("""COMPUTED_VALUE"""),50.85)</f>
        <v>50.85</v>
      </c>
      <c r="N1872" s="121"/>
      <c r="O1872" s="125">
        <f ca="1">IFERROR(__xludf.DUMMYFUNCTION("""COMPUTED_VALUE"""),51.7)</f>
        <v>51.7</v>
      </c>
      <c r="P1872" s="126"/>
      <c r="Q1872" s="127"/>
      <c r="R1872" s="127"/>
      <c r="S1872" s="127"/>
      <c r="T1872" s="127"/>
    </row>
    <row r="1873" spans="1:20" ht="13.8">
      <c r="A1873" s="118" t="str">
        <f ca="1">IFERROR(__xludf.DUMMYFUNCTION("""COMPUTED_VALUE"""),"SR")</f>
        <v>SR</v>
      </c>
      <c r="B1873" s="119" t="str">
        <f ca="1">IFERROR(__xludf.DUMMYFUNCTION("""COMPUTED_VALUE"""),"Lillian Engle")</f>
        <v>Lillian Engle</v>
      </c>
      <c r="C1873" s="118">
        <f ca="1">IFERROR(__xludf.DUMMYFUNCTION("""COMPUTED_VALUE"""),10)</f>
        <v>10</v>
      </c>
      <c r="D1873" s="118" t="str">
        <f ca="1">IFERROR(__xludf.DUMMYFUNCTION("""COMPUTED_VALUE"""),"G")</f>
        <v>G</v>
      </c>
      <c r="E1873" s="118" t="str">
        <f ca="1">IFERROR(__xludf.DUMMYFUNCTION("""COMPUTED_VALUE"""),"F")</f>
        <v>F</v>
      </c>
      <c r="F1873" s="124" t="str">
        <f ca="1">IFERROR(__xludf.DUMMYFUNCTION("""COMPUTED_VALUE"""),"J")</f>
        <v>J</v>
      </c>
      <c r="G1873" s="124">
        <f ca="1">IFERROR(__xludf.DUMMYFUNCTION("""COMPUTED_VALUE"""),5)</f>
        <v>5</v>
      </c>
      <c r="H1873" s="124" t="str">
        <f ca="1">IFERROR(__xludf.DUMMYFUNCTION("""COMPUTED_VALUE"""),"SR")</f>
        <v>SR</v>
      </c>
      <c r="I1873" s="124">
        <f ca="1">IFERROR(__xludf.DUMMYFUNCTION("""COMPUTED_VALUE"""),4)</f>
        <v>4</v>
      </c>
      <c r="J1873" s="124">
        <f ca="1">IFERROR(__xludf.DUMMYFUNCTION("""COMPUTED_VALUE"""),1)</f>
        <v>1</v>
      </c>
      <c r="K1873" s="125">
        <f ca="1">IFERROR(__xludf.DUMMYFUNCTION("""COMPUTED_VALUE"""),40.2)</f>
        <v>40.200000000000003</v>
      </c>
      <c r="L1873" s="121"/>
      <c r="M1873" s="125">
        <f ca="1">IFERROR(__xludf.DUMMYFUNCTION("""COMPUTED_VALUE"""),40.2)</f>
        <v>40.200000000000003</v>
      </c>
      <c r="N1873" s="121"/>
      <c r="O1873" s="125"/>
      <c r="P1873" s="126"/>
      <c r="Q1873" s="127"/>
      <c r="R1873" s="127"/>
      <c r="S1873" s="127"/>
      <c r="T1873" s="127"/>
    </row>
    <row r="1874" spans="1:20" ht="13.8">
      <c r="A1874" s="118" t="str">
        <f ca="1">IFERROR(__xludf.DUMMYFUNCTION("""COMPUTED_VALUE"""),"SR")</f>
        <v>SR</v>
      </c>
      <c r="B1874" s="119" t="str">
        <f ca="1">IFERROR(__xludf.DUMMYFUNCTION("""COMPUTED_VALUE"""),"Penelope Cummings")</f>
        <v>Penelope Cummings</v>
      </c>
      <c r="C1874" s="118">
        <f ca="1">IFERROR(__xludf.DUMMYFUNCTION("""COMPUTED_VALUE"""),8)</f>
        <v>8</v>
      </c>
      <c r="D1874" s="118" t="str">
        <f ca="1">IFERROR(__xludf.DUMMYFUNCTION("""COMPUTED_VALUE"""),"G")</f>
        <v>G</v>
      </c>
      <c r="E1874" s="118" t="str">
        <f ca="1">IFERROR(__xludf.DUMMYFUNCTION("""COMPUTED_VALUE"""),"F")</f>
        <v>F</v>
      </c>
      <c r="F1874" s="124" t="str">
        <f ca="1">IFERROR(__xludf.DUMMYFUNCTION("""COMPUTED_VALUE"""),"J")</f>
        <v>J</v>
      </c>
      <c r="G1874" s="124">
        <f ca="1">IFERROR(__xludf.DUMMYFUNCTION("""COMPUTED_VALUE"""),5)</f>
        <v>5</v>
      </c>
      <c r="H1874" s="124" t="str">
        <f ca="1">IFERROR(__xludf.DUMMYFUNCTION("""COMPUTED_VALUE"""),"SR")</f>
        <v>SR</v>
      </c>
      <c r="I1874" s="124">
        <f ca="1">IFERROR(__xludf.DUMMYFUNCTION("""COMPUTED_VALUE"""),4)</f>
        <v>4</v>
      </c>
      <c r="J1874" s="124">
        <f ca="1">IFERROR(__xludf.DUMMYFUNCTION("""COMPUTED_VALUE"""),4)</f>
        <v>4</v>
      </c>
      <c r="K1874" s="125">
        <f ca="1">IFERROR(__xludf.DUMMYFUNCTION("""COMPUTED_VALUE"""),42.85)</f>
        <v>42.85</v>
      </c>
      <c r="L1874" s="121"/>
      <c r="M1874" s="125">
        <f ca="1">IFERROR(__xludf.DUMMYFUNCTION("""COMPUTED_VALUE"""),41.3)</f>
        <v>41.3</v>
      </c>
      <c r="N1874" s="121"/>
      <c r="O1874" s="125">
        <f ca="1">IFERROR(__xludf.DUMMYFUNCTION("""COMPUTED_VALUE"""),42.85)</f>
        <v>42.85</v>
      </c>
      <c r="P1874" s="126"/>
      <c r="Q1874" s="127"/>
      <c r="R1874" s="127"/>
      <c r="S1874" s="127"/>
      <c r="T1874" s="127"/>
    </row>
    <row r="1875" spans="1:20" ht="13.8">
      <c r="A1875" s="118" t="str">
        <f ca="1">IFERROR(__xludf.DUMMYFUNCTION("""COMPUTED_VALUE"""),"SR")</f>
        <v>SR</v>
      </c>
      <c r="B1875" s="119" t="str">
        <f ca="1">IFERROR(__xludf.DUMMYFUNCTION("""COMPUTED_VALUE"""),"Riley Douglas")</f>
        <v>Riley Douglas</v>
      </c>
      <c r="C1875" s="118">
        <f ca="1">IFERROR(__xludf.DUMMYFUNCTION("""COMPUTED_VALUE"""),7)</f>
        <v>7</v>
      </c>
      <c r="D1875" s="118" t="str">
        <f ca="1">IFERROR(__xludf.DUMMYFUNCTION("""COMPUTED_VALUE"""),"G")</f>
        <v>G</v>
      </c>
      <c r="E1875" s="118" t="str">
        <f ca="1">IFERROR(__xludf.DUMMYFUNCTION("""COMPUTED_VALUE"""),"F")</f>
        <v>F</v>
      </c>
      <c r="F1875" s="124" t="str">
        <f ca="1">IFERROR(__xludf.DUMMYFUNCTION("""COMPUTED_VALUE"""),"J")</f>
        <v>J</v>
      </c>
      <c r="G1875" s="124">
        <f ca="1">IFERROR(__xludf.DUMMYFUNCTION("""COMPUTED_VALUE"""),5)</f>
        <v>5</v>
      </c>
      <c r="H1875" s="124" t="str">
        <f ca="1">IFERROR(__xludf.DUMMYFUNCTION("""COMPUTED_VALUE"""),"SR")</f>
        <v>SR</v>
      </c>
      <c r="I1875" s="124">
        <f ca="1">IFERROR(__xludf.DUMMYFUNCTION("""COMPUTED_VALUE"""),4)</f>
        <v>4</v>
      </c>
      <c r="J1875" s="124">
        <f ca="1">IFERROR(__xludf.DUMMYFUNCTION("""COMPUTED_VALUE"""),1)</f>
        <v>1</v>
      </c>
      <c r="K1875" s="125">
        <f ca="1">IFERROR(__xludf.DUMMYFUNCTION("""COMPUTED_VALUE"""),23.85)</f>
        <v>23.85</v>
      </c>
      <c r="L1875" s="121"/>
      <c r="M1875" s="125"/>
      <c r="N1875" s="121"/>
      <c r="O1875" s="125"/>
      <c r="P1875" s="126"/>
      <c r="Q1875" s="127"/>
      <c r="R1875" s="127"/>
      <c r="S1875" s="127"/>
      <c r="T1875" s="127"/>
    </row>
    <row r="1876" spans="1:20" ht="13.8">
      <c r="A1876" s="118" t="str">
        <f ca="1">IFERROR(__xludf.DUMMYFUNCTION("""COMPUTED_VALUE"""),"SR")</f>
        <v>SR</v>
      </c>
      <c r="B1876" s="119" t="str">
        <f ca="1">IFERROR(__xludf.DUMMYFUNCTION("""COMPUTED_VALUE"""),"Scarlett Mintzer")</f>
        <v>Scarlett Mintzer</v>
      </c>
      <c r="C1876" s="118">
        <f ca="1">IFERROR(__xludf.DUMMYFUNCTION("""COMPUTED_VALUE"""),10)</f>
        <v>10</v>
      </c>
      <c r="D1876" s="118" t="str">
        <f ca="1">IFERROR(__xludf.DUMMYFUNCTION("""COMPUTED_VALUE"""),"G")</f>
        <v>G</v>
      </c>
      <c r="E1876" s="118" t="str">
        <f ca="1">IFERROR(__xludf.DUMMYFUNCTION("""COMPUTED_VALUE"""),"F")</f>
        <v>F</v>
      </c>
      <c r="F1876" s="124" t="str">
        <f ca="1">IFERROR(__xludf.DUMMYFUNCTION("""COMPUTED_VALUE"""),"J")</f>
        <v>J</v>
      </c>
      <c r="G1876" s="124">
        <f ca="1">IFERROR(__xludf.DUMMYFUNCTION("""COMPUTED_VALUE"""),5)</f>
        <v>5</v>
      </c>
      <c r="H1876" s="124" t="str">
        <f ca="1">IFERROR(__xludf.DUMMYFUNCTION("""COMPUTED_VALUE"""),"SR")</f>
        <v>SR</v>
      </c>
      <c r="I1876" s="124">
        <f ca="1">IFERROR(__xludf.DUMMYFUNCTION("""COMPUTED_VALUE"""),4)</f>
        <v>4</v>
      </c>
      <c r="J1876" s="124">
        <f ca="1">IFERROR(__xludf.DUMMYFUNCTION("""COMPUTED_VALUE"""),2)</f>
        <v>2</v>
      </c>
      <c r="K1876" s="125">
        <f ca="1">IFERROR(__xludf.DUMMYFUNCTION("""COMPUTED_VALUE"""),42.85)</f>
        <v>42.85</v>
      </c>
      <c r="L1876" s="121"/>
      <c r="M1876" s="125"/>
      <c r="N1876" s="121"/>
      <c r="O1876" s="125"/>
      <c r="P1876" s="126"/>
      <c r="Q1876" s="127"/>
      <c r="R1876" s="127"/>
      <c r="S1876" s="127"/>
      <c r="T1876" s="127"/>
    </row>
    <row r="1877" spans="1:20" ht="13.8">
      <c r="A1877" s="118" t="str">
        <f ca="1">IFERROR(__xludf.DUMMYFUNCTION("""COMPUTED_VALUE"""),"SR")</f>
        <v>SR</v>
      </c>
      <c r="B1877" s="119" t="str">
        <f ca="1">IFERROR(__xludf.DUMMYFUNCTION("""COMPUTED_VALUE"""),"Charles Shingleton")</f>
        <v>Charles Shingleton</v>
      </c>
      <c r="C1877" s="118">
        <f ca="1">IFERROR(__xludf.DUMMYFUNCTION("""COMPUTED_VALUE"""),9)</f>
        <v>9</v>
      </c>
      <c r="D1877" s="118" t="str">
        <f ca="1">IFERROR(__xludf.DUMMYFUNCTION("""COMPUTED_VALUE"""),"B")</f>
        <v>B</v>
      </c>
      <c r="E1877" s="118" t="str">
        <f ca="1">IFERROR(__xludf.DUMMYFUNCTION("""COMPUTED_VALUE"""),"F")</f>
        <v>F</v>
      </c>
      <c r="F1877" s="124" t="str">
        <f ca="1">IFERROR(__xludf.DUMMYFUNCTION("""COMPUTED_VALUE"""),"J")</f>
        <v>J</v>
      </c>
      <c r="G1877" s="124">
        <f ca="1">IFERROR(__xludf.DUMMYFUNCTION("""COMPUTED_VALUE"""),5)</f>
        <v>5</v>
      </c>
      <c r="H1877" s="124" t="str">
        <f ca="1">IFERROR(__xludf.DUMMYFUNCTION("""COMPUTED_VALUE"""),"SR")</f>
        <v>SR</v>
      </c>
      <c r="I1877" s="124">
        <f ca="1">IFERROR(__xludf.DUMMYFUNCTION("""COMPUTED_VALUE"""),5)</f>
        <v>5</v>
      </c>
      <c r="J1877" s="124">
        <f ca="1">IFERROR(__xludf.DUMMYFUNCTION("""COMPUTED_VALUE"""),3)</f>
        <v>3</v>
      </c>
      <c r="K1877" s="125">
        <f ca="1">IFERROR(__xludf.DUMMYFUNCTION("""COMPUTED_VALUE"""),34.95)</f>
        <v>34.950000000000003</v>
      </c>
      <c r="L1877" s="121"/>
      <c r="M1877" s="125"/>
      <c r="N1877" s="121"/>
      <c r="O1877" s="125"/>
      <c r="P1877" s="126"/>
      <c r="Q1877" s="127"/>
      <c r="R1877" s="127"/>
      <c r="S1877" s="127"/>
      <c r="T1877" s="127"/>
    </row>
    <row r="1878" spans="1:20" ht="13.8">
      <c r="A1878" s="118" t="str">
        <f ca="1">IFERROR(__xludf.DUMMYFUNCTION("""COMPUTED_VALUE"""),"SR")</f>
        <v>SR</v>
      </c>
      <c r="B1878" s="119" t="str">
        <f ca="1">IFERROR(__xludf.DUMMYFUNCTION("""COMPUTED_VALUE"""),"Cormac Moore")</f>
        <v>Cormac Moore</v>
      </c>
      <c r="C1878" s="118">
        <f ca="1">IFERROR(__xludf.DUMMYFUNCTION("""COMPUTED_VALUE"""),10)</f>
        <v>10</v>
      </c>
      <c r="D1878" s="118" t="str">
        <f ca="1">IFERROR(__xludf.DUMMYFUNCTION("""COMPUTED_VALUE"""),"B")</f>
        <v>B</v>
      </c>
      <c r="E1878" s="118" t="str">
        <f ca="1">IFERROR(__xludf.DUMMYFUNCTION("""COMPUTED_VALUE"""),"F")</f>
        <v>F</v>
      </c>
      <c r="F1878" s="124" t="str">
        <f ca="1">IFERROR(__xludf.DUMMYFUNCTION("""COMPUTED_VALUE"""),"J")</f>
        <v>J</v>
      </c>
      <c r="G1878" s="124">
        <f ca="1">IFERROR(__xludf.DUMMYFUNCTION("""COMPUTED_VALUE"""),5)</f>
        <v>5</v>
      </c>
      <c r="H1878" s="124" t="str">
        <f ca="1">IFERROR(__xludf.DUMMYFUNCTION("""COMPUTED_VALUE"""),"SR")</f>
        <v>SR</v>
      </c>
      <c r="I1878" s="124">
        <f ca="1">IFERROR(__xludf.DUMMYFUNCTION("""COMPUTED_VALUE"""),5)</f>
        <v>5</v>
      </c>
      <c r="J1878" s="124">
        <f ca="1">IFERROR(__xludf.DUMMYFUNCTION("""COMPUTED_VALUE"""),4)</f>
        <v>4</v>
      </c>
      <c r="K1878" s="125">
        <f ca="1">IFERROR(__xludf.DUMMYFUNCTION("""COMPUTED_VALUE"""),48.75)</f>
        <v>48.75</v>
      </c>
      <c r="L1878" s="121"/>
      <c r="M1878" s="125">
        <f ca="1">IFERROR(__xludf.DUMMYFUNCTION("""COMPUTED_VALUE"""),31.05)</f>
        <v>31.05</v>
      </c>
      <c r="N1878" s="121"/>
      <c r="O1878" s="125">
        <f ca="1">IFERROR(__xludf.DUMMYFUNCTION("""COMPUTED_VALUE"""),48.75)</f>
        <v>48.75</v>
      </c>
      <c r="P1878" s="126"/>
      <c r="Q1878" s="127"/>
      <c r="R1878" s="127"/>
      <c r="S1878" s="127"/>
      <c r="T1878" s="127"/>
    </row>
    <row r="1879" spans="1:20" ht="13.8">
      <c r="A1879" s="118" t="str">
        <f ca="1">IFERROR(__xludf.DUMMYFUNCTION("""COMPUTED_VALUE"""),"SR")</f>
        <v>SR</v>
      </c>
      <c r="B1879" s="119" t="str">
        <f ca="1">IFERROR(__xludf.DUMMYFUNCTION("""COMPUTED_VALUE"""),"Finley O'Driscoll")</f>
        <v>Finley O'Driscoll</v>
      </c>
      <c r="C1879" s="118">
        <f ca="1">IFERROR(__xludf.DUMMYFUNCTION("""COMPUTED_VALUE"""),8)</f>
        <v>8</v>
      </c>
      <c r="D1879" s="118" t="str">
        <f ca="1">IFERROR(__xludf.DUMMYFUNCTION("""COMPUTED_VALUE"""),"B")</f>
        <v>B</v>
      </c>
      <c r="E1879" s="118" t="str">
        <f ca="1">IFERROR(__xludf.DUMMYFUNCTION("""COMPUTED_VALUE"""),"F")</f>
        <v>F</v>
      </c>
      <c r="F1879" s="124" t="str">
        <f ca="1">IFERROR(__xludf.DUMMYFUNCTION("""COMPUTED_VALUE"""),"J")</f>
        <v>J</v>
      </c>
      <c r="G1879" s="124">
        <f ca="1">IFERROR(__xludf.DUMMYFUNCTION("""COMPUTED_VALUE"""),5)</f>
        <v>5</v>
      </c>
      <c r="H1879" s="124" t="str">
        <f ca="1">IFERROR(__xludf.DUMMYFUNCTION("""COMPUTED_VALUE"""),"SR")</f>
        <v>SR</v>
      </c>
      <c r="I1879" s="124">
        <f ca="1">IFERROR(__xludf.DUMMYFUNCTION("""COMPUTED_VALUE"""),5)</f>
        <v>5</v>
      </c>
      <c r="J1879" s="124">
        <f ca="1">IFERROR(__xludf.DUMMYFUNCTION("""COMPUTED_VALUE"""),4)</f>
        <v>4</v>
      </c>
      <c r="K1879" s="125">
        <f ca="1">IFERROR(__xludf.DUMMYFUNCTION("""COMPUTED_VALUE"""),53.3)</f>
        <v>53.3</v>
      </c>
      <c r="L1879" s="121"/>
      <c r="M1879" s="125"/>
      <c r="N1879" s="121"/>
      <c r="O1879" s="125">
        <f ca="1">IFERROR(__xludf.DUMMYFUNCTION("""COMPUTED_VALUE"""),53.3)</f>
        <v>53.3</v>
      </c>
      <c r="P1879" s="126"/>
      <c r="Q1879" s="127"/>
      <c r="R1879" s="127"/>
      <c r="S1879" s="127"/>
      <c r="T1879" s="127"/>
    </row>
    <row r="1880" spans="1:20" ht="13.8">
      <c r="A1880" s="118" t="str">
        <f ca="1">IFERROR(__xludf.DUMMYFUNCTION("""COMPUTED_VALUE"""),"SR")</f>
        <v>SR</v>
      </c>
      <c r="B1880" s="119" t="str">
        <f ca="1">IFERROR(__xludf.DUMMYFUNCTION("""COMPUTED_VALUE"""),"Jackson Markey")</f>
        <v>Jackson Markey</v>
      </c>
      <c r="C1880" s="118">
        <f ca="1">IFERROR(__xludf.DUMMYFUNCTION("""COMPUTED_VALUE"""),9)</f>
        <v>9</v>
      </c>
      <c r="D1880" s="118" t="str">
        <f ca="1">IFERROR(__xludf.DUMMYFUNCTION("""COMPUTED_VALUE"""),"B")</f>
        <v>B</v>
      </c>
      <c r="E1880" s="118" t="str">
        <f ca="1">IFERROR(__xludf.DUMMYFUNCTION("""COMPUTED_VALUE"""),"F")</f>
        <v>F</v>
      </c>
      <c r="F1880" s="124" t="str">
        <f ca="1">IFERROR(__xludf.DUMMYFUNCTION("""COMPUTED_VALUE"""),"J")</f>
        <v>J</v>
      </c>
      <c r="G1880" s="124">
        <f ca="1">IFERROR(__xludf.DUMMYFUNCTION("""COMPUTED_VALUE"""),5)</f>
        <v>5</v>
      </c>
      <c r="H1880" s="124" t="str">
        <f ca="1">IFERROR(__xludf.DUMMYFUNCTION("""COMPUTED_VALUE"""),"SR")</f>
        <v>SR</v>
      </c>
      <c r="I1880" s="124">
        <f ca="1">IFERROR(__xludf.DUMMYFUNCTION("""COMPUTED_VALUE"""),5)</f>
        <v>5</v>
      </c>
      <c r="J1880" s="124">
        <f ca="1">IFERROR(__xludf.DUMMYFUNCTION("""COMPUTED_VALUE"""),4)</f>
        <v>4</v>
      </c>
      <c r="K1880" s="125">
        <f ca="1">IFERROR(__xludf.DUMMYFUNCTION("""COMPUTED_VALUE"""),10.75)</f>
        <v>10.75</v>
      </c>
      <c r="L1880" s="121"/>
      <c r="M1880" s="125">
        <f ca="1">IFERROR(__xludf.DUMMYFUNCTION("""COMPUTED_VALUE"""),8.75)</f>
        <v>8.75</v>
      </c>
      <c r="N1880" s="121"/>
      <c r="O1880" s="125">
        <f ca="1">IFERROR(__xludf.DUMMYFUNCTION("""COMPUTED_VALUE"""),10)</f>
        <v>10</v>
      </c>
      <c r="P1880" s="126"/>
      <c r="Q1880" s="127"/>
      <c r="R1880" s="127"/>
      <c r="S1880" s="127"/>
      <c r="T1880" s="127"/>
    </row>
    <row r="1881" spans="1:20" ht="13.8">
      <c r="A1881" s="118" t="str">
        <f ca="1">IFERROR(__xludf.DUMMYFUNCTION("""COMPUTED_VALUE"""),"SR")</f>
        <v>SR</v>
      </c>
      <c r="B1881" s="119" t="str">
        <f ca="1">IFERROR(__xludf.DUMMYFUNCTION("""COMPUTED_VALUE"""),"Louis Mintzer")</f>
        <v>Louis Mintzer</v>
      </c>
      <c r="C1881" s="118">
        <f ca="1">IFERROR(__xludf.DUMMYFUNCTION("""COMPUTED_VALUE"""),8)</f>
        <v>8</v>
      </c>
      <c r="D1881" s="118" t="str">
        <f ca="1">IFERROR(__xludf.DUMMYFUNCTION("""COMPUTED_VALUE"""),"B")</f>
        <v>B</v>
      </c>
      <c r="E1881" s="118" t="str">
        <f ca="1">IFERROR(__xludf.DUMMYFUNCTION("""COMPUTED_VALUE"""),"F")</f>
        <v>F</v>
      </c>
      <c r="F1881" s="124" t="str">
        <f ca="1">IFERROR(__xludf.DUMMYFUNCTION("""COMPUTED_VALUE"""),"J")</f>
        <v>J</v>
      </c>
      <c r="G1881" s="124">
        <f ca="1">IFERROR(__xludf.DUMMYFUNCTION("""COMPUTED_VALUE"""),5)</f>
        <v>5</v>
      </c>
      <c r="H1881" s="124" t="str">
        <f ca="1">IFERROR(__xludf.DUMMYFUNCTION("""COMPUTED_VALUE"""),"SR")</f>
        <v>SR</v>
      </c>
      <c r="I1881" s="124">
        <f ca="1">IFERROR(__xludf.DUMMYFUNCTION("""COMPUTED_VALUE"""),5)</f>
        <v>5</v>
      </c>
      <c r="J1881" s="124">
        <f ca="1">IFERROR(__xludf.DUMMYFUNCTION("""COMPUTED_VALUE"""),4)</f>
        <v>4</v>
      </c>
      <c r="K1881" s="125">
        <f ca="1">IFERROR(__xludf.DUMMYFUNCTION("""COMPUTED_VALUE"""),59.15)</f>
        <v>59.15</v>
      </c>
      <c r="L1881" s="121"/>
      <c r="M1881" s="125"/>
      <c r="N1881" s="121"/>
      <c r="O1881" s="125">
        <f ca="1">IFERROR(__xludf.DUMMYFUNCTION("""COMPUTED_VALUE"""),55.35)</f>
        <v>55.35</v>
      </c>
      <c r="P1881" s="126"/>
      <c r="Q1881" s="127"/>
      <c r="R1881" s="127"/>
      <c r="S1881" s="127"/>
      <c r="T1881" s="127"/>
    </row>
    <row r="1882" spans="1:20" ht="13.8">
      <c r="A1882" s="118" t="str">
        <f ca="1">IFERROR(__xludf.DUMMYFUNCTION("""COMPUTED_VALUE"""),"SR")</f>
        <v>SR</v>
      </c>
      <c r="B1882" s="119" t="str">
        <f ca="1">IFERROR(__xludf.DUMMYFUNCTION("""COMPUTED_VALUE"""),"Michael Barnett")</f>
        <v>Michael Barnett</v>
      </c>
      <c r="C1882" s="118">
        <f ca="1">IFERROR(__xludf.DUMMYFUNCTION("""COMPUTED_VALUE"""),9)</f>
        <v>9</v>
      </c>
      <c r="D1882" s="118" t="str">
        <f ca="1">IFERROR(__xludf.DUMMYFUNCTION("""COMPUTED_VALUE"""),"B")</f>
        <v>B</v>
      </c>
      <c r="E1882" s="118" t="str">
        <f ca="1">IFERROR(__xludf.DUMMYFUNCTION("""COMPUTED_VALUE"""),"F")</f>
        <v>F</v>
      </c>
      <c r="F1882" s="124" t="str">
        <f ca="1">IFERROR(__xludf.DUMMYFUNCTION("""COMPUTED_VALUE"""),"J")</f>
        <v>J</v>
      </c>
      <c r="G1882" s="124">
        <f ca="1">IFERROR(__xludf.DUMMYFUNCTION("""COMPUTED_VALUE"""),5)</f>
        <v>5</v>
      </c>
      <c r="H1882" s="124" t="str">
        <f ca="1">IFERROR(__xludf.DUMMYFUNCTION("""COMPUTED_VALUE"""),"SR")</f>
        <v>SR</v>
      </c>
      <c r="I1882" s="124">
        <f ca="1">IFERROR(__xludf.DUMMYFUNCTION("""COMPUTED_VALUE"""),5)</f>
        <v>5</v>
      </c>
      <c r="J1882" s="124">
        <f ca="1">IFERROR(__xludf.DUMMYFUNCTION("""COMPUTED_VALUE"""),0)</f>
        <v>0</v>
      </c>
      <c r="K1882" s="125"/>
      <c r="L1882" s="121"/>
      <c r="M1882" s="125"/>
      <c r="N1882" s="121"/>
      <c r="O1882" s="125"/>
      <c r="P1882" s="126"/>
      <c r="Q1882" s="127"/>
      <c r="R1882" s="127"/>
      <c r="S1882" s="127"/>
      <c r="T1882" s="127"/>
    </row>
    <row r="1883" spans="1:20" ht="13.8">
      <c r="A1883" s="118" t="str">
        <f ca="1">IFERROR(__xludf.DUMMYFUNCTION("""COMPUTED_VALUE"""),"SR")</f>
        <v>SR</v>
      </c>
      <c r="B1883" s="119" t="str">
        <f ca="1">IFERROR(__xludf.DUMMYFUNCTION("""COMPUTED_VALUE"""),"Sullivan Moore")</f>
        <v>Sullivan Moore</v>
      </c>
      <c r="C1883" s="118">
        <f ca="1">IFERROR(__xludf.DUMMYFUNCTION("""COMPUTED_VALUE"""),9)</f>
        <v>9</v>
      </c>
      <c r="D1883" s="118" t="str">
        <f ca="1">IFERROR(__xludf.DUMMYFUNCTION("""COMPUTED_VALUE"""),"B")</f>
        <v>B</v>
      </c>
      <c r="E1883" s="118" t="str">
        <f ca="1">IFERROR(__xludf.DUMMYFUNCTION("""COMPUTED_VALUE"""),"F")</f>
        <v>F</v>
      </c>
      <c r="F1883" s="124" t="str">
        <f ca="1">IFERROR(__xludf.DUMMYFUNCTION("""COMPUTED_VALUE"""),"J")</f>
        <v>J</v>
      </c>
      <c r="G1883" s="124">
        <f ca="1">IFERROR(__xludf.DUMMYFUNCTION("""COMPUTED_VALUE"""),5)</f>
        <v>5</v>
      </c>
      <c r="H1883" s="124" t="str">
        <f ca="1">IFERROR(__xludf.DUMMYFUNCTION("""COMPUTED_VALUE"""),"SR")</f>
        <v>SR</v>
      </c>
      <c r="I1883" s="124">
        <f ca="1">IFERROR(__xludf.DUMMYFUNCTION("""COMPUTED_VALUE"""),5)</f>
        <v>5</v>
      </c>
      <c r="J1883" s="124">
        <f ca="1">IFERROR(__xludf.DUMMYFUNCTION("""COMPUTED_VALUE"""),4)</f>
        <v>4</v>
      </c>
      <c r="K1883" s="125">
        <f ca="1">IFERROR(__xludf.DUMMYFUNCTION("""COMPUTED_VALUE"""),42.9)</f>
        <v>42.9</v>
      </c>
      <c r="L1883" s="121"/>
      <c r="M1883" s="125">
        <f ca="1">IFERROR(__xludf.DUMMYFUNCTION("""COMPUTED_VALUE"""),26.3)</f>
        <v>26.3</v>
      </c>
      <c r="N1883" s="121"/>
      <c r="O1883" s="125">
        <f ca="1">IFERROR(__xludf.DUMMYFUNCTION("""COMPUTED_VALUE"""),42.9)</f>
        <v>42.9</v>
      </c>
      <c r="P1883" s="126"/>
      <c r="Q1883" s="127"/>
      <c r="R1883" s="127"/>
      <c r="S1883" s="127"/>
      <c r="T1883" s="127"/>
    </row>
    <row r="1884" spans="1:20" ht="13.8">
      <c r="A1884" s="118" t="str">
        <f ca="1">IFERROR(__xludf.DUMMYFUNCTION("""COMPUTED_VALUE"""),"SR")</f>
        <v>SR</v>
      </c>
      <c r="B1884" s="119" t="str">
        <f ca="1">IFERROR(__xludf.DUMMYFUNCTION("""COMPUTED_VALUE"""),"Brenna Daniel")</f>
        <v>Brenna Daniel</v>
      </c>
      <c r="C1884" s="118">
        <f ca="1">IFERROR(__xludf.DUMMYFUNCTION("""COMPUTED_VALUE"""),12)</f>
        <v>12</v>
      </c>
      <c r="D1884" s="118" t="str">
        <f ca="1">IFERROR(__xludf.DUMMYFUNCTION("""COMPUTED_VALUE"""),"G")</f>
        <v>G</v>
      </c>
      <c r="E1884" s="118" t="str">
        <f ca="1">IFERROR(__xludf.DUMMYFUNCTION("""COMPUTED_VALUE"""),"J")</f>
        <v>J</v>
      </c>
      <c r="F1884" s="124" t="str">
        <f ca="1">IFERROR(__xludf.DUMMYFUNCTION("""COMPUTED_VALUE"""),"I")</f>
        <v>I</v>
      </c>
      <c r="G1884" s="124">
        <f ca="1">IFERROR(__xludf.DUMMYFUNCTION("""COMPUTED_VALUE"""),5)</f>
        <v>5</v>
      </c>
      <c r="H1884" s="124" t="str">
        <f ca="1">IFERROR(__xludf.DUMMYFUNCTION("""COMPUTED_VALUE"""),"SR")</f>
        <v>SR</v>
      </c>
      <c r="I1884" s="124">
        <f ca="1">IFERROR(__xludf.DUMMYFUNCTION("""COMPUTED_VALUE"""),6)</f>
        <v>6</v>
      </c>
      <c r="J1884" s="124">
        <f ca="1">IFERROR(__xludf.DUMMYFUNCTION("""COMPUTED_VALUE"""),0)</f>
        <v>0</v>
      </c>
      <c r="K1884" s="125"/>
      <c r="L1884" s="121"/>
      <c r="M1884" s="125"/>
      <c r="N1884" s="121"/>
      <c r="O1884" s="125"/>
      <c r="P1884" s="126"/>
      <c r="Q1884" s="127"/>
      <c r="R1884" s="127"/>
      <c r="S1884" s="127"/>
      <c r="T1884" s="127"/>
    </row>
    <row r="1885" spans="1:20" ht="13.8">
      <c r="A1885" s="118" t="str">
        <f ca="1">IFERROR(__xludf.DUMMYFUNCTION("""COMPUTED_VALUE"""),"SR")</f>
        <v>SR</v>
      </c>
      <c r="B1885" s="119" t="str">
        <f ca="1">IFERROR(__xludf.DUMMYFUNCTION("""COMPUTED_VALUE"""),"Cora Bellomo")</f>
        <v>Cora Bellomo</v>
      </c>
      <c r="C1885" s="118">
        <f ca="1">IFERROR(__xludf.DUMMYFUNCTION("""COMPUTED_VALUE"""),11)</f>
        <v>11</v>
      </c>
      <c r="D1885" s="118" t="str">
        <f ca="1">IFERROR(__xludf.DUMMYFUNCTION("""COMPUTED_VALUE"""),"G")</f>
        <v>G</v>
      </c>
      <c r="E1885" s="118" t="str">
        <f ca="1">IFERROR(__xludf.DUMMYFUNCTION("""COMPUTED_VALUE"""),"J")</f>
        <v>J</v>
      </c>
      <c r="F1885" s="124" t="str">
        <f ca="1">IFERROR(__xludf.DUMMYFUNCTION("""COMPUTED_VALUE"""),"I")</f>
        <v>I</v>
      </c>
      <c r="G1885" s="124">
        <f ca="1">IFERROR(__xludf.DUMMYFUNCTION("""COMPUTED_VALUE"""),5)</f>
        <v>5</v>
      </c>
      <c r="H1885" s="124" t="str">
        <f ca="1">IFERROR(__xludf.DUMMYFUNCTION("""COMPUTED_VALUE"""),"SR")</f>
        <v>SR</v>
      </c>
      <c r="I1885" s="124">
        <f ca="1">IFERROR(__xludf.DUMMYFUNCTION("""COMPUTED_VALUE"""),6)</f>
        <v>6</v>
      </c>
      <c r="J1885" s="124">
        <f ca="1">IFERROR(__xludf.DUMMYFUNCTION("""COMPUTED_VALUE"""),5)</f>
        <v>5</v>
      </c>
      <c r="K1885" s="125">
        <f ca="1">IFERROR(__xludf.DUMMYFUNCTION("""COMPUTED_VALUE"""),90.2)</f>
        <v>90.2</v>
      </c>
      <c r="L1885" s="121"/>
      <c r="M1885" s="125">
        <f ca="1">IFERROR(__xludf.DUMMYFUNCTION("""COMPUTED_VALUE"""),73.85)</f>
        <v>73.849999999999994</v>
      </c>
      <c r="N1885" s="121"/>
      <c r="O1885" s="125">
        <f ca="1">IFERROR(__xludf.DUMMYFUNCTION("""COMPUTED_VALUE"""),-84.5)</f>
        <v>-84.5</v>
      </c>
      <c r="P1885" s="126"/>
      <c r="Q1885" s="127"/>
      <c r="R1885" s="127"/>
      <c r="S1885" s="127"/>
      <c r="T1885" s="127"/>
    </row>
    <row r="1886" spans="1:20" ht="13.8">
      <c r="A1886" s="118" t="str">
        <f ca="1">IFERROR(__xludf.DUMMYFUNCTION("""COMPUTED_VALUE"""),"SR")</f>
        <v>SR</v>
      </c>
      <c r="B1886" s="119" t="str">
        <f ca="1">IFERROR(__xludf.DUMMYFUNCTION("""COMPUTED_VALUE"""),"Kendall Wilson")</f>
        <v>Kendall Wilson</v>
      </c>
      <c r="C1886" s="118">
        <f ca="1">IFERROR(__xludf.DUMMYFUNCTION("""COMPUTED_VALUE"""),11)</f>
        <v>11</v>
      </c>
      <c r="D1886" s="118" t="str">
        <f ca="1">IFERROR(__xludf.DUMMYFUNCTION("""COMPUTED_VALUE"""),"G")</f>
        <v>G</v>
      </c>
      <c r="E1886" s="118" t="str">
        <f ca="1">IFERROR(__xludf.DUMMYFUNCTION("""COMPUTED_VALUE"""),"J")</f>
        <v>J</v>
      </c>
      <c r="F1886" s="124" t="str">
        <f ca="1">IFERROR(__xludf.DUMMYFUNCTION("""COMPUTED_VALUE"""),"I")</f>
        <v>I</v>
      </c>
      <c r="G1886" s="124">
        <f ca="1">IFERROR(__xludf.DUMMYFUNCTION("""COMPUTED_VALUE"""),5)</f>
        <v>5</v>
      </c>
      <c r="H1886" s="124" t="str">
        <f ca="1">IFERROR(__xludf.DUMMYFUNCTION("""COMPUTED_VALUE"""),"SR")</f>
        <v>SR</v>
      </c>
      <c r="I1886" s="124">
        <f ca="1">IFERROR(__xludf.DUMMYFUNCTION("""COMPUTED_VALUE"""),6)</f>
        <v>6</v>
      </c>
      <c r="J1886" s="124">
        <f ca="1">IFERROR(__xludf.DUMMYFUNCTION("""COMPUTED_VALUE"""),5)</f>
        <v>5</v>
      </c>
      <c r="K1886" s="125">
        <f ca="1">IFERROR(__xludf.DUMMYFUNCTION("""COMPUTED_VALUE"""),89.85)</f>
        <v>89.85</v>
      </c>
      <c r="L1886" s="121"/>
      <c r="M1886" s="125">
        <f ca="1">IFERROR(__xludf.DUMMYFUNCTION("""COMPUTED_VALUE"""),80.1)</f>
        <v>80.099999999999994</v>
      </c>
      <c r="N1886" s="121"/>
      <c r="O1886" s="125">
        <f ca="1">IFERROR(__xludf.DUMMYFUNCTION("""COMPUTED_VALUE"""),89.85)</f>
        <v>89.85</v>
      </c>
      <c r="P1886" s="126"/>
      <c r="Q1886" s="127"/>
      <c r="R1886" s="127"/>
      <c r="S1886" s="127"/>
      <c r="T1886" s="127"/>
    </row>
    <row r="1887" spans="1:20" ht="13.8">
      <c r="A1887" s="118" t="str">
        <f ca="1">IFERROR(__xludf.DUMMYFUNCTION("""COMPUTED_VALUE"""),"SR")</f>
        <v>SR</v>
      </c>
      <c r="B1887" s="119" t="str">
        <f ca="1">IFERROR(__xludf.DUMMYFUNCTION("""COMPUTED_VALUE"""),"Millie Bardolf")</f>
        <v>Millie Bardolf</v>
      </c>
      <c r="C1887" s="118">
        <f ca="1">IFERROR(__xludf.DUMMYFUNCTION("""COMPUTED_VALUE"""),11)</f>
        <v>11</v>
      </c>
      <c r="D1887" s="118" t="str">
        <f ca="1">IFERROR(__xludf.DUMMYFUNCTION("""COMPUTED_VALUE"""),"G")</f>
        <v>G</v>
      </c>
      <c r="E1887" s="118" t="str">
        <f ca="1">IFERROR(__xludf.DUMMYFUNCTION("""COMPUTED_VALUE"""),"J")</f>
        <v>J</v>
      </c>
      <c r="F1887" s="124" t="str">
        <f ca="1">IFERROR(__xludf.DUMMYFUNCTION("""COMPUTED_VALUE"""),"I")</f>
        <v>I</v>
      </c>
      <c r="G1887" s="124">
        <f ca="1">IFERROR(__xludf.DUMMYFUNCTION("""COMPUTED_VALUE"""),5)</f>
        <v>5</v>
      </c>
      <c r="H1887" s="124" t="str">
        <f ca="1">IFERROR(__xludf.DUMMYFUNCTION("""COMPUTED_VALUE"""),"SR")</f>
        <v>SR</v>
      </c>
      <c r="I1887" s="124">
        <f ca="1">IFERROR(__xludf.DUMMYFUNCTION("""COMPUTED_VALUE"""),6)</f>
        <v>6</v>
      </c>
      <c r="J1887" s="124">
        <f ca="1">IFERROR(__xludf.DUMMYFUNCTION("""COMPUTED_VALUE"""),2)</f>
        <v>2</v>
      </c>
      <c r="K1887" s="125">
        <f ca="1">IFERROR(__xludf.DUMMYFUNCTION("""COMPUTED_VALUE"""),71.8)</f>
        <v>71.8</v>
      </c>
      <c r="L1887" s="121"/>
      <c r="M1887" s="125"/>
      <c r="N1887" s="121"/>
      <c r="O1887" s="125"/>
      <c r="P1887" s="126"/>
      <c r="Q1887" s="127"/>
      <c r="R1887" s="127"/>
      <c r="S1887" s="127"/>
      <c r="T1887" s="127"/>
    </row>
    <row r="1888" spans="1:20" ht="13.8">
      <c r="A1888" s="118" t="str">
        <f ca="1">IFERROR(__xludf.DUMMYFUNCTION("""COMPUTED_VALUE"""),"SR")</f>
        <v>SR</v>
      </c>
      <c r="B1888" s="119" t="str">
        <f ca="1">IFERROR(__xludf.DUMMYFUNCTION("""COMPUTED_VALUE"""),"Jonah Engle")</f>
        <v>Jonah Engle</v>
      </c>
      <c r="C1888" s="118">
        <f ca="1">IFERROR(__xludf.DUMMYFUNCTION("""COMPUTED_VALUE"""),12)</f>
        <v>12</v>
      </c>
      <c r="D1888" s="118" t="str">
        <f ca="1">IFERROR(__xludf.DUMMYFUNCTION("""COMPUTED_VALUE"""),"B")</f>
        <v>B</v>
      </c>
      <c r="E1888" s="118" t="str">
        <f ca="1">IFERROR(__xludf.DUMMYFUNCTION("""COMPUTED_VALUE"""),"J")</f>
        <v>J</v>
      </c>
      <c r="F1888" s="124" t="str">
        <f ca="1">IFERROR(__xludf.DUMMYFUNCTION("""COMPUTED_VALUE"""),"I")</f>
        <v>I</v>
      </c>
      <c r="G1888" s="124">
        <f ca="1">IFERROR(__xludf.DUMMYFUNCTION("""COMPUTED_VALUE"""),5)</f>
        <v>5</v>
      </c>
      <c r="H1888" s="124" t="str">
        <f ca="1">IFERROR(__xludf.DUMMYFUNCTION("""COMPUTED_VALUE"""),"SR")</f>
        <v>SR</v>
      </c>
      <c r="I1888" s="124">
        <f ca="1">IFERROR(__xludf.DUMMYFUNCTION("""COMPUTED_VALUE"""),7)</f>
        <v>7</v>
      </c>
      <c r="J1888" s="124">
        <f ca="1">IFERROR(__xludf.DUMMYFUNCTION("""COMPUTED_VALUE"""),0)</f>
        <v>0</v>
      </c>
      <c r="K1888" s="125"/>
      <c r="L1888" s="121"/>
      <c r="M1888" s="125"/>
      <c r="N1888" s="121"/>
      <c r="O1888" s="125"/>
      <c r="P1888" s="126"/>
      <c r="Q1888" s="127"/>
      <c r="R1888" s="127"/>
      <c r="S1888" s="127"/>
      <c r="T1888" s="127"/>
    </row>
    <row r="1889" spans="1:20" ht="13.8">
      <c r="A1889" s="118" t="str">
        <f ca="1">IFERROR(__xludf.DUMMYFUNCTION("""COMPUTED_VALUE"""),"SR")</f>
        <v>SR</v>
      </c>
      <c r="B1889" s="119" t="str">
        <f ca="1">IFERROR(__xludf.DUMMYFUNCTION("""COMPUTED_VALUE"""),"Bryan Markey")</f>
        <v>Bryan Markey</v>
      </c>
      <c r="C1889" s="118">
        <f ca="1">IFERROR(__xludf.DUMMYFUNCTION("""COMPUTED_VALUE"""),13)</f>
        <v>13</v>
      </c>
      <c r="D1889" s="118" t="str">
        <f ca="1">IFERROR(__xludf.DUMMYFUNCTION("""COMPUTED_VALUE"""),"B")</f>
        <v>B</v>
      </c>
      <c r="E1889" s="118" t="str">
        <f ca="1">IFERROR(__xludf.DUMMYFUNCTION("""COMPUTED_VALUE"""),"I")</f>
        <v>I</v>
      </c>
      <c r="F1889" s="124" t="str">
        <f ca="1">IFERROR(__xludf.DUMMYFUNCTION("""COMPUTED_VALUE"""),"S")</f>
        <v>S</v>
      </c>
      <c r="G1889" s="124">
        <f ca="1">IFERROR(__xludf.DUMMYFUNCTION("""COMPUTED_VALUE"""),5)</f>
        <v>5</v>
      </c>
      <c r="H1889" s="124" t="str">
        <f ca="1">IFERROR(__xludf.DUMMYFUNCTION("""COMPUTED_VALUE"""),"SR")</f>
        <v>SR</v>
      </c>
      <c r="I1889" s="124">
        <f ca="1">IFERROR(__xludf.DUMMYFUNCTION("""COMPUTED_VALUE"""),9)</f>
        <v>9</v>
      </c>
      <c r="J1889" s="124">
        <f ca="1">IFERROR(__xludf.DUMMYFUNCTION("""COMPUTED_VALUE"""),3)</f>
        <v>3</v>
      </c>
      <c r="K1889" s="125">
        <f ca="1">IFERROR(__xludf.DUMMYFUNCTION("""COMPUTED_VALUE"""),91.85)</f>
        <v>91.85</v>
      </c>
      <c r="L1889" s="121"/>
      <c r="M1889" s="125">
        <f ca="1">IFERROR(__xludf.DUMMYFUNCTION("""COMPUTED_VALUE"""),91.85)</f>
        <v>91.85</v>
      </c>
      <c r="N1889" s="121"/>
      <c r="O1889" s="125">
        <f ca="1">IFERROR(__xludf.DUMMYFUNCTION("""COMPUTED_VALUE"""),85.3)</f>
        <v>85.3</v>
      </c>
      <c r="P1889" s="126"/>
      <c r="Q1889" s="127"/>
      <c r="R1889" s="127"/>
      <c r="S1889" s="127"/>
      <c r="T1889" s="127"/>
    </row>
    <row r="1890" spans="1:20" ht="13.8">
      <c r="A1890" s="118" t="str">
        <f ca="1">IFERROR(__xludf.DUMMYFUNCTION("""COMPUTED_VALUE"""),"SR")</f>
        <v>SR</v>
      </c>
      <c r="B1890" s="119" t="str">
        <f ca="1">IFERROR(__xludf.DUMMYFUNCTION("""COMPUTED_VALUE"""),"Dylan Wilson")</f>
        <v>Dylan Wilson</v>
      </c>
      <c r="C1890" s="118">
        <f ca="1">IFERROR(__xludf.DUMMYFUNCTION("""COMPUTED_VALUE"""),13)</f>
        <v>13</v>
      </c>
      <c r="D1890" s="118" t="str">
        <f ca="1">IFERROR(__xludf.DUMMYFUNCTION("""COMPUTED_VALUE"""),"B")</f>
        <v>B</v>
      </c>
      <c r="E1890" s="118" t="str">
        <f ca="1">IFERROR(__xludf.DUMMYFUNCTION("""COMPUTED_VALUE"""),"I")</f>
        <v>I</v>
      </c>
      <c r="F1890" s="124" t="str">
        <f ca="1">IFERROR(__xludf.DUMMYFUNCTION("""COMPUTED_VALUE"""),"S")</f>
        <v>S</v>
      </c>
      <c r="G1890" s="124">
        <f ca="1">IFERROR(__xludf.DUMMYFUNCTION("""COMPUTED_VALUE"""),5)</f>
        <v>5</v>
      </c>
      <c r="H1890" s="124" t="str">
        <f ca="1">IFERROR(__xludf.DUMMYFUNCTION("""COMPUTED_VALUE"""),"SR")</f>
        <v>SR</v>
      </c>
      <c r="I1890" s="124">
        <f ca="1">IFERROR(__xludf.DUMMYFUNCTION("""COMPUTED_VALUE"""),9)</f>
        <v>9</v>
      </c>
      <c r="J1890" s="124">
        <f ca="1">IFERROR(__xludf.DUMMYFUNCTION("""COMPUTED_VALUE"""),1)</f>
        <v>1</v>
      </c>
      <c r="K1890" s="125"/>
      <c r="L1890" s="121"/>
      <c r="M1890" s="125"/>
      <c r="N1890" s="121"/>
      <c r="O1890" s="125"/>
      <c r="P1890" s="126"/>
      <c r="Q1890" s="127"/>
      <c r="R1890" s="127"/>
      <c r="S1890" s="127"/>
      <c r="T1890" s="127"/>
    </row>
    <row r="1891" spans="1:20" ht="13.8">
      <c r="A1891" s="118" t="str">
        <f ca="1">IFERROR(__xludf.DUMMYFUNCTION("""COMPUTED_VALUE"""),"SR")</f>
        <v>SR</v>
      </c>
      <c r="B1891" s="119" t="str">
        <f ca="1">IFERROR(__xludf.DUMMYFUNCTION("""COMPUTED_VALUE"""),"Walter Simonsen")</f>
        <v>Walter Simonsen</v>
      </c>
      <c r="C1891" s="118">
        <f ca="1">IFERROR(__xludf.DUMMYFUNCTION("""COMPUTED_VALUE"""),13)</f>
        <v>13</v>
      </c>
      <c r="D1891" s="118" t="str">
        <f ca="1">IFERROR(__xludf.DUMMYFUNCTION("""COMPUTED_VALUE"""),"B")</f>
        <v>B</v>
      </c>
      <c r="E1891" s="118" t="str">
        <f ca="1">IFERROR(__xludf.DUMMYFUNCTION("""COMPUTED_VALUE"""),"I")</f>
        <v>I</v>
      </c>
      <c r="F1891" s="124" t="str">
        <f ca="1">IFERROR(__xludf.DUMMYFUNCTION("""COMPUTED_VALUE"""),"S")</f>
        <v>S</v>
      </c>
      <c r="G1891" s="124">
        <f ca="1">IFERROR(__xludf.DUMMYFUNCTION("""COMPUTED_VALUE"""),5)</f>
        <v>5</v>
      </c>
      <c r="H1891" s="124" t="str">
        <f ca="1">IFERROR(__xludf.DUMMYFUNCTION("""COMPUTED_VALUE"""),"SR")</f>
        <v>SR</v>
      </c>
      <c r="I1891" s="124">
        <f ca="1">IFERROR(__xludf.DUMMYFUNCTION("""COMPUTED_VALUE"""),9)</f>
        <v>9</v>
      </c>
      <c r="J1891" s="124">
        <f ca="1">IFERROR(__xludf.DUMMYFUNCTION("""COMPUTED_VALUE"""),5)</f>
        <v>5</v>
      </c>
      <c r="K1891" s="125">
        <f ca="1">IFERROR(__xludf.DUMMYFUNCTION("""COMPUTED_VALUE"""),100.55)</f>
        <v>100.55</v>
      </c>
      <c r="L1891" s="121"/>
      <c r="M1891" s="125">
        <f ca="1">IFERROR(__xludf.DUMMYFUNCTION("""COMPUTED_VALUE"""),84.2)</f>
        <v>84.2</v>
      </c>
      <c r="N1891" s="121"/>
      <c r="O1891" s="125">
        <f ca="1">IFERROR(__xludf.DUMMYFUNCTION("""COMPUTED_VALUE"""),91)</f>
        <v>91</v>
      </c>
      <c r="P1891" s="126"/>
      <c r="Q1891" s="127"/>
      <c r="R1891" s="127"/>
      <c r="S1891" s="127"/>
      <c r="T1891" s="127"/>
    </row>
    <row r="1892" spans="1:20" ht="13.8">
      <c r="A1892" s="118" t="str">
        <f ca="1">IFERROR(__xludf.DUMMYFUNCTION("""COMPUTED_VALUE"""),"SR")</f>
        <v>SR</v>
      </c>
      <c r="B1892" s="119" t="str">
        <f ca="1">IFERROR(__xludf.DUMMYFUNCTION("""COMPUTED_VALUE"""),"Alyssa Proulx")</f>
        <v>Alyssa Proulx</v>
      </c>
      <c r="C1892" s="118">
        <f ca="1">IFERROR(__xludf.DUMMYFUNCTION("""COMPUTED_VALUE"""),17)</f>
        <v>17</v>
      </c>
      <c r="D1892" s="118" t="str">
        <f ca="1">IFERROR(__xludf.DUMMYFUNCTION("""COMPUTED_VALUE"""),"G")</f>
        <v>G</v>
      </c>
      <c r="E1892" s="118" t="str">
        <f ca="1">IFERROR(__xludf.DUMMYFUNCTION("""COMPUTED_VALUE"""),"S")</f>
        <v>S</v>
      </c>
      <c r="F1892" s="124" t="str">
        <f ca="1">IFERROR(__xludf.DUMMYFUNCTION("""COMPUTED_VALUE"""),"S")</f>
        <v>S</v>
      </c>
      <c r="G1892" s="124">
        <f ca="1">IFERROR(__xludf.DUMMYFUNCTION("""COMPUTED_VALUE"""),5)</f>
        <v>5</v>
      </c>
      <c r="H1892" s="124" t="str">
        <f ca="1">IFERROR(__xludf.DUMMYFUNCTION("""COMPUTED_VALUE"""),"SR")</f>
        <v>SR</v>
      </c>
      <c r="I1892" s="124">
        <f ca="1">IFERROR(__xludf.DUMMYFUNCTION("""COMPUTED_VALUE"""),10)</f>
        <v>10</v>
      </c>
      <c r="J1892" s="124">
        <f ca="1">IFERROR(__xludf.DUMMYFUNCTION("""COMPUTED_VALUE"""),3)</f>
        <v>3</v>
      </c>
      <c r="K1892" s="125">
        <f ca="1">IFERROR(__xludf.DUMMYFUNCTION("""COMPUTED_VALUE"""),175.05)</f>
        <v>175.05</v>
      </c>
      <c r="L1892" s="121"/>
      <c r="M1892" s="125"/>
      <c r="N1892" s="121"/>
      <c r="O1892" s="125"/>
      <c r="P1892" s="126"/>
      <c r="Q1892" s="127"/>
      <c r="R1892" s="127"/>
      <c r="S1892" s="127"/>
      <c r="T1892" s="127"/>
    </row>
    <row r="1893" spans="1:20" ht="13.8">
      <c r="A1893" s="118" t="str">
        <f ca="1">IFERROR(__xludf.DUMMYFUNCTION("""COMPUTED_VALUE"""),"SR")</f>
        <v>SR</v>
      </c>
      <c r="B1893" s="119" t="str">
        <f ca="1">IFERROR(__xludf.DUMMYFUNCTION("""COMPUTED_VALUE"""),"Garrett Simonsen")</f>
        <v>Garrett Simonsen</v>
      </c>
      <c r="C1893" s="118">
        <f ca="1">IFERROR(__xludf.DUMMYFUNCTION("""COMPUTED_VALUE"""),15)</f>
        <v>15</v>
      </c>
      <c r="D1893" s="118" t="str">
        <f ca="1">IFERROR(__xludf.DUMMYFUNCTION("""COMPUTED_VALUE"""),"B")</f>
        <v>B</v>
      </c>
      <c r="E1893" s="118" t="str">
        <f ca="1">IFERROR(__xludf.DUMMYFUNCTION("""COMPUTED_VALUE"""),"S")</f>
        <v>S</v>
      </c>
      <c r="F1893" s="124" t="str">
        <f ca="1">IFERROR(__xludf.DUMMYFUNCTION("""COMPUTED_VALUE"""),"S")</f>
        <v>S</v>
      </c>
      <c r="G1893" s="124">
        <f ca="1">IFERROR(__xludf.DUMMYFUNCTION("""COMPUTED_VALUE"""),5)</f>
        <v>5</v>
      </c>
      <c r="H1893" s="124" t="str">
        <f ca="1">IFERROR(__xludf.DUMMYFUNCTION("""COMPUTED_VALUE"""),"SR")</f>
        <v>SR</v>
      </c>
      <c r="I1893" s="124">
        <f ca="1">IFERROR(__xludf.DUMMYFUNCTION("""COMPUTED_VALUE"""),11)</f>
        <v>11</v>
      </c>
      <c r="J1893" s="124">
        <f ca="1">IFERROR(__xludf.DUMMYFUNCTION("""COMPUTED_VALUE"""),5)</f>
        <v>5</v>
      </c>
      <c r="K1893" s="125">
        <f ca="1">IFERROR(__xludf.DUMMYFUNCTION("""COMPUTED_VALUE"""),157.75)</f>
        <v>157.75</v>
      </c>
      <c r="L1893" s="121"/>
      <c r="M1893" s="125">
        <f ca="1">IFERROR(__xludf.DUMMYFUNCTION("""COMPUTED_VALUE"""),151.1)</f>
        <v>151.1</v>
      </c>
      <c r="N1893" s="121"/>
      <c r="O1893" s="125">
        <f ca="1">IFERROR(__xludf.DUMMYFUNCTION("""COMPUTED_VALUE"""),150)</f>
        <v>150</v>
      </c>
      <c r="P1893" s="126"/>
      <c r="Q1893" s="127"/>
      <c r="R1893" s="127"/>
      <c r="S1893" s="127"/>
      <c r="T1893" s="127"/>
    </row>
    <row r="1894" spans="1:20" ht="13.8">
      <c r="A1894" s="118" t="str">
        <f ca="1">IFERROR(__xludf.DUMMYFUNCTION("""COMPUTED_VALUE"""),"SR")</f>
        <v>SR</v>
      </c>
      <c r="B1894" s="119" t="str">
        <f ca="1">IFERROR(__xludf.DUMMYFUNCTION("""COMPUTED_VALUE"""),"Iskandar Aoun")</f>
        <v>Iskandar Aoun</v>
      </c>
      <c r="C1894" s="118">
        <f ca="1">IFERROR(__xludf.DUMMYFUNCTION("""COMPUTED_VALUE"""),16)</f>
        <v>16</v>
      </c>
      <c r="D1894" s="118" t="str">
        <f ca="1">IFERROR(__xludf.DUMMYFUNCTION("""COMPUTED_VALUE"""),"B")</f>
        <v>B</v>
      </c>
      <c r="E1894" s="118" t="str">
        <f ca="1">IFERROR(__xludf.DUMMYFUNCTION("""COMPUTED_VALUE"""),"S")</f>
        <v>S</v>
      </c>
      <c r="F1894" s="124" t="str">
        <f ca="1">IFERROR(__xludf.DUMMYFUNCTION("""COMPUTED_VALUE"""),"S")</f>
        <v>S</v>
      </c>
      <c r="G1894" s="124">
        <f ca="1">IFERROR(__xludf.DUMMYFUNCTION("""COMPUTED_VALUE"""),5)</f>
        <v>5</v>
      </c>
      <c r="H1894" s="124" t="str">
        <f ca="1">IFERROR(__xludf.DUMMYFUNCTION("""COMPUTED_VALUE"""),"SR")</f>
        <v>SR</v>
      </c>
      <c r="I1894" s="124">
        <f ca="1">IFERROR(__xludf.DUMMYFUNCTION("""COMPUTED_VALUE"""),11)</f>
        <v>11</v>
      </c>
      <c r="J1894" s="124">
        <f ca="1">IFERROR(__xludf.DUMMYFUNCTION("""COMPUTED_VALUE"""),0)</f>
        <v>0</v>
      </c>
      <c r="K1894" s="125"/>
      <c r="L1894" s="121"/>
      <c r="M1894" s="125"/>
      <c r="N1894" s="121"/>
      <c r="O1894" s="125"/>
      <c r="P1894" s="126"/>
      <c r="Q1894" s="127"/>
      <c r="R1894" s="127"/>
      <c r="S1894" s="127"/>
      <c r="T1894" s="127"/>
    </row>
    <row r="1895" spans="1:20" ht="13.8">
      <c r="A1895" s="118" t="str">
        <f ca="1">IFERROR(__xludf.DUMMYFUNCTION("""COMPUTED_VALUE"""),"SRA")</f>
        <v>SRA</v>
      </c>
      <c r="B1895" s="119" t="str">
        <f ca="1">IFERROR(__xludf.DUMMYFUNCTION("""COMPUTED_VALUE"""),"Anna Barry")</f>
        <v>Anna Barry</v>
      </c>
      <c r="C1895" s="118">
        <f ca="1">IFERROR(__xludf.DUMMYFUNCTION("""COMPUTED_VALUE"""),10)</f>
        <v>10</v>
      </c>
      <c r="D1895" s="118" t="str">
        <f ca="1">IFERROR(__xludf.DUMMYFUNCTION("""COMPUTED_VALUE"""),"G")</f>
        <v>G</v>
      </c>
      <c r="E1895" s="118" t="str">
        <f ca="1">IFERROR(__xludf.DUMMYFUNCTION("""COMPUTED_VALUE"""),"F")</f>
        <v>F</v>
      </c>
      <c r="F1895" s="124" t="str">
        <f ca="1">IFERROR(__xludf.DUMMYFUNCTION("""COMPUTED_VALUE"""),"J")</f>
        <v>J</v>
      </c>
      <c r="G1895" s="124">
        <f ca="1">IFERROR(__xludf.DUMMYFUNCTION("""COMPUTED_VALUE"""),8)</f>
        <v>8</v>
      </c>
      <c r="H1895" s="124" t="str">
        <f ca="1">IFERROR(__xludf.DUMMYFUNCTION("""COMPUTED_VALUE"""),"SRA")</f>
        <v>SRA</v>
      </c>
      <c r="I1895" s="124">
        <f ca="1">IFERROR(__xludf.DUMMYFUNCTION("""COMPUTED_VALUE"""),4)</f>
        <v>4</v>
      </c>
      <c r="J1895" s="124">
        <f ca="1">IFERROR(__xludf.DUMMYFUNCTION("""COMPUTED_VALUE"""),0)</f>
        <v>0</v>
      </c>
      <c r="K1895" s="125"/>
      <c r="L1895" s="121"/>
      <c r="M1895" s="125"/>
      <c r="N1895" s="121"/>
      <c r="O1895" s="125"/>
      <c r="P1895" s="126"/>
      <c r="Q1895" s="127"/>
      <c r="R1895" s="127"/>
      <c r="S1895" s="127"/>
      <c r="T1895" s="127"/>
    </row>
    <row r="1896" spans="1:20" ht="13.8">
      <c r="A1896" s="118" t="str">
        <f ca="1">IFERROR(__xludf.DUMMYFUNCTION("""COMPUTED_VALUE"""),"SRA")</f>
        <v>SRA</v>
      </c>
      <c r="B1896" s="119" t="str">
        <f ca="1">IFERROR(__xludf.DUMMYFUNCTION("""COMPUTED_VALUE"""),"Blaire Kellogg")</f>
        <v>Blaire Kellogg</v>
      </c>
      <c r="C1896" s="118">
        <f ca="1">IFERROR(__xludf.DUMMYFUNCTION("""COMPUTED_VALUE"""),5)</f>
        <v>5</v>
      </c>
      <c r="D1896" s="118" t="str">
        <f ca="1">IFERROR(__xludf.DUMMYFUNCTION("""COMPUTED_VALUE"""),"G")</f>
        <v>G</v>
      </c>
      <c r="E1896" s="118" t="str">
        <f ca="1">IFERROR(__xludf.DUMMYFUNCTION("""COMPUTED_VALUE"""),"F")</f>
        <v>F</v>
      </c>
      <c r="F1896" s="124" t="str">
        <f ca="1">IFERROR(__xludf.DUMMYFUNCTION("""COMPUTED_VALUE"""),"J")</f>
        <v>J</v>
      </c>
      <c r="G1896" s="124">
        <f ca="1">IFERROR(__xludf.DUMMYFUNCTION("""COMPUTED_VALUE"""),8)</f>
        <v>8</v>
      </c>
      <c r="H1896" s="124" t="str">
        <f ca="1">IFERROR(__xludf.DUMMYFUNCTION("""COMPUTED_VALUE"""),"SRA")</f>
        <v>SRA</v>
      </c>
      <c r="I1896" s="124">
        <f ca="1">IFERROR(__xludf.DUMMYFUNCTION("""COMPUTED_VALUE"""),4)</f>
        <v>4</v>
      </c>
      <c r="J1896" s="124">
        <f ca="1">IFERROR(__xludf.DUMMYFUNCTION("""COMPUTED_VALUE"""),0)</f>
        <v>0</v>
      </c>
      <c r="K1896" s="125"/>
      <c r="L1896" s="121"/>
      <c r="M1896" s="125"/>
      <c r="N1896" s="121"/>
      <c r="O1896" s="125"/>
      <c r="P1896" s="126"/>
      <c r="Q1896" s="127"/>
      <c r="R1896" s="127"/>
      <c r="S1896" s="127"/>
      <c r="T1896" s="127"/>
    </row>
    <row r="1897" spans="1:20" ht="13.8">
      <c r="A1897" s="118" t="str">
        <f ca="1">IFERROR(__xludf.DUMMYFUNCTION("""COMPUTED_VALUE"""),"SRA")</f>
        <v>SRA</v>
      </c>
      <c r="B1897" s="119" t="str">
        <f ca="1">IFERROR(__xludf.DUMMYFUNCTION("""COMPUTED_VALUE"""),"Caroline McAsey")</f>
        <v>Caroline McAsey</v>
      </c>
      <c r="C1897" s="118">
        <f ca="1">IFERROR(__xludf.DUMMYFUNCTION("""COMPUTED_VALUE"""),8)</f>
        <v>8</v>
      </c>
      <c r="D1897" s="118" t="str">
        <f ca="1">IFERROR(__xludf.DUMMYFUNCTION("""COMPUTED_VALUE"""),"G")</f>
        <v>G</v>
      </c>
      <c r="E1897" s="118" t="str">
        <f ca="1">IFERROR(__xludf.DUMMYFUNCTION("""COMPUTED_VALUE"""),"F")</f>
        <v>F</v>
      </c>
      <c r="F1897" s="124" t="str">
        <f ca="1">IFERROR(__xludf.DUMMYFUNCTION("""COMPUTED_VALUE"""),"J")</f>
        <v>J</v>
      </c>
      <c r="G1897" s="124">
        <f ca="1">IFERROR(__xludf.DUMMYFUNCTION("""COMPUTED_VALUE"""),8)</f>
        <v>8</v>
      </c>
      <c r="H1897" s="124" t="str">
        <f ca="1">IFERROR(__xludf.DUMMYFUNCTION("""COMPUTED_VALUE"""),"SRA")</f>
        <v>SRA</v>
      </c>
      <c r="I1897" s="124">
        <f ca="1">IFERROR(__xludf.DUMMYFUNCTION("""COMPUTED_VALUE"""),4)</f>
        <v>4</v>
      </c>
      <c r="J1897" s="124">
        <f ca="1">IFERROR(__xludf.DUMMYFUNCTION("""COMPUTED_VALUE"""),4)</f>
        <v>4</v>
      </c>
      <c r="K1897" s="125">
        <f ca="1">IFERROR(__xludf.DUMMYFUNCTION("""COMPUTED_VALUE"""),45.1)</f>
        <v>45.1</v>
      </c>
      <c r="L1897" s="121"/>
      <c r="M1897" s="125">
        <f ca="1">IFERROR(__xludf.DUMMYFUNCTION("""COMPUTED_VALUE"""),43.45)</f>
        <v>43.45</v>
      </c>
      <c r="N1897" s="121"/>
      <c r="O1897" s="125">
        <f ca="1">IFERROR(__xludf.DUMMYFUNCTION("""COMPUTED_VALUE"""),44.5)</f>
        <v>44.5</v>
      </c>
      <c r="P1897" s="126"/>
      <c r="Q1897" s="127"/>
      <c r="R1897" s="127"/>
      <c r="S1897" s="127"/>
      <c r="T1897" s="127"/>
    </row>
    <row r="1898" spans="1:20" ht="13.8">
      <c r="A1898" s="118" t="str">
        <f ca="1">IFERROR(__xludf.DUMMYFUNCTION("""COMPUTED_VALUE"""),"SRA")</f>
        <v>SRA</v>
      </c>
      <c r="B1898" s="119" t="str">
        <f ca="1">IFERROR(__xludf.DUMMYFUNCTION("""COMPUTED_VALUE"""),"Claire McAsey")</f>
        <v>Claire McAsey</v>
      </c>
      <c r="C1898" s="118">
        <f ca="1">IFERROR(__xludf.DUMMYFUNCTION("""COMPUTED_VALUE"""),10)</f>
        <v>10</v>
      </c>
      <c r="D1898" s="118" t="str">
        <f ca="1">IFERROR(__xludf.DUMMYFUNCTION("""COMPUTED_VALUE"""),"G")</f>
        <v>G</v>
      </c>
      <c r="E1898" s="118" t="str">
        <f ca="1">IFERROR(__xludf.DUMMYFUNCTION("""COMPUTED_VALUE"""),"F")</f>
        <v>F</v>
      </c>
      <c r="F1898" s="124" t="str">
        <f ca="1">IFERROR(__xludf.DUMMYFUNCTION("""COMPUTED_VALUE"""),"J")</f>
        <v>J</v>
      </c>
      <c r="G1898" s="124">
        <f ca="1">IFERROR(__xludf.DUMMYFUNCTION("""COMPUTED_VALUE"""),8)</f>
        <v>8</v>
      </c>
      <c r="H1898" s="124" t="str">
        <f ca="1">IFERROR(__xludf.DUMMYFUNCTION("""COMPUTED_VALUE"""),"SRA")</f>
        <v>SRA</v>
      </c>
      <c r="I1898" s="124">
        <f ca="1">IFERROR(__xludf.DUMMYFUNCTION("""COMPUTED_VALUE"""),4)</f>
        <v>4</v>
      </c>
      <c r="J1898" s="124">
        <f ca="1">IFERROR(__xludf.DUMMYFUNCTION("""COMPUTED_VALUE"""),4)</f>
        <v>4</v>
      </c>
      <c r="K1898" s="125">
        <f ca="1">IFERROR(__xludf.DUMMYFUNCTION("""COMPUTED_VALUE"""),65.25)</f>
        <v>65.25</v>
      </c>
      <c r="L1898" s="121"/>
      <c r="M1898" s="125">
        <f ca="1">IFERROR(__xludf.DUMMYFUNCTION("""COMPUTED_VALUE"""),54)</f>
        <v>54</v>
      </c>
      <c r="N1898" s="121"/>
      <c r="O1898" s="125">
        <f ca="1">IFERROR(__xludf.DUMMYFUNCTION("""COMPUTED_VALUE"""),52.3)</f>
        <v>52.3</v>
      </c>
      <c r="P1898" s="126"/>
      <c r="Q1898" s="127"/>
      <c r="R1898" s="127"/>
      <c r="S1898" s="127"/>
      <c r="T1898" s="127"/>
    </row>
    <row r="1899" spans="1:20" ht="13.8">
      <c r="A1899" s="118" t="str">
        <f ca="1">IFERROR(__xludf.DUMMYFUNCTION("""COMPUTED_VALUE"""),"SRA")</f>
        <v>SRA</v>
      </c>
      <c r="B1899" s="119" t="str">
        <f ca="1">IFERROR(__xludf.DUMMYFUNCTION("""COMPUTED_VALUE"""),"Claire Spinnler")</f>
        <v>Claire Spinnler</v>
      </c>
      <c r="C1899" s="118">
        <f ca="1">IFERROR(__xludf.DUMMYFUNCTION("""COMPUTED_VALUE"""),10)</f>
        <v>10</v>
      </c>
      <c r="D1899" s="118" t="str">
        <f ca="1">IFERROR(__xludf.DUMMYFUNCTION("""COMPUTED_VALUE"""),"G")</f>
        <v>G</v>
      </c>
      <c r="E1899" s="118" t="str">
        <f ca="1">IFERROR(__xludf.DUMMYFUNCTION("""COMPUTED_VALUE"""),"F")</f>
        <v>F</v>
      </c>
      <c r="F1899" s="124" t="str">
        <f ca="1">IFERROR(__xludf.DUMMYFUNCTION("""COMPUTED_VALUE"""),"J")</f>
        <v>J</v>
      </c>
      <c r="G1899" s="124">
        <f ca="1">IFERROR(__xludf.DUMMYFUNCTION("""COMPUTED_VALUE"""),8)</f>
        <v>8</v>
      </c>
      <c r="H1899" s="124" t="str">
        <f ca="1">IFERROR(__xludf.DUMMYFUNCTION("""COMPUTED_VALUE"""),"SRA")</f>
        <v>SRA</v>
      </c>
      <c r="I1899" s="124">
        <f ca="1">IFERROR(__xludf.DUMMYFUNCTION("""COMPUTED_VALUE"""),4)</f>
        <v>4</v>
      </c>
      <c r="J1899" s="124">
        <f ca="1">IFERROR(__xludf.DUMMYFUNCTION("""COMPUTED_VALUE"""),2)</f>
        <v>2</v>
      </c>
      <c r="K1899" s="125">
        <f ca="1">IFERROR(__xludf.DUMMYFUNCTION("""COMPUTED_VALUE"""),30.45)</f>
        <v>30.45</v>
      </c>
      <c r="L1899" s="121"/>
      <c r="M1899" s="125"/>
      <c r="N1899" s="121"/>
      <c r="O1899" s="125"/>
      <c r="P1899" s="126"/>
      <c r="Q1899" s="127"/>
      <c r="R1899" s="127"/>
      <c r="S1899" s="127"/>
      <c r="T1899" s="127"/>
    </row>
    <row r="1900" spans="1:20" ht="13.8">
      <c r="A1900" s="118" t="str">
        <f ca="1">IFERROR(__xludf.DUMMYFUNCTION("""COMPUTED_VALUE"""),"SRA")</f>
        <v>SRA</v>
      </c>
      <c r="B1900" s="119" t="str">
        <f ca="1">IFERROR(__xludf.DUMMYFUNCTION("""COMPUTED_VALUE"""),"Daniella Galligan")</f>
        <v>Daniella Galligan</v>
      </c>
      <c r="C1900" s="118">
        <f ca="1">IFERROR(__xludf.DUMMYFUNCTION("""COMPUTED_VALUE"""),9)</f>
        <v>9</v>
      </c>
      <c r="D1900" s="118" t="str">
        <f ca="1">IFERROR(__xludf.DUMMYFUNCTION("""COMPUTED_VALUE"""),"G")</f>
        <v>G</v>
      </c>
      <c r="E1900" s="118" t="str">
        <f ca="1">IFERROR(__xludf.DUMMYFUNCTION("""COMPUTED_VALUE"""),"F")</f>
        <v>F</v>
      </c>
      <c r="F1900" s="124" t="str">
        <f ca="1">IFERROR(__xludf.DUMMYFUNCTION("""COMPUTED_VALUE"""),"J")</f>
        <v>J</v>
      </c>
      <c r="G1900" s="124">
        <f ca="1">IFERROR(__xludf.DUMMYFUNCTION("""COMPUTED_VALUE"""),8)</f>
        <v>8</v>
      </c>
      <c r="H1900" s="124" t="str">
        <f ca="1">IFERROR(__xludf.DUMMYFUNCTION("""COMPUTED_VALUE"""),"SRA")</f>
        <v>SRA</v>
      </c>
      <c r="I1900" s="124">
        <f ca="1">IFERROR(__xludf.DUMMYFUNCTION("""COMPUTED_VALUE"""),4)</f>
        <v>4</v>
      </c>
      <c r="J1900" s="124">
        <f ca="1">IFERROR(__xludf.DUMMYFUNCTION("""COMPUTED_VALUE"""),0)</f>
        <v>0</v>
      </c>
      <c r="K1900" s="125"/>
      <c r="L1900" s="121"/>
      <c r="M1900" s="125"/>
      <c r="N1900" s="121"/>
      <c r="O1900" s="125"/>
      <c r="P1900" s="126"/>
      <c r="Q1900" s="127"/>
      <c r="R1900" s="127"/>
      <c r="S1900" s="127"/>
      <c r="T1900" s="127"/>
    </row>
    <row r="1901" spans="1:20" ht="13.8">
      <c r="A1901" s="118" t="str">
        <f ca="1">IFERROR(__xludf.DUMMYFUNCTION("""COMPUTED_VALUE"""),"SRA")</f>
        <v>SRA</v>
      </c>
      <c r="B1901" s="119" t="str">
        <f ca="1">IFERROR(__xludf.DUMMYFUNCTION("""COMPUTED_VALUE"""),"Ellie Clark")</f>
        <v>Ellie Clark</v>
      </c>
      <c r="C1901" s="118">
        <f ca="1">IFERROR(__xludf.DUMMYFUNCTION("""COMPUTED_VALUE"""),10)</f>
        <v>10</v>
      </c>
      <c r="D1901" s="118" t="str">
        <f ca="1">IFERROR(__xludf.DUMMYFUNCTION("""COMPUTED_VALUE"""),"G")</f>
        <v>G</v>
      </c>
      <c r="E1901" s="118" t="str">
        <f ca="1">IFERROR(__xludf.DUMMYFUNCTION("""COMPUTED_VALUE"""),"F")</f>
        <v>F</v>
      </c>
      <c r="F1901" s="124" t="str">
        <f ca="1">IFERROR(__xludf.DUMMYFUNCTION("""COMPUTED_VALUE"""),"J")</f>
        <v>J</v>
      </c>
      <c r="G1901" s="124">
        <f ca="1">IFERROR(__xludf.DUMMYFUNCTION("""COMPUTED_VALUE"""),8)</f>
        <v>8</v>
      </c>
      <c r="H1901" s="124" t="str">
        <f ca="1">IFERROR(__xludf.DUMMYFUNCTION("""COMPUTED_VALUE"""),"SRA")</f>
        <v>SRA</v>
      </c>
      <c r="I1901" s="124">
        <f ca="1">IFERROR(__xludf.DUMMYFUNCTION("""COMPUTED_VALUE"""),4)</f>
        <v>4</v>
      </c>
      <c r="J1901" s="124">
        <f ca="1">IFERROR(__xludf.DUMMYFUNCTION("""COMPUTED_VALUE"""),0)</f>
        <v>0</v>
      </c>
      <c r="K1901" s="125"/>
      <c r="L1901" s="121"/>
      <c r="M1901" s="125"/>
      <c r="N1901" s="121"/>
      <c r="O1901" s="125"/>
      <c r="P1901" s="126"/>
      <c r="Q1901" s="127"/>
      <c r="R1901" s="127"/>
      <c r="S1901" s="127"/>
      <c r="T1901" s="127"/>
    </row>
    <row r="1902" spans="1:20" ht="13.8">
      <c r="A1902" s="118" t="str">
        <f ca="1">IFERROR(__xludf.DUMMYFUNCTION("""COMPUTED_VALUE"""),"SRA")</f>
        <v>SRA</v>
      </c>
      <c r="B1902" s="119" t="str">
        <f ca="1">IFERROR(__xludf.DUMMYFUNCTION("""COMPUTED_VALUE"""),"Harper Lichte")</f>
        <v>Harper Lichte</v>
      </c>
      <c r="C1902" s="118">
        <f ca="1">IFERROR(__xludf.DUMMYFUNCTION("""COMPUTED_VALUE"""),7)</f>
        <v>7</v>
      </c>
      <c r="D1902" s="118" t="str">
        <f ca="1">IFERROR(__xludf.DUMMYFUNCTION("""COMPUTED_VALUE"""),"G")</f>
        <v>G</v>
      </c>
      <c r="E1902" s="118" t="str">
        <f ca="1">IFERROR(__xludf.DUMMYFUNCTION("""COMPUTED_VALUE"""),"F")</f>
        <v>F</v>
      </c>
      <c r="F1902" s="124" t="str">
        <f ca="1">IFERROR(__xludf.DUMMYFUNCTION("""COMPUTED_VALUE"""),"J")</f>
        <v>J</v>
      </c>
      <c r="G1902" s="124">
        <f ca="1">IFERROR(__xludf.DUMMYFUNCTION("""COMPUTED_VALUE"""),8)</f>
        <v>8</v>
      </c>
      <c r="H1902" s="124" t="str">
        <f ca="1">IFERROR(__xludf.DUMMYFUNCTION("""COMPUTED_VALUE"""),"SRA")</f>
        <v>SRA</v>
      </c>
      <c r="I1902" s="124">
        <f ca="1">IFERROR(__xludf.DUMMYFUNCTION("""COMPUTED_VALUE"""),4)</f>
        <v>4</v>
      </c>
      <c r="J1902" s="124">
        <f ca="1">IFERROR(__xludf.DUMMYFUNCTION("""COMPUTED_VALUE"""),5)</f>
        <v>5</v>
      </c>
      <c r="K1902" s="125">
        <f ca="1">IFERROR(__xludf.DUMMYFUNCTION("""COMPUTED_VALUE"""),31.3)</f>
        <v>31.3</v>
      </c>
      <c r="L1902" s="121"/>
      <c r="M1902" s="125">
        <f ca="1">IFERROR(__xludf.DUMMYFUNCTION("""COMPUTED_VALUE"""),16.65)</f>
        <v>16.649999999999999</v>
      </c>
      <c r="N1902" s="121"/>
      <c r="O1902" s="125">
        <f ca="1">IFERROR(__xludf.DUMMYFUNCTION("""COMPUTED_VALUE"""),15.3)</f>
        <v>15.3</v>
      </c>
      <c r="P1902" s="126"/>
      <c r="Q1902" s="127"/>
      <c r="R1902" s="127"/>
      <c r="S1902" s="127"/>
      <c r="T1902" s="127"/>
    </row>
    <row r="1903" spans="1:20" ht="13.8">
      <c r="A1903" s="118" t="str">
        <f ca="1">IFERROR(__xludf.DUMMYFUNCTION("""COMPUTED_VALUE"""),"SRA")</f>
        <v>SRA</v>
      </c>
      <c r="B1903" s="119" t="str">
        <f ca="1">IFERROR(__xludf.DUMMYFUNCTION("""COMPUTED_VALUE"""),"Leila Hessell")</f>
        <v>Leila Hessell</v>
      </c>
      <c r="C1903" s="118">
        <f ca="1">IFERROR(__xludf.DUMMYFUNCTION("""COMPUTED_VALUE"""),8)</f>
        <v>8</v>
      </c>
      <c r="D1903" s="118" t="str">
        <f ca="1">IFERROR(__xludf.DUMMYFUNCTION("""COMPUTED_VALUE"""),"G")</f>
        <v>G</v>
      </c>
      <c r="E1903" s="118" t="str">
        <f ca="1">IFERROR(__xludf.DUMMYFUNCTION("""COMPUTED_VALUE"""),"F")</f>
        <v>F</v>
      </c>
      <c r="F1903" s="124" t="str">
        <f ca="1">IFERROR(__xludf.DUMMYFUNCTION("""COMPUTED_VALUE"""),"J")</f>
        <v>J</v>
      </c>
      <c r="G1903" s="124">
        <f ca="1">IFERROR(__xludf.DUMMYFUNCTION("""COMPUTED_VALUE"""),8)</f>
        <v>8</v>
      </c>
      <c r="H1903" s="124" t="str">
        <f ca="1">IFERROR(__xludf.DUMMYFUNCTION("""COMPUTED_VALUE"""),"SRA")</f>
        <v>SRA</v>
      </c>
      <c r="I1903" s="124">
        <f ca="1">IFERROR(__xludf.DUMMYFUNCTION("""COMPUTED_VALUE"""),4)</f>
        <v>4</v>
      </c>
      <c r="J1903" s="124">
        <f ca="1">IFERROR(__xludf.DUMMYFUNCTION("""COMPUTED_VALUE"""),0)</f>
        <v>0</v>
      </c>
      <c r="K1903" s="125"/>
      <c r="L1903" s="121"/>
      <c r="M1903" s="125"/>
      <c r="N1903" s="121"/>
      <c r="O1903" s="125"/>
      <c r="P1903" s="126"/>
      <c r="Q1903" s="127"/>
      <c r="R1903" s="127"/>
      <c r="S1903" s="127"/>
      <c r="T1903" s="127"/>
    </row>
    <row r="1904" spans="1:20" ht="13.8">
      <c r="A1904" s="118" t="str">
        <f ca="1">IFERROR(__xludf.DUMMYFUNCTION("""COMPUTED_VALUE"""),"SRA")</f>
        <v>SRA</v>
      </c>
      <c r="B1904" s="119" t="str">
        <f ca="1">IFERROR(__xludf.DUMMYFUNCTION("""COMPUTED_VALUE"""),"Lillian Ferguson")</f>
        <v>Lillian Ferguson</v>
      </c>
      <c r="C1904" s="118">
        <f ca="1">IFERROR(__xludf.DUMMYFUNCTION("""COMPUTED_VALUE"""),9)</f>
        <v>9</v>
      </c>
      <c r="D1904" s="118" t="str">
        <f ca="1">IFERROR(__xludf.DUMMYFUNCTION("""COMPUTED_VALUE"""),"G")</f>
        <v>G</v>
      </c>
      <c r="E1904" s="118" t="str">
        <f ca="1">IFERROR(__xludf.DUMMYFUNCTION("""COMPUTED_VALUE"""),"F")</f>
        <v>F</v>
      </c>
      <c r="F1904" s="124" t="str">
        <f ca="1">IFERROR(__xludf.DUMMYFUNCTION("""COMPUTED_VALUE"""),"J")</f>
        <v>J</v>
      </c>
      <c r="G1904" s="124">
        <f ca="1">IFERROR(__xludf.DUMMYFUNCTION("""COMPUTED_VALUE"""),8)</f>
        <v>8</v>
      </c>
      <c r="H1904" s="124" t="str">
        <f ca="1">IFERROR(__xludf.DUMMYFUNCTION("""COMPUTED_VALUE"""),"SRA")</f>
        <v>SRA</v>
      </c>
      <c r="I1904" s="124">
        <f ca="1">IFERROR(__xludf.DUMMYFUNCTION("""COMPUTED_VALUE"""),4)</f>
        <v>4</v>
      </c>
      <c r="J1904" s="124">
        <f ca="1">IFERROR(__xludf.DUMMYFUNCTION("""COMPUTED_VALUE"""),2)</f>
        <v>2</v>
      </c>
      <c r="K1904" s="125">
        <f ca="1">IFERROR(__xludf.DUMMYFUNCTION("""COMPUTED_VALUE"""),37.35)</f>
        <v>37.35</v>
      </c>
      <c r="L1904" s="121"/>
      <c r="M1904" s="125"/>
      <c r="N1904" s="121"/>
      <c r="O1904" s="125">
        <f ca="1">IFERROR(__xludf.DUMMYFUNCTION("""COMPUTED_VALUE"""),37.35)</f>
        <v>37.35</v>
      </c>
      <c r="P1904" s="126"/>
      <c r="Q1904" s="127"/>
      <c r="R1904" s="127"/>
      <c r="S1904" s="127"/>
      <c r="T1904" s="127"/>
    </row>
    <row r="1905" spans="1:20" ht="13.8">
      <c r="A1905" s="118" t="str">
        <f ca="1">IFERROR(__xludf.DUMMYFUNCTION("""COMPUTED_VALUE"""),"SRA")</f>
        <v>SRA</v>
      </c>
      <c r="B1905" s="119" t="str">
        <f ca="1">IFERROR(__xludf.DUMMYFUNCTION("""COMPUTED_VALUE"""),"Linnea Brolin")</f>
        <v>Linnea Brolin</v>
      </c>
      <c r="C1905" s="118">
        <f ca="1">IFERROR(__xludf.DUMMYFUNCTION("""COMPUTED_VALUE"""),9)</f>
        <v>9</v>
      </c>
      <c r="D1905" s="118" t="str">
        <f ca="1">IFERROR(__xludf.DUMMYFUNCTION("""COMPUTED_VALUE"""),"G")</f>
        <v>G</v>
      </c>
      <c r="E1905" s="118" t="str">
        <f ca="1">IFERROR(__xludf.DUMMYFUNCTION("""COMPUTED_VALUE"""),"F")</f>
        <v>F</v>
      </c>
      <c r="F1905" s="124" t="str">
        <f ca="1">IFERROR(__xludf.DUMMYFUNCTION("""COMPUTED_VALUE"""),"J")</f>
        <v>J</v>
      </c>
      <c r="G1905" s="124">
        <f ca="1">IFERROR(__xludf.DUMMYFUNCTION("""COMPUTED_VALUE"""),8)</f>
        <v>8</v>
      </c>
      <c r="H1905" s="124" t="str">
        <f ca="1">IFERROR(__xludf.DUMMYFUNCTION("""COMPUTED_VALUE"""),"SRA")</f>
        <v>SRA</v>
      </c>
      <c r="I1905" s="124">
        <f ca="1">IFERROR(__xludf.DUMMYFUNCTION("""COMPUTED_VALUE"""),4)</f>
        <v>4</v>
      </c>
      <c r="J1905" s="124">
        <f ca="1">IFERROR(__xludf.DUMMYFUNCTION("""COMPUTED_VALUE"""),0)</f>
        <v>0</v>
      </c>
      <c r="K1905" s="125"/>
      <c r="L1905" s="121"/>
      <c r="M1905" s="125"/>
      <c r="N1905" s="121"/>
      <c r="O1905" s="125"/>
      <c r="P1905" s="126"/>
      <c r="Q1905" s="127"/>
      <c r="R1905" s="127"/>
      <c r="S1905" s="127"/>
      <c r="T1905" s="127"/>
    </row>
    <row r="1906" spans="1:20" ht="13.8">
      <c r="A1906" s="118" t="str">
        <f ca="1">IFERROR(__xludf.DUMMYFUNCTION("""COMPUTED_VALUE"""),"SRA")</f>
        <v>SRA</v>
      </c>
      <c r="B1906" s="119" t="str">
        <f ca="1">IFERROR(__xludf.DUMMYFUNCTION("""COMPUTED_VALUE"""),"Liza Ferguson")</f>
        <v>Liza Ferguson</v>
      </c>
      <c r="C1906" s="118">
        <f ca="1">IFERROR(__xludf.DUMMYFUNCTION("""COMPUTED_VALUE"""),7)</f>
        <v>7</v>
      </c>
      <c r="D1906" s="118" t="str">
        <f ca="1">IFERROR(__xludf.DUMMYFUNCTION("""COMPUTED_VALUE"""),"G")</f>
        <v>G</v>
      </c>
      <c r="E1906" s="118" t="str">
        <f ca="1">IFERROR(__xludf.DUMMYFUNCTION("""COMPUTED_VALUE"""),"F")</f>
        <v>F</v>
      </c>
      <c r="F1906" s="124" t="str">
        <f ca="1">IFERROR(__xludf.DUMMYFUNCTION("""COMPUTED_VALUE"""),"J")</f>
        <v>J</v>
      </c>
      <c r="G1906" s="124">
        <f ca="1">IFERROR(__xludf.DUMMYFUNCTION("""COMPUTED_VALUE"""),8)</f>
        <v>8</v>
      </c>
      <c r="H1906" s="124" t="str">
        <f ca="1">IFERROR(__xludf.DUMMYFUNCTION("""COMPUTED_VALUE"""),"SRA")</f>
        <v>SRA</v>
      </c>
      <c r="I1906" s="124">
        <f ca="1">IFERROR(__xludf.DUMMYFUNCTION("""COMPUTED_VALUE"""),4)</f>
        <v>4</v>
      </c>
      <c r="J1906" s="124">
        <f ca="1">IFERROR(__xludf.DUMMYFUNCTION("""COMPUTED_VALUE"""),2)</f>
        <v>2</v>
      </c>
      <c r="K1906" s="125">
        <f ca="1">IFERROR(__xludf.DUMMYFUNCTION("""COMPUTED_VALUE"""),18.8)</f>
        <v>18.8</v>
      </c>
      <c r="L1906" s="121"/>
      <c r="M1906" s="125"/>
      <c r="N1906" s="121"/>
      <c r="O1906" s="125"/>
      <c r="P1906" s="126"/>
      <c r="Q1906" s="127"/>
      <c r="R1906" s="127"/>
      <c r="S1906" s="127"/>
      <c r="T1906" s="127"/>
    </row>
    <row r="1907" spans="1:20" ht="13.8">
      <c r="A1907" s="118" t="str">
        <f ca="1">IFERROR(__xludf.DUMMYFUNCTION("""COMPUTED_VALUE"""),"SRA")</f>
        <v>SRA</v>
      </c>
      <c r="B1907" s="119" t="str">
        <f ca="1">IFERROR(__xludf.DUMMYFUNCTION("""COMPUTED_VALUE"""),"Lizzy Brown")</f>
        <v>Lizzy Brown</v>
      </c>
      <c r="C1907" s="118">
        <f ca="1">IFERROR(__xludf.DUMMYFUNCTION("""COMPUTED_VALUE"""),8)</f>
        <v>8</v>
      </c>
      <c r="D1907" s="118" t="str">
        <f ca="1">IFERROR(__xludf.DUMMYFUNCTION("""COMPUTED_VALUE"""),"G")</f>
        <v>G</v>
      </c>
      <c r="E1907" s="118" t="str">
        <f ca="1">IFERROR(__xludf.DUMMYFUNCTION("""COMPUTED_VALUE"""),"F")</f>
        <v>F</v>
      </c>
      <c r="F1907" s="124" t="str">
        <f ca="1">IFERROR(__xludf.DUMMYFUNCTION("""COMPUTED_VALUE"""),"J")</f>
        <v>J</v>
      </c>
      <c r="G1907" s="124">
        <f ca="1">IFERROR(__xludf.DUMMYFUNCTION("""COMPUTED_VALUE"""),8)</f>
        <v>8</v>
      </c>
      <c r="H1907" s="124" t="str">
        <f ca="1">IFERROR(__xludf.DUMMYFUNCTION("""COMPUTED_VALUE"""),"SRA")</f>
        <v>SRA</v>
      </c>
      <c r="I1907" s="124">
        <f ca="1">IFERROR(__xludf.DUMMYFUNCTION("""COMPUTED_VALUE"""),4)</f>
        <v>4</v>
      </c>
      <c r="J1907" s="124">
        <f ca="1">IFERROR(__xludf.DUMMYFUNCTION("""COMPUTED_VALUE"""),1)</f>
        <v>1</v>
      </c>
      <c r="K1907" s="125"/>
      <c r="L1907" s="121"/>
      <c r="M1907" s="125"/>
      <c r="N1907" s="121"/>
      <c r="O1907" s="125"/>
      <c r="P1907" s="126"/>
      <c r="Q1907" s="127"/>
      <c r="R1907" s="127"/>
      <c r="S1907" s="127"/>
      <c r="T1907" s="127"/>
    </row>
    <row r="1908" spans="1:20" ht="13.8">
      <c r="A1908" s="118" t="str">
        <f ca="1">IFERROR(__xludf.DUMMYFUNCTION("""COMPUTED_VALUE"""),"SRA")</f>
        <v>SRA</v>
      </c>
      <c r="B1908" s="119" t="str">
        <f ca="1">IFERROR(__xludf.DUMMYFUNCTION("""COMPUTED_VALUE"""),"Lucy Barry")</f>
        <v>Lucy Barry</v>
      </c>
      <c r="C1908" s="118">
        <f ca="1">IFERROR(__xludf.DUMMYFUNCTION("""COMPUTED_VALUE"""),9)</f>
        <v>9</v>
      </c>
      <c r="D1908" s="118" t="str">
        <f ca="1">IFERROR(__xludf.DUMMYFUNCTION("""COMPUTED_VALUE"""),"G")</f>
        <v>G</v>
      </c>
      <c r="E1908" s="118" t="str">
        <f ca="1">IFERROR(__xludf.DUMMYFUNCTION("""COMPUTED_VALUE"""),"F")</f>
        <v>F</v>
      </c>
      <c r="F1908" s="124" t="str">
        <f ca="1">IFERROR(__xludf.DUMMYFUNCTION("""COMPUTED_VALUE"""),"J")</f>
        <v>J</v>
      </c>
      <c r="G1908" s="124">
        <f ca="1">IFERROR(__xludf.DUMMYFUNCTION("""COMPUTED_VALUE"""),8)</f>
        <v>8</v>
      </c>
      <c r="H1908" s="124" t="str">
        <f ca="1">IFERROR(__xludf.DUMMYFUNCTION("""COMPUTED_VALUE"""),"SRA")</f>
        <v>SRA</v>
      </c>
      <c r="I1908" s="124">
        <f ca="1">IFERROR(__xludf.DUMMYFUNCTION("""COMPUTED_VALUE"""),4)</f>
        <v>4</v>
      </c>
      <c r="J1908" s="124">
        <f ca="1">IFERROR(__xludf.DUMMYFUNCTION("""COMPUTED_VALUE"""),0)</f>
        <v>0</v>
      </c>
      <c r="K1908" s="125"/>
      <c r="L1908" s="121"/>
      <c r="M1908" s="125"/>
      <c r="N1908" s="121"/>
      <c r="O1908" s="125"/>
      <c r="P1908" s="126"/>
      <c r="Q1908" s="127"/>
      <c r="R1908" s="127"/>
      <c r="S1908" s="127"/>
      <c r="T1908" s="127"/>
    </row>
    <row r="1909" spans="1:20" ht="13.8">
      <c r="A1909" s="118" t="str">
        <f ca="1">IFERROR(__xludf.DUMMYFUNCTION("""COMPUTED_VALUE"""),"SRA")</f>
        <v>SRA</v>
      </c>
      <c r="B1909" s="119" t="str">
        <f ca="1">IFERROR(__xludf.DUMMYFUNCTION("""COMPUTED_VALUE"""),"Mackie Cotter")</f>
        <v>Mackie Cotter</v>
      </c>
      <c r="C1909" s="118">
        <f ca="1">IFERROR(__xludf.DUMMYFUNCTION("""COMPUTED_VALUE"""),7)</f>
        <v>7</v>
      </c>
      <c r="D1909" s="118" t="str">
        <f ca="1">IFERROR(__xludf.DUMMYFUNCTION("""COMPUTED_VALUE"""),"G")</f>
        <v>G</v>
      </c>
      <c r="E1909" s="118" t="str">
        <f ca="1">IFERROR(__xludf.DUMMYFUNCTION("""COMPUTED_VALUE"""),"F")</f>
        <v>F</v>
      </c>
      <c r="F1909" s="124" t="str">
        <f ca="1">IFERROR(__xludf.DUMMYFUNCTION("""COMPUTED_VALUE"""),"J")</f>
        <v>J</v>
      </c>
      <c r="G1909" s="124">
        <f ca="1">IFERROR(__xludf.DUMMYFUNCTION("""COMPUTED_VALUE"""),8)</f>
        <v>8</v>
      </c>
      <c r="H1909" s="124" t="str">
        <f ca="1">IFERROR(__xludf.DUMMYFUNCTION("""COMPUTED_VALUE"""),"SRA")</f>
        <v>SRA</v>
      </c>
      <c r="I1909" s="124">
        <f ca="1">IFERROR(__xludf.DUMMYFUNCTION("""COMPUTED_VALUE"""),4)</f>
        <v>4</v>
      </c>
      <c r="J1909" s="124">
        <f ca="1">IFERROR(__xludf.DUMMYFUNCTION("""COMPUTED_VALUE"""),3)</f>
        <v>3</v>
      </c>
      <c r="K1909" s="125">
        <f ca="1">IFERROR(__xludf.DUMMYFUNCTION("""COMPUTED_VALUE"""),46.8)</f>
        <v>46.8</v>
      </c>
      <c r="L1909" s="121"/>
      <c r="M1909" s="125">
        <f ca="1">IFERROR(__xludf.DUMMYFUNCTION("""COMPUTED_VALUE"""),46.8)</f>
        <v>46.8</v>
      </c>
      <c r="N1909" s="121"/>
      <c r="O1909" s="125"/>
      <c r="P1909" s="126"/>
      <c r="Q1909" s="127"/>
      <c r="R1909" s="127"/>
      <c r="S1909" s="127"/>
      <c r="T1909" s="127"/>
    </row>
    <row r="1910" spans="1:20" ht="13.8">
      <c r="A1910" s="118" t="str">
        <f ca="1">IFERROR(__xludf.DUMMYFUNCTION("""COMPUTED_VALUE"""),"SRA")</f>
        <v>SRA</v>
      </c>
      <c r="B1910" s="119" t="str">
        <f ca="1">IFERROR(__xludf.DUMMYFUNCTION("""COMPUTED_VALUE"""),"Maya Fritz")</f>
        <v>Maya Fritz</v>
      </c>
      <c r="C1910" s="118">
        <f ca="1">IFERROR(__xludf.DUMMYFUNCTION("""COMPUTED_VALUE"""),10)</f>
        <v>10</v>
      </c>
      <c r="D1910" s="118" t="str">
        <f ca="1">IFERROR(__xludf.DUMMYFUNCTION("""COMPUTED_VALUE"""),"G")</f>
        <v>G</v>
      </c>
      <c r="E1910" s="118" t="str">
        <f ca="1">IFERROR(__xludf.DUMMYFUNCTION("""COMPUTED_VALUE"""),"F")</f>
        <v>F</v>
      </c>
      <c r="F1910" s="124" t="str">
        <f ca="1">IFERROR(__xludf.DUMMYFUNCTION("""COMPUTED_VALUE"""),"J")</f>
        <v>J</v>
      </c>
      <c r="G1910" s="124">
        <f ca="1">IFERROR(__xludf.DUMMYFUNCTION("""COMPUTED_VALUE"""),8)</f>
        <v>8</v>
      </c>
      <c r="H1910" s="124" t="str">
        <f ca="1">IFERROR(__xludf.DUMMYFUNCTION("""COMPUTED_VALUE"""),"SRA")</f>
        <v>SRA</v>
      </c>
      <c r="I1910" s="124">
        <f ca="1">IFERROR(__xludf.DUMMYFUNCTION("""COMPUTED_VALUE"""),4)</f>
        <v>4</v>
      </c>
      <c r="J1910" s="124">
        <f ca="1">IFERROR(__xludf.DUMMYFUNCTION("""COMPUTED_VALUE"""),0)</f>
        <v>0</v>
      </c>
      <c r="K1910" s="125"/>
      <c r="L1910" s="121"/>
      <c r="M1910" s="125"/>
      <c r="N1910" s="121"/>
      <c r="O1910" s="125"/>
      <c r="P1910" s="126"/>
      <c r="Q1910" s="127"/>
      <c r="R1910" s="127"/>
      <c r="S1910" s="127"/>
      <c r="T1910" s="127"/>
    </row>
    <row r="1911" spans="1:20" ht="13.8">
      <c r="A1911" s="118" t="str">
        <f ca="1">IFERROR(__xludf.DUMMYFUNCTION("""COMPUTED_VALUE"""),"SRA")</f>
        <v>SRA</v>
      </c>
      <c r="B1911" s="119" t="str">
        <f ca="1">IFERROR(__xludf.DUMMYFUNCTION("""COMPUTED_VALUE"""),"Penny Cotter")</f>
        <v>Penny Cotter</v>
      </c>
      <c r="C1911" s="118">
        <f ca="1">IFERROR(__xludf.DUMMYFUNCTION("""COMPUTED_VALUE"""),10)</f>
        <v>10</v>
      </c>
      <c r="D1911" s="118" t="str">
        <f ca="1">IFERROR(__xludf.DUMMYFUNCTION("""COMPUTED_VALUE"""),"G")</f>
        <v>G</v>
      </c>
      <c r="E1911" s="118" t="str">
        <f ca="1">IFERROR(__xludf.DUMMYFUNCTION("""COMPUTED_VALUE"""),"F")</f>
        <v>F</v>
      </c>
      <c r="F1911" s="124" t="str">
        <f ca="1">IFERROR(__xludf.DUMMYFUNCTION("""COMPUTED_VALUE"""),"J")</f>
        <v>J</v>
      </c>
      <c r="G1911" s="124">
        <f ca="1">IFERROR(__xludf.DUMMYFUNCTION("""COMPUTED_VALUE"""),8)</f>
        <v>8</v>
      </c>
      <c r="H1911" s="124" t="str">
        <f ca="1">IFERROR(__xludf.DUMMYFUNCTION("""COMPUTED_VALUE"""),"SRA")</f>
        <v>SRA</v>
      </c>
      <c r="I1911" s="124">
        <f ca="1">IFERROR(__xludf.DUMMYFUNCTION("""COMPUTED_VALUE"""),4)</f>
        <v>4</v>
      </c>
      <c r="J1911" s="124">
        <f ca="1">IFERROR(__xludf.DUMMYFUNCTION("""COMPUTED_VALUE"""),3)</f>
        <v>3</v>
      </c>
      <c r="K1911" s="125">
        <f ca="1">IFERROR(__xludf.DUMMYFUNCTION("""COMPUTED_VALUE"""),62.35)</f>
        <v>62.35</v>
      </c>
      <c r="L1911" s="121"/>
      <c r="M1911" s="125">
        <f ca="1">IFERROR(__xludf.DUMMYFUNCTION("""COMPUTED_VALUE"""),62.35)</f>
        <v>62.35</v>
      </c>
      <c r="N1911" s="121"/>
      <c r="O1911" s="125"/>
      <c r="P1911" s="126"/>
      <c r="Q1911" s="127"/>
      <c r="R1911" s="127"/>
      <c r="S1911" s="127"/>
      <c r="T1911" s="127"/>
    </row>
    <row r="1912" spans="1:20" ht="13.8">
      <c r="A1912" s="118" t="str">
        <f ca="1">IFERROR(__xludf.DUMMYFUNCTION("""COMPUTED_VALUE"""),"SRA")</f>
        <v>SRA</v>
      </c>
      <c r="B1912" s="119" t="str">
        <f ca="1">IFERROR(__xludf.DUMMYFUNCTION("""COMPUTED_VALUE"""),"Rayleigh Baxa")</f>
        <v>Rayleigh Baxa</v>
      </c>
      <c r="C1912" s="118">
        <f ca="1">IFERROR(__xludf.DUMMYFUNCTION("""COMPUTED_VALUE"""),7)</f>
        <v>7</v>
      </c>
      <c r="D1912" s="118" t="str">
        <f ca="1">IFERROR(__xludf.DUMMYFUNCTION("""COMPUTED_VALUE"""),"G")</f>
        <v>G</v>
      </c>
      <c r="E1912" s="118" t="str">
        <f ca="1">IFERROR(__xludf.DUMMYFUNCTION("""COMPUTED_VALUE"""),"F")</f>
        <v>F</v>
      </c>
      <c r="F1912" s="124" t="str">
        <f ca="1">IFERROR(__xludf.DUMMYFUNCTION("""COMPUTED_VALUE"""),"J")</f>
        <v>J</v>
      </c>
      <c r="G1912" s="124">
        <f ca="1">IFERROR(__xludf.DUMMYFUNCTION("""COMPUTED_VALUE"""),8)</f>
        <v>8</v>
      </c>
      <c r="H1912" s="124" t="str">
        <f ca="1">IFERROR(__xludf.DUMMYFUNCTION("""COMPUTED_VALUE"""),"SRA")</f>
        <v>SRA</v>
      </c>
      <c r="I1912" s="124">
        <f ca="1">IFERROR(__xludf.DUMMYFUNCTION("""COMPUTED_VALUE"""),4)</f>
        <v>4</v>
      </c>
      <c r="J1912" s="124">
        <f ca="1">IFERROR(__xludf.DUMMYFUNCTION("""COMPUTED_VALUE"""),0)</f>
        <v>0</v>
      </c>
      <c r="K1912" s="125"/>
      <c r="L1912" s="121"/>
      <c r="M1912" s="125"/>
      <c r="N1912" s="121"/>
      <c r="O1912" s="125"/>
      <c r="P1912" s="126"/>
      <c r="Q1912" s="127"/>
      <c r="R1912" s="127"/>
      <c r="S1912" s="127"/>
      <c r="T1912" s="127"/>
    </row>
    <row r="1913" spans="1:20" ht="13.8">
      <c r="A1913" s="118" t="str">
        <f ca="1">IFERROR(__xludf.DUMMYFUNCTION("""COMPUTED_VALUE"""),"SRA")</f>
        <v>SRA</v>
      </c>
      <c r="B1913" s="119" t="str">
        <f ca="1">IFERROR(__xludf.DUMMYFUNCTION("""COMPUTED_VALUE"""),"Reagan Smith")</f>
        <v>Reagan Smith</v>
      </c>
      <c r="C1913" s="118">
        <f ca="1">IFERROR(__xludf.DUMMYFUNCTION("""COMPUTED_VALUE"""),9)</f>
        <v>9</v>
      </c>
      <c r="D1913" s="118" t="str">
        <f ca="1">IFERROR(__xludf.DUMMYFUNCTION("""COMPUTED_VALUE"""),"G")</f>
        <v>G</v>
      </c>
      <c r="E1913" s="118" t="str">
        <f ca="1">IFERROR(__xludf.DUMMYFUNCTION("""COMPUTED_VALUE"""),"F")</f>
        <v>F</v>
      </c>
      <c r="F1913" s="124" t="str">
        <f ca="1">IFERROR(__xludf.DUMMYFUNCTION("""COMPUTED_VALUE"""),"J")</f>
        <v>J</v>
      </c>
      <c r="G1913" s="124">
        <f ca="1">IFERROR(__xludf.DUMMYFUNCTION("""COMPUTED_VALUE"""),8)</f>
        <v>8</v>
      </c>
      <c r="H1913" s="124" t="str">
        <f ca="1">IFERROR(__xludf.DUMMYFUNCTION("""COMPUTED_VALUE"""),"SRA")</f>
        <v>SRA</v>
      </c>
      <c r="I1913" s="124">
        <f ca="1">IFERROR(__xludf.DUMMYFUNCTION("""COMPUTED_VALUE"""),4)</f>
        <v>4</v>
      </c>
      <c r="J1913" s="124">
        <f ca="1">IFERROR(__xludf.DUMMYFUNCTION("""COMPUTED_VALUE"""),0)</f>
        <v>0</v>
      </c>
      <c r="K1913" s="125"/>
      <c r="L1913" s="121"/>
      <c r="M1913" s="125"/>
      <c r="N1913" s="121"/>
      <c r="O1913" s="125"/>
      <c r="P1913" s="126"/>
      <c r="Q1913" s="127"/>
      <c r="R1913" s="127"/>
      <c r="S1913" s="127"/>
      <c r="T1913" s="127"/>
    </row>
    <row r="1914" spans="1:20" ht="13.8">
      <c r="A1914" s="118" t="str">
        <f ca="1">IFERROR(__xludf.DUMMYFUNCTION("""COMPUTED_VALUE"""),"SRA")</f>
        <v>SRA</v>
      </c>
      <c r="B1914" s="119" t="str">
        <f ca="1">IFERROR(__xludf.DUMMYFUNCTION("""COMPUTED_VALUE"""),"Remy Noland")</f>
        <v>Remy Noland</v>
      </c>
      <c r="C1914" s="118">
        <f ca="1">IFERROR(__xludf.DUMMYFUNCTION("""COMPUTED_VALUE"""),10)</f>
        <v>10</v>
      </c>
      <c r="D1914" s="118" t="str">
        <f ca="1">IFERROR(__xludf.DUMMYFUNCTION("""COMPUTED_VALUE"""),"G")</f>
        <v>G</v>
      </c>
      <c r="E1914" s="118" t="str">
        <f ca="1">IFERROR(__xludf.DUMMYFUNCTION("""COMPUTED_VALUE"""),"F")</f>
        <v>F</v>
      </c>
      <c r="F1914" s="124" t="str">
        <f ca="1">IFERROR(__xludf.DUMMYFUNCTION("""COMPUTED_VALUE"""),"J")</f>
        <v>J</v>
      </c>
      <c r="G1914" s="124">
        <f ca="1">IFERROR(__xludf.DUMMYFUNCTION("""COMPUTED_VALUE"""),8)</f>
        <v>8</v>
      </c>
      <c r="H1914" s="124" t="str">
        <f ca="1">IFERROR(__xludf.DUMMYFUNCTION("""COMPUTED_VALUE"""),"SRA")</f>
        <v>SRA</v>
      </c>
      <c r="I1914" s="124">
        <f ca="1">IFERROR(__xludf.DUMMYFUNCTION("""COMPUTED_VALUE"""),4)</f>
        <v>4</v>
      </c>
      <c r="J1914" s="124">
        <f ca="1">IFERROR(__xludf.DUMMYFUNCTION("""COMPUTED_VALUE"""),0)</f>
        <v>0</v>
      </c>
      <c r="K1914" s="125"/>
      <c r="L1914" s="121"/>
      <c r="M1914" s="125"/>
      <c r="N1914" s="121"/>
      <c r="O1914" s="125"/>
      <c r="P1914" s="126"/>
      <c r="Q1914" s="127"/>
      <c r="R1914" s="127"/>
      <c r="S1914" s="127"/>
      <c r="T1914" s="127"/>
    </row>
    <row r="1915" spans="1:20" ht="13.8">
      <c r="A1915" s="118" t="str">
        <f ca="1">IFERROR(__xludf.DUMMYFUNCTION("""COMPUTED_VALUE"""),"SRA")</f>
        <v>SRA</v>
      </c>
      <c r="B1915" s="119" t="str">
        <f ca="1">IFERROR(__xludf.DUMMYFUNCTION("""COMPUTED_VALUE"""),"Ruby Spannagel")</f>
        <v>Ruby Spannagel</v>
      </c>
      <c r="C1915" s="118">
        <f ca="1">IFERROR(__xludf.DUMMYFUNCTION("""COMPUTED_VALUE"""),7)</f>
        <v>7</v>
      </c>
      <c r="D1915" s="118" t="str">
        <f ca="1">IFERROR(__xludf.DUMMYFUNCTION("""COMPUTED_VALUE"""),"G")</f>
        <v>G</v>
      </c>
      <c r="E1915" s="118" t="str">
        <f ca="1">IFERROR(__xludf.DUMMYFUNCTION("""COMPUTED_VALUE"""),"F")</f>
        <v>F</v>
      </c>
      <c r="F1915" s="124" t="str">
        <f ca="1">IFERROR(__xludf.DUMMYFUNCTION("""COMPUTED_VALUE"""),"J")</f>
        <v>J</v>
      </c>
      <c r="G1915" s="124">
        <f ca="1">IFERROR(__xludf.DUMMYFUNCTION("""COMPUTED_VALUE"""),8)</f>
        <v>8</v>
      </c>
      <c r="H1915" s="124" t="str">
        <f ca="1">IFERROR(__xludf.DUMMYFUNCTION("""COMPUTED_VALUE"""),"SRA")</f>
        <v>SRA</v>
      </c>
      <c r="I1915" s="124">
        <f ca="1">IFERROR(__xludf.DUMMYFUNCTION("""COMPUTED_VALUE"""),4)</f>
        <v>4</v>
      </c>
      <c r="J1915" s="124">
        <f ca="1">IFERROR(__xludf.DUMMYFUNCTION("""COMPUTED_VALUE"""),2)</f>
        <v>2</v>
      </c>
      <c r="K1915" s="125">
        <f ca="1">IFERROR(__xludf.DUMMYFUNCTION("""COMPUTED_VALUE"""),30.95)</f>
        <v>30.95</v>
      </c>
      <c r="L1915" s="121"/>
      <c r="M1915" s="125"/>
      <c r="N1915" s="121"/>
      <c r="O1915" s="125">
        <f ca="1">IFERROR(__xludf.DUMMYFUNCTION("""COMPUTED_VALUE"""),30.95)</f>
        <v>30.95</v>
      </c>
      <c r="P1915" s="126"/>
      <c r="Q1915" s="127"/>
      <c r="R1915" s="127"/>
      <c r="S1915" s="127"/>
      <c r="T1915" s="127"/>
    </row>
    <row r="1916" spans="1:20" ht="13.8">
      <c r="A1916" s="118" t="str">
        <f ca="1">IFERROR(__xludf.DUMMYFUNCTION("""COMPUTED_VALUE"""),"SRA")</f>
        <v>SRA</v>
      </c>
      <c r="B1916" s="119" t="str">
        <f ca="1">IFERROR(__xludf.DUMMYFUNCTION("""COMPUTED_VALUE"""),"Savannah Goodale")</f>
        <v>Savannah Goodale</v>
      </c>
      <c r="C1916" s="118">
        <f ca="1">IFERROR(__xludf.DUMMYFUNCTION("""COMPUTED_VALUE"""),10)</f>
        <v>10</v>
      </c>
      <c r="D1916" s="118" t="str">
        <f ca="1">IFERROR(__xludf.DUMMYFUNCTION("""COMPUTED_VALUE"""),"G")</f>
        <v>G</v>
      </c>
      <c r="E1916" s="118" t="str">
        <f ca="1">IFERROR(__xludf.DUMMYFUNCTION("""COMPUTED_VALUE"""),"F")</f>
        <v>F</v>
      </c>
      <c r="F1916" s="124" t="str">
        <f ca="1">IFERROR(__xludf.DUMMYFUNCTION("""COMPUTED_VALUE"""),"J")</f>
        <v>J</v>
      </c>
      <c r="G1916" s="124">
        <f ca="1">IFERROR(__xludf.DUMMYFUNCTION("""COMPUTED_VALUE"""),8)</f>
        <v>8</v>
      </c>
      <c r="H1916" s="124" t="str">
        <f ca="1">IFERROR(__xludf.DUMMYFUNCTION("""COMPUTED_VALUE"""),"SRA")</f>
        <v>SRA</v>
      </c>
      <c r="I1916" s="124">
        <f ca="1">IFERROR(__xludf.DUMMYFUNCTION("""COMPUTED_VALUE"""),4)</f>
        <v>4</v>
      </c>
      <c r="J1916" s="124">
        <f ca="1">IFERROR(__xludf.DUMMYFUNCTION("""COMPUTED_VALUE"""),4)</f>
        <v>4</v>
      </c>
      <c r="K1916" s="125">
        <f ca="1">IFERROR(__xludf.DUMMYFUNCTION("""COMPUTED_VALUE"""),-80.5)</f>
        <v>-80.5</v>
      </c>
      <c r="L1916" s="121"/>
      <c r="M1916" s="125"/>
      <c r="N1916" s="121"/>
      <c r="O1916" s="125">
        <f ca="1">IFERROR(__xludf.DUMMYFUNCTION("""COMPUTED_VALUE"""),-87.05)</f>
        <v>-87.05</v>
      </c>
      <c r="P1916" s="126"/>
      <c r="Q1916" s="127"/>
      <c r="R1916" s="127"/>
      <c r="S1916" s="127"/>
      <c r="T1916" s="127"/>
    </row>
    <row r="1917" spans="1:20" ht="13.8">
      <c r="A1917" s="118" t="str">
        <f ca="1">IFERROR(__xludf.DUMMYFUNCTION("""COMPUTED_VALUE"""),"SRA")</f>
        <v>SRA</v>
      </c>
      <c r="B1917" s="119" t="str">
        <f ca="1">IFERROR(__xludf.DUMMYFUNCTION("""COMPUTED_VALUE"""),"Stella Beaman")</f>
        <v>Stella Beaman</v>
      </c>
      <c r="C1917" s="118">
        <f ca="1">IFERROR(__xludf.DUMMYFUNCTION("""COMPUTED_VALUE"""),9)</f>
        <v>9</v>
      </c>
      <c r="D1917" s="118" t="str">
        <f ca="1">IFERROR(__xludf.DUMMYFUNCTION("""COMPUTED_VALUE"""),"G")</f>
        <v>G</v>
      </c>
      <c r="E1917" s="118" t="str">
        <f ca="1">IFERROR(__xludf.DUMMYFUNCTION("""COMPUTED_VALUE"""),"F")</f>
        <v>F</v>
      </c>
      <c r="F1917" s="124" t="str">
        <f ca="1">IFERROR(__xludf.DUMMYFUNCTION("""COMPUTED_VALUE"""),"J")</f>
        <v>J</v>
      </c>
      <c r="G1917" s="124">
        <f ca="1">IFERROR(__xludf.DUMMYFUNCTION("""COMPUTED_VALUE"""),8)</f>
        <v>8</v>
      </c>
      <c r="H1917" s="124" t="str">
        <f ca="1">IFERROR(__xludf.DUMMYFUNCTION("""COMPUTED_VALUE"""),"SRA")</f>
        <v>SRA</v>
      </c>
      <c r="I1917" s="124">
        <f ca="1">IFERROR(__xludf.DUMMYFUNCTION("""COMPUTED_VALUE"""),4)</f>
        <v>4</v>
      </c>
      <c r="J1917" s="124">
        <f ca="1">IFERROR(__xludf.DUMMYFUNCTION("""COMPUTED_VALUE"""),4)</f>
        <v>4</v>
      </c>
      <c r="K1917" s="125">
        <f ca="1">IFERROR(__xludf.DUMMYFUNCTION("""COMPUTED_VALUE"""),43.55)</f>
        <v>43.55</v>
      </c>
      <c r="L1917" s="121"/>
      <c r="M1917" s="125">
        <f ca="1">IFERROR(__xludf.DUMMYFUNCTION("""COMPUTED_VALUE"""),21.7)</f>
        <v>21.7</v>
      </c>
      <c r="N1917" s="121"/>
      <c r="O1917" s="125"/>
      <c r="P1917" s="126"/>
      <c r="Q1917" s="127"/>
      <c r="R1917" s="127"/>
      <c r="S1917" s="127"/>
      <c r="T1917" s="127"/>
    </row>
    <row r="1918" spans="1:20" ht="13.8">
      <c r="A1918" s="118" t="str">
        <f ca="1">IFERROR(__xludf.DUMMYFUNCTION("""COMPUTED_VALUE"""),"SRA")</f>
        <v>SRA</v>
      </c>
      <c r="B1918" s="119" t="str">
        <f ca="1">IFERROR(__xludf.DUMMYFUNCTION("""COMPUTED_VALUE"""),"Susan Miller")</f>
        <v>Susan Miller</v>
      </c>
      <c r="C1918" s="118">
        <f ca="1">IFERROR(__xludf.DUMMYFUNCTION("""COMPUTED_VALUE"""),8)</f>
        <v>8</v>
      </c>
      <c r="D1918" s="118" t="str">
        <f ca="1">IFERROR(__xludf.DUMMYFUNCTION("""COMPUTED_VALUE"""),"G")</f>
        <v>G</v>
      </c>
      <c r="E1918" s="118" t="str">
        <f ca="1">IFERROR(__xludf.DUMMYFUNCTION("""COMPUTED_VALUE"""),"F")</f>
        <v>F</v>
      </c>
      <c r="F1918" s="124" t="str">
        <f ca="1">IFERROR(__xludf.DUMMYFUNCTION("""COMPUTED_VALUE"""),"J")</f>
        <v>J</v>
      </c>
      <c r="G1918" s="124">
        <f ca="1">IFERROR(__xludf.DUMMYFUNCTION("""COMPUTED_VALUE"""),8)</f>
        <v>8</v>
      </c>
      <c r="H1918" s="124" t="str">
        <f ca="1">IFERROR(__xludf.DUMMYFUNCTION("""COMPUTED_VALUE"""),"SRA")</f>
        <v>SRA</v>
      </c>
      <c r="I1918" s="124">
        <f ca="1">IFERROR(__xludf.DUMMYFUNCTION("""COMPUTED_VALUE"""),4)</f>
        <v>4</v>
      </c>
      <c r="J1918" s="124">
        <f ca="1">IFERROR(__xludf.DUMMYFUNCTION("""COMPUTED_VALUE"""),2)</f>
        <v>2</v>
      </c>
      <c r="K1918" s="125">
        <f ca="1">IFERROR(__xludf.DUMMYFUNCTION("""COMPUTED_VALUE"""),33.45)</f>
        <v>33.450000000000003</v>
      </c>
      <c r="L1918" s="121"/>
      <c r="M1918" s="125"/>
      <c r="N1918" s="121"/>
      <c r="O1918" s="125">
        <f ca="1">IFERROR(__xludf.DUMMYFUNCTION("""COMPUTED_VALUE"""),33.45)</f>
        <v>33.450000000000003</v>
      </c>
      <c r="P1918" s="126"/>
      <c r="Q1918" s="127"/>
      <c r="R1918" s="127"/>
      <c r="S1918" s="127"/>
      <c r="T1918" s="127"/>
    </row>
    <row r="1919" spans="1:20" ht="13.8">
      <c r="A1919" s="118" t="str">
        <f ca="1">IFERROR(__xludf.DUMMYFUNCTION("""COMPUTED_VALUE"""),"SRA")</f>
        <v>SRA</v>
      </c>
      <c r="B1919" s="119" t="str">
        <f ca="1">IFERROR(__xludf.DUMMYFUNCTION("""COMPUTED_VALUE"""),"Everett Hessell")</f>
        <v>Everett Hessell</v>
      </c>
      <c r="C1919" s="118">
        <f ca="1">IFERROR(__xludf.DUMMYFUNCTION("""COMPUTED_VALUE"""),9)</f>
        <v>9</v>
      </c>
      <c r="D1919" s="118" t="str">
        <f ca="1">IFERROR(__xludf.DUMMYFUNCTION("""COMPUTED_VALUE"""),"B")</f>
        <v>B</v>
      </c>
      <c r="E1919" s="118" t="str">
        <f ca="1">IFERROR(__xludf.DUMMYFUNCTION("""COMPUTED_VALUE"""),"F")</f>
        <v>F</v>
      </c>
      <c r="F1919" s="124" t="str">
        <f ca="1">IFERROR(__xludf.DUMMYFUNCTION("""COMPUTED_VALUE"""),"J")</f>
        <v>J</v>
      </c>
      <c r="G1919" s="124">
        <f ca="1">IFERROR(__xludf.DUMMYFUNCTION("""COMPUTED_VALUE"""),8)</f>
        <v>8</v>
      </c>
      <c r="H1919" s="124" t="str">
        <f ca="1">IFERROR(__xludf.DUMMYFUNCTION("""COMPUTED_VALUE"""),"SRA")</f>
        <v>SRA</v>
      </c>
      <c r="I1919" s="124">
        <f ca="1">IFERROR(__xludf.DUMMYFUNCTION("""COMPUTED_VALUE"""),5)</f>
        <v>5</v>
      </c>
      <c r="J1919" s="124">
        <f ca="1">IFERROR(__xludf.DUMMYFUNCTION("""COMPUTED_VALUE"""),0)</f>
        <v>0</v>
      </c>
      <c r="K1919" s="125"/>
      <c r="L1919" s="121"/>
      <c r="M1919" s="125"/>
      <c r="N1919" s="121"/>
      <c r="O1919" s="125"/>
      <c r="P1919" s="126"/>
      <c r="Q1919" s="127"/>
      <c r="R1919" s="127"/>
      <c r="S1919" s="127"/>
      <c r="T1919" s="127"/>
    </row>
    <row r="1920" spans="1:20" ht="13.8">
      <c r="A1920" s="118" t="str">
        <f ca="1">IFERROR(__xludf.DUMMYFUNCTION("""COMPUTED_VALUE"""),"SRA")</f>
        <v>SRA</v>
      </c>
      <c r="B1920" s="119" t="str">
        <f ca="1">IFERROR(__xludf.DUMMYFUNCTION("""COMPUTED_VALUE"""),"Finn Jackson")</f>
        <v>Finn Jackson</v>
      </c>
      <c r="C1920" s="118">
        <f ca="1">IFERROR(__xludf.DUMMYFUNCTION("""COMPUTED_VALUE"""),9)</f>
        <v>9</v>
      </c>
      <c r="D1920" s="118" t="str">
        <f ca="1">IFERROR(__xludf.DUMMYFUNCTION("""COMPUTED_VALUE"""),"B")</f>
        <v>B</v>
      </c>
      <c r="E1920" s="118" t="str">
        <f ca="1">IFERROR(__xludf.DUMMYFUNCTION("""COMPUTED_VALUE"""),"F")</f>
        <v>F</v>
      </c>
      <c r="F1920" s="124" t="str">
        <f ca="1">IFERROR(__xludf.DUMMYFUNCTION("""COMPUTED_VALUE"""),"J")</f>
        <v>J</v>
      </c>
      <c r="G1920" s="124">
        <f ca="1">IFERROR(__xludf.DUMMYFUNCTION("""COMPUTED_VALUE"""),8)</f>
        <v>8</v>
      </c>
      <c r="H1920" s="124" t="str">
        <f ca="1">IFERROR(__xludf.DUMMYFUNCTION("""COMPUTED_VALUE"""),"SRA")</f>
        <v>SRA</v>
      </c>
      <c r="I1920" s="124">
        <f ca="1">IFERROR(__xludf.DUMMYFUNCTION("""COMPUTED_VALUE"""),5)</f>
        <v>5</v>
      </c>
      <c r="J1920" s="124">
        <f ca="1">IFERROR(__xludf.DUMMYFUNCTION("""COMPUTED_VALUE"""),4)</f>
        <v>4</v>
      </c>
      <c r="K1920" s="125">
        <f ca="1">IFERROR(__xludf.DUMMYFUNCTION("""COMPUTED_VALUE"""),52.25)</f>
        <v>52.25</v>
      </c>
      <c r="L1920" s="121"/>
      <c r="M1920" s="125">
        <f ca="1">IFERROR(__xludf.DUMMYFUNCTION("""COMPUTED_VALUE"""),47.7)</f>
        <v>47.7</v>
      </c>
      <c r="N1920" s="121"/>
      <c r="O1920" s="125">
        <f ca="1">IFERROR(__xludf.DUMMYFUNCTION("""COMPUTED_VALUE"""),52.25)</f>
        <v>52.25</v>
      </c>
      <c r="P1920" s="126"/>
      <c r="Q1920" s="127"/>
      <c r="R1920" s="127"/>
      <c r="S1920" s="127"/>
      <c r="T1920" s="127"/>
    </row>
    <row r="1921" spans="1:20" ht="13.8">
      <c r="A1921" s="118" t="str">
        <f ca="1">IFERROR(__xludf.DUMMYFUNCTION("""COMPUTED_VALUE"""),"SRA")</f>
        <v>SRA</v>
      </c>
      <c r="B1921" s="119" t="str">
        <f ca="1">IFERROR(__xludf.DUMMYFUNCTION("""COMPUTED_VALUE"""),"Harrison Morgan")</f>
        <v>Harrison Morgan</v>
      </c>
      <c r="C1921" s="118">
        <f ca="1">IFERROR(__xludf.DUMMYFUNCTION("""COMPUTED_VALUE"""),6)</f>
        <v>6</v>
      </c>
      <c r="D1921" s="118" t="str">
        <f ca="1">IFERROR(__xludf.DUMMYFUNCTION("""COMPUTED_VALUE"""),"B")</f>
        <v>B</v>
      </c>
      <c r="E1921" s="118" t="str">
        <f ca="1">IFERROR(__xludf.DUMMYFUNCTION("""COMPUTED_VALUE"""),"F")</f>
        <v>F</v>
      </c>
      <c r="F1921" s="124" t="str">
        <f ca="1">IFERROR(__xludf.DUMMYFUNCTION("""COMPUTED_VALUE"""),"J")</f>
        <v>J</v>
      </c>
      <c r="G1921" s="124">
        <f ca="1">IFERROR(__xludf.DUMMYFUNCTION("""COMPUTED_VALUE"""),8)</f>
        <v>8</v>
      </c>
      <c r="H1921" s="124" t="str">
        <f ca="1">IFERROR(__xludf.DUMMYFUNCTION("""COMPUTED_VALUE"""),"SRA")</f>
        <v>SRA</v>
      </c>
      <c r="I1921" s="124">
        <f ca="1">IFERROR(__xludf.DUMMYFUNCTION("""COMPUTED_VALUE"""),5)</f>
        <v>5</v>
      </c>
      <c r="J1921" s="124">
        <f ca="1">IFERROR(__xludf.DUMMYFUNCTION("""COMPUTED_VALUE"""),0)</f>
        <v>0</v>
      </c>
      <c r="K1921" s="125"/>
      <c r="L1921" s="121"/>
      <c r="M1921" s="125"/>
      <c r="N1921" s="121"/>
      <c r="O1921" s="125"/>
      <c r="P1921" s="126"/>
      <c r="Q1921" s="127"/>
      <c r="R1921" s="127"/>
      <c r="S1921" s="127"/>
      <c r="T1921" s="127"/>
    </row>
    <row r="1922" spans="1:20" ht="13.8">
      <c r="A1922" s="118" t="str">
        <f ca="1">IFERROR(__xludf.DUMMYFUNCTION("""COMPUTED_VALUE"""),"SRA")</f>
        <v>SRA</v>
      </c>
      <c r="B1922" s="119" t="str">
        <f ca="1">IFERROR(__xludf.DUMMYFUNCTION("""COMPUTED_VALUE"""),"Hudson Moeller")</f>
        <v>Hudson Moeller</v>
      </c>
      <c r="C1922" s="118">
        <f ca="1">IFERROR(__xludf.DUMMYFUNCTION("""COMPUTED_VALUE"""),7)</f>
        <v>7</v>
      </c>
      <c r="D1922" s="118" t="str">
        <f ca="1">IFERROR(__xludf.DUMMYFUNCTION("""COMPUTED_VALUE"""),"B")</f>
        <v>B</v>
      </c>
      <c r="E1922" s="118" t="str">
        <f ca="1">IFERROR(__xludf.DUMMYFUNCTION("""COMPUTED_VALUE"""),"F")</f>
        <v>F</v>
      </c>
      <c r="F1922" s="124" t="str">
        <f ca="1">IFERROR(__xludf.DUMMYFUNCTION("""COMPUTED_VALUE"""),"J")</f>
        <v>J</v>
      </c>
      <c r="G1922" s="124">
        <f ca="1">IFERROR(__xludf.DUMMYFUNCTION("""COMPUTED_VALUE"""),8)</f>
        <v>8</v>
      </c>
      <c r="H1922" s="124" t="str">
        <f ca="1">IFERROR(__xludf.DUMMYFUNCTION("""COMPUTED_VALUE"""),"SRA")</f>
        <v>SRA</v>
      </c>
      <c r="I1922" s="124">
        <f ca="1">IFERROR(__xludf.DUMMYFUNCTION("""COMPUTED_VALUE"""),5)</f>
        <v>5</v>
      </c>
      <c r="J1922" s="124">
        <f ca="1">IFERROR(__xludf.DUMMYFUNCTION("""COMPUTED_VALUE"""),0)</f>
        <v>0</v>
      </c>
      <c r="K1922" s="125"/>
      <c r="L1922" s="121"/>
      <c r="M1922" s="125"/>
      <c r="N1922" s="121"/>
      <c r="O1922" s="125"/>
      <c r="P1922" s="126"/>
      <c r="Q1922" s="127"/>
      <c r="R1922" s="127"/>
      <c r="S1922" s="127"/>
      <c r="T1922" s="127"/>
    </row>
    <row r="1923" spans="1:20" ht="13.8">
      <c r="A1923" s="118" t="str">
        <f ca="1">IFERROR(__xludf.DUMMYFUNCTION("""COMPUTED_VALUE"""),"SRA")</f>
        <v>SRA</v>
      </c>
      <c r="B1923" s="119" t="str">
        <f ca="1">IFERROR(__xludf.DUMMYFUNCTION("""COMPUTED_VALUE"""),"Jacob Taddiken")</f>
        <v>Jacob Taddiken</v>
      </c>
      <c r="C1923" s="118">
        <f ca="1">IFERROR(__xludf.DUMMYFUNCTION("""COMPUTED_VALUE"""),8)</f>
        <v>8</v>
      </c>
      <c r="D1923" s="118" t="str">
        <f ca="1">IFERROR(__xludf.DUMMYFUNCTION("""COMPUTED_VALUE"""),"B")</f>
        <v>B</v>
      </c>
      <c r="E1923" s="118" t="str">
        <f ca="1">IFERROR(__xludf.DUMMYFUNCTION("""COMPUTED_VALUE"""),"F")</f>
        <v>F</v>
      </c>
      <c r="F1923" s="124" t="str">
        <f ca="1">IFERROR(__xludf.DUMMYFUNCTION("""COMPUTED_VALUE"""),"J")</f>
        <v>J</v>
      </c>
      <c r="G1923" s="124">
        <f ca="1">IFERROR(__xludf.DUMMYFUNCTION("""COMPUTED_VALUE"""),8)</f>
        <v>8</v>
      </c>
      <c r="H1923" s="124" t="str">
        <f ca="1">IFERROR(__xludf.DUMMYFUNCTION("""COMPUTED_VALUE"""),"SRA")</f>
        <v>SRA</v>
      </c>
      <c r="I1923" s="124">
        <f ca="1">IFERROR(__xludf.DUMMYFUNCTION("""COMPUTED_VALUE"""),5)</f>
        <v>5</v>
      </c>
      <c r="J1923" s="124">
        <f ca="1">IFERROR(__xludf.DUMMYFUNCTION("""COMPUTED_VALUE"""),3)</f>
        <v>3</v>
      </c>
      <c r="K1923" s="125">
        <f ca="1">IFERROR(__xludf.DUMMYFUNCTION("""COMPUTED_VALUE"""),36.75)</f>
        <v>36.75</v>
      </c>
      <c r="L1923" s="121"/>
      <c r="M1923" s="125"/>
      <c r="N1923" s="121"/>
      <c r="O1923" s="125">
        <f ca="1">IFERROR(__xludf.DUMMYFUNCTION("""COMPUTED_VALUE"""),31.5)</f>
        <v>31.5</v>
      </c>
      <c r="P1923" s="126"/>
      <c r="Q1923" s="127"/>
      <c r="R1923" s="127"/>
      <c r="S1923" s="127"/>
      <c r="T1923" s="127"/>
    </row>
    <row r="1924" spans="1:20" ht="13.8">
      <c r="A1924" s="118" t="str">
        <f ca="1">IFERROR(__xludf.DUMMYFUNCTION("""COMPUTED_VALUE"""),"SRA")</f>
        <v>SRA</v>
      </c>
      <c r="B1924" s="119" t="str">
        <f ca="1">IFERROR(__xludf.DUMMYFUNCTION("""COMPUTED_VALUE"""),"Marco Fazio")</f>
        <v>Marco Fazio</v>
      </c>
      <c r="C1924" s="118">
        <f ca="1">IFERROR(__xludf.DUMMYFUNCTION("""COMPUTED_VALUE"""),9)</f>
        <v>9</v>
      </c>
      <c r="D1924" s="118" t="str">
        <f ca="1">IFERROR(__xludf.DUMMYFUNCTION("""COMPUTED_VALUE"""),"B")</f>
        <v>B</v>
      </c>
      <c r="E1924" s="118" t="str">
        <f ca="1">IFERROR(__xludf.DUMMYFUNCTION("""COMPUTED_VALUE"""),"F")</f>
        <v>F</v>
      </c>
      <c r="F1924" s="124" t="str">
        <f ca="1">IFERROR(__xludf.DUMMYFUNCTION("""COMPUTED_VALUE"""),"J")</f>
        <v>J</v>
      </c>
      <c r="G1924" s="124">
        <f ca="1">IFERROR(__xludf.DUMMYFUNCTION("""COMPUTED_VALUE"""),8)</f>
        <v>8</v>
      </c>
      <c r="H1924" s="124" t="str">
        <f ca="1">IFERROR(__xludf.DUMMYFUNCTION("""COMPUTED_VALUE"""),"SRA")</f>
        <v>SRA</v>
      </c>
      <c r="I1924" s="124">
        <f ca="1">IFERROR(__xludf.DUMMYFUNCTION("""COMPUTED_VALUE"""),5)</f>
        <v>5</v>
      </c>
      <c r="J1924" s="124">
        <f ca="1">IFERROR(__xludf.DUMMYFUNCTION("""COMPUTED_VALUE"""),3)</f>
        <v>3</v>
      </c>
      <c r="K1924" s="125">
        <f ca="1">IFERROR(__xludf.DUMMYFUNCTION("""COMPUTED_VALUE"""),40.95)</f>
        <v>40.950000000000003</v>
      </c>
      <c r="L1924" s="121"/>
      <c r="M1924" s="125"/>
      <c r="N1924" s="121"/>
      <c r="O1924" s="125">
        <f ca="1">IFERROR(__xludf.DUMMYFUNCTION("""COMPUTED_VALUE"""),40.95)</f>
        <v>40.950000000000003</v>
      </c>
      <c r="P1924" s="126"/>
      <c r="Q1924" s="127"/>
      <c r="R1924" s="127"/>
      <c r="S1924" s="127"/>
      <c r="T1924" s="127"/>
    </row>
    <row r="1925" spans="1:20" ht="13.8">
      <c r="A1925" s="118" t="str">
        <f ca="1">IFERROR(__xludf.DUMMYFUNCTION("""COMPUTED_VALUE"""),"SRA")</f>
        <v>SRA</v>
      </c>
      <c r="B1925" s="119" t="str">
        <f ca="1">IFERROR(__xludf.DUMMYFUNCTION("""COMPUTED_VALUE"""),"Max Signer")</f>
        <v>Max Signer</v>
      </c>
      <c r="C1925" s="118">
        <f ca="1">IFERROR(__xludf.DUMMYFUNCTION("""COMPUTED_VALUE"""),6)</f>
        <v>6</v>
      </c>
      <c r="D1925" s="118" t="str">
        <f ca="1">IFERROR(__xludf.DUMMYFUNCTION("""COMPUTED_VALUE"""),"B")</f>
        <v>B</v>
      </c>
      <c r="E1925" s="118" t="str">
        <f ca="1">IFERROR(__xludf.DUMMYFUNCTION("""COMPUTED_VALUE"""),"F")</f>
        <v>F</v>
      </c>
      <c r="F1925" s="124" t="str">
        <f ca="1">IFERROR(__xludf.DUMMYFUNCTION("""COMPUTED_VALUE"""),"J")</f>
        <v>J</v>
      </c>
      <c r="G1925" s="124">
        <f ca="1">IFERROR(__xludf.DUMMYFUNCTION("""COMPUTED_VALUE"""),8)</f>
        <v>8</v>
      </c>
      <c r="H1925" s="124" t="str">
        <f ca="1">IFERROR(__xludf.DUMMYFUNCTION("""COMPUTED_VALUE"""),"SRA")</f>
        <v>SRA</v>
      </c>
      <c r="I1925" s="124">
        <f ca="1">IFERROR(__xludf.DUMMYFUNCTION("""COMPUTED_VALUE"""),5)</f>
        <v>5</v>
      </c>
      <c r="J1925" s="124">
        <f ca="1">IFERROR(__xludf.DUMMYFUNCTION("""COMPUTED_VALUE"""),0)</f>
        <v>0</v>
      </c>
      <c r="K1925" s="125"/>
      <c r="L1925" s="121"/>
      <c r="M1925" s="125"/>
      <c r="N1925" s="121"/>
      <c r="O1925" s="125"/>
      <c r="P1925" s="126"/>
      <c r="Q1925" s="127"/>
      <c r="R1925" s="127"/>
      <c r="S1925" s="127"/>
      <c r="T1925" s="127"/>
    </row>
    <row r="1926" spans="1:20" ht="13.8">
      <c r="A1926" s="118" t="str">
        <f ca="1">IFERROR(__xludf.DUMMYFUNCTION("""COMPUTED_VALUE"""),"SRA")</f>
        <v>SRA</v>
      </c>
      <c r="B1926" s="119" t="str">
        <f ca="1">IFERROR(__xludf.DUMMYFUNCTION("""COMPUTED_VALUE"""),"Sam Signer")</f>
        <v>Sam Signer</v>
      </c>
      <c r="C1926" s="118">
        <f ca="1">IFERROR(__xludf.DUMMYFUNCTION("""COMPUTED_VALUE"""),8)</f>
        <v>8</v>
      </c>
      <c r="D1926" s="118" t="str">
        <f ca="1">IFERROR(__xludf.DUMMYFUNCTION("""COMPUTED_VALUE"""),"B")</f>
        <v>B</v>
      </c>
      <c r="E1926" s="118" t="str">
        <f ca="1">IFERROR(__xludf.DUMMYFUNCTION("""COMPUTED_VALUE"""),"F")</f>
        <v>F</v>
      </c>
      <c r="F1926" s="124" t="str">
        <f ca="1">IFERROR(__xludf.DUMMYFUNCTION("""COMPUTED_VALUE"""),"J")</f>
        <v>J</v>
      </c>
      <c r="G1926" s="124">
        <f ca="1">IFERROR(__xludf.DUMMYFUNCTION("""COMPUTED_VALUE"""),8)</f>
        <v>8</v>
      </c>
      <c r="H1926" s="124" t="str">
        <f ca="1">IFERROR(__xludf.DUMMYFUNCTION("""COMPUTED_VALUE"""),"SRA")</f>
        <v>SRA</v>
      </c>
      <c r="I1926" s="124">
        <f ca="1">IFERROR(__xludf.DUMMYFUNCTION("""COMPUTED_VALUE"""),5)</f>
        <v>5</v>
      </c>
      <c r="J1926" s="124">
        <f ca="1">IFERROR(__xludf.DUMMYFUNCTION("""COMPUTED_VALUE"""),0)</f>
        <v>0</v>
      </c>
      <c r="K1926" s="125"/>
      <c r="L1926" s="121"/>
      <c r="M1926" s="125"/>
      <c r="N1926" s="121"/>
      <c r="O1926" s="125"/>
      <c r="P1926" s="126"/>
      <c r="Q1926" s="127"/>
      <c r="R1926" s="127"/>
      <c r="S1926" s="127"/>
      <c r="T1926" s="127"/>
    </row>
    <row r="1927" spans="1:20" ht="13.8">
      <c r="A1927" s="118" t="str">
        <f ca="1">IFERROR(__xludf.DUMMYFUNCTION("""COMPUTED_VALUE"""),"SRA")</f>
        <v>SRA</v>
      </c>
      <c r="B1927" s="119" t="str">
        <f ca="1">IFERROR(__xludf.DUMMYFUNCTION("""COMPUTED_VALUE"""),"Tristan Smith")</f>
        <v>Tristan Smith</v>
      </c>
      <c r="C1927" s="118">
        <f ca="1">IFERROR(__xludf.DUMMYFUNCTION("""COMPUTED_VALUE"""),10)</f>
        <v>10</v>
      </c>
      <c r="D1927" s="118" t="str">
        <f ca="1">IFERROR(__xludf.DUMMYFUNCTION("""COMPUTED_VALUE"""),"B")</f>
        <v>B</v>
      </c>
      <c r="E1927" s="118" t="str">
        <f ca="1">IFERROR(__xludf.DUMMYFUNCTION("""COMPUTED_VALUE"""),"F")</f>
        <v>F</v>
      </c>
      <c r="F1927" s="124" t="str">
        <f ca="1">IFERROR(__xludf.DUMMYFUNCTION("""COMPUTED_VALUE"""),"J")</f>
        <v>J</v>
      </c>
      <c r="G1927" s="124">
        <f ca="1">IFERROR(__xludf.DUMMYFUNCTION("""COMPUTED_VALUE"""),8)</f>
        <v>8</v>
      </c>
      <c r="H1927" s="124" t="str">
        <f ca="1">IFERROR(__xludf.DUMMYFUNCTION("""COMPUTED_VALUE"""),"SRA")</f>
        <v>SRA</v>
      </c>
      <c r="I1927" s="124">
        <f ca="1">IFERROR(__xludf.DUMMYFUNCTION("""COMPUTED_VALUE"""),5)</f>
        <v>5</v>
      </c>
      <c r="J1927" s="124">
        <f ca="1">IFERROR(__xludf.DUMMYFUNCTION("""COMPUTED_VALUE"""),5)</f>
        <v>5</v>
      </c>
      <c r="K1927" s="125">
        <f ca="1">IFERROR(__xludf.DUMMYFUNCTION("""COMPUTED_VALUE"""),-71.9)</f>
        <v>-71.900000000000006</v>
      </c>
      <c r="L1927" s="121"/>
      <c r="M1927" s="125">
        <f ca="1">IFERROR(__xludf.DUMMYFUNCTION("""COMPUTED_VALUE"""),-83.25)</f>
        <v>-83.25</v>
      </c>
      <c r="N1927" s="121"/>
      <c r="O1927" s="125">
        <f ca="1">IFERROR(__xludf.DUMMYFUNCTION("""COMPUTED_VALUE"""),-71.9)</f>
        <v>-71.900000000000006</v>
      </c>
      <c r="P1927" s="126"/>
      <c r="Q1927" s="127"/>
      <c r="R1927" s="127"/>
      <c r="S1927" s="127"/>
      <c r="T1927" s="127"/>
    </row>
    <row r="1928" spans="1:20" ht="13.8">
      <c r="A1928" s="118" t="str">
        <f ca="1">IFERROR(__xludf.DUMMYFUNCTION("""COMPUTED_VALUE"""),"SRA")</f>
        <v>SRA</v>
      </c>
      <c r="B1928" s="119" t="str">
        <f ca="1">IFERROR(__xludf.DUMMYFUNCTION("""COMPUTED_VALUE"""),"Camille Upton")</f>
        <v>Camille Upton</v>
      </c>
      <c r="C1928" s="118">
        <f ca="1">IFERROR(__xludf.DUMMYFUNCTION("""COMPUTED_VALUE"""),11)</f>
        <v>11</v>
      </c>
      <c r="D1928" s="118" t="str">
        <f ca="1">IFERROR(__xludf.DUMMYFUNCTION("""COMPUTED_VALUE"""),"G")</f>
        <v>G</v>
      </c>
      <c r="E1928" s="118" t="str">
        <f ca="1">IFERROR(__xludf.DUMMYFUNCTION("""COMPUTED_VALUE"""),"J")</f>
        <v>J</v>
      </c>
      <c r="F1928" s="124" t="str">
        <f ca="1">IFERROR(__xludf.DUMMYFUNCTION("""COMPUTED_VALUE"""),"I")</f>
        <v>I</v>
      </c>
      <c r="G1928" s="124">
        <f ca="1">IFERROR(__xludf.DUMMYFUNCTION("""COMPUTED_VALUE"""),8)</f>
        <v>8</v>
      </c>
      <c r="H1928" s="124" t="str">
        <f ca="1">IFERROR(__xludf.DUMMYFUNCTION("""COMPUTED_VALUE"""),"SRA")</f>
        <v>SRA</v>
      </c>
      <c r="I1928" s="124">
        <f ca="1">IFERROR(__xludf.DUMMYFUNCTION("""COMPUTED_VALUE"""),6)</f>
        <v>6</v>
      </c>
      <c r="J1928" s="124">
        <f ca="1">IFERROR(__xludf.DUMMYFUNCTION("""COMPUTED_VALUE"""),5)</f>
        <v>5</v>
      </c>
      <c r="K1928" s="125">
        <f ca="1">IFERROR(__xludf.DUMMYFUNCTION("""COMPUTED_VALUE"""),100.55)</f>
        <v>100.55</v>
      </c>
      <c r="L1928" s="121"/>
      <c r="M1928" s="125">
        <f ca="1">IFERROR(__xludf.DUMMYFUNCTION("""COMPUTED_VALUE"""),84.35)</f>
        <v>84.35</v>
      </c>
      <c r="N1928" s="121"/>
      <c r="O1928" s="125">
        <f ca="1">IFERROR(__xludf.DUMMYFUNCTION("""COMPUTED_VALUE"""),88.55)</f>
        <v>88.55</v>
      </c>
      <c r="P1928" s="126"/>
      <c r="Q1928" s="127"/>
      <c r="R1928" s="127"/>
      <c r="S1928" s="127"/>
      <c r="T1928" s="127"/>
    </row>
    <row r="1929" spans="1:20" ht="13.8">
      <c r="A1929" s="118" t="str">
        <f ca="1">IFERROR(__xludf.DUMMYFUNCTION("""COMPUTED_VALUE"""),"SRA")</f>
        <v>SRA</v>
      </c>
      <c r="B1929" s="119" t="str">
        <f ca="1">IFERROR(__xludf.DUMMYFUNCTION("""COMPUTED_VALUE"""),"Fiona Brolin")</f>
        <v>Fiona Brolin</v>
      </c>
      <c r="C1929" s="118">
        <f ca="1">IFERROR(__xludf.DUMMYFUNCTION("""COMPUTED_VALUE"""),11)</f>
        <v>11</v>
      </c>
      <c r="D1929" s="118" t="str">
        <f ca="1">IFERROR(__xludf.DUMMYFUNCTION("""COMPUTED_VALUE"""),"G")</f>
        <v>G</v>
      </c>
      <c r="E1929" s="118" t="str">
        <f ca="1">IFERROR(__xludf.DUMMYFUNCTION("""COMPUTED_VALUE"""),"J")</f>
        <v>J</v>
      </c>
      <c r="F1929" s="124" t="str">
        <f ca="1">IFERROR(__xludf.DUMMYFUNCTION("""COMPUTED_VALUE"""),"I")</f>
        <v>I</v>
      </c>
      <c r="G1929" s="124">
        <f ca="1">IFERROR(__xludf.DUMMYFUNCTION("""COMPUTED_VALUE"""),8)</f>
        <v>8</v>
      </c>
      <c r="H1929" s="124" t="str">
        <f ca="1">IFERROR(__xludf.DUMMYFUNCTION("""COMPUTED_VALUE"""),"SRA")</f>
        <v>SRA</v>
      </c>
      <c r="I1929" s="124">
        <f ca="1">IFERROR(__xludf.DUMMYFUNCTION("""COMPUTED_VALUE"""),6)</f>
        <v>6</v>
      </c>
      <c r="J1929" s="124">
        <f ca="1">IFERROR(__xludf.DUMMYFUNCTION("""COMPUTED_VALUE"""),0)</f>
        <v>0</v>
      </c>
      <c r="K1929" s="125"/>
      <c r="L1929" s="121"/>
      <c r="M1929" s="125"/>
      <c r="N1929" s="121"/>
      <c r="O1929" s="125"/>
      <c r="P1929" s="126"/>
      <c r="Q1929" s="127"/>
      <c r="R1929" s="127"/>
      <c r="S1929" s="127"/>
      <c r="T1929" s="127"/>
    </row>
    <row r="1930" spans="1:20" ht="13.8">
      <c r="A1930" s="118" t="str">
        <f ca="1">IFERROR(__xludf.DUMMYFUNCTION("""COMPUTED_VALUE"""),"SRA")</f>
        <v>SRA</v>
      </c>
      <c r="B1930" s="119" t="str">
        <f ca="1">IFERROR(__xludf.DUMMYFUNCTION("""COMPUTED_VALUE"""),"Kennedy Anderson")</f>
        <v>Kennedy Anderson</v>
      </c>
      <c r="C1930" s="118">
        <f ca="1">IFERROR(__xludf.DUMMYFUNCTION("""COMPUTED_VALUE"""),12)</f>
        <v>12</v>
      </c>
      <c r="D1930" s="118" t="str">
        <f ca="1">IFERROR(__xludf.DUMMYFUNCTION("""COMPUTED_VALUE"""),"G")</f>
        <v>G</v>
      </c>
      <c r="E1930" s="118" t="str">
        <f ca="1">IFERROR(__xludf.DUMMYFUNCTION("""COMPUTED_VALUE"""),"J")</f>
        <v>J</v>
      </c>
      <c r="F1930" s="124" t="str">
        <f ca="1">IFERROR(__xludf.DUMMYFUNCTION("""COMPUTED_VALUE"""),"I")</f>
        <v>I</v>
      </c>
      <c r="G1930" s="124">
        <f ca="1">IFERROR(__xludf.DUMMYFUNCTION("""COMPUTED_VALUE"""),8)</f>
        <v>8</v>
      </c>
      <c r="H1930" s="124" t="str">
        <f ca="1">IFERROR(__xludf.DUMMYFUNCTION("""COMPUTED_VALUE"""),"SRA")</f>
        <v>SRA</v>
      </c>
      <c r="I1930" s="124">
        <f ca="1">IFERROR(__xludf.DUMMYFUNCTION("""COMPUTED_VALUE"""),6)</f>
        <v>6</v>
      </c>
      <c r="J1930" s="124">
        <f ca="1">IFERROR(__xludf.DUMMYFUNCTION("""COMPUTED_VALUE"""),2)</f>
        <v>2</v>
      </c>
      <c r="K1930" s="125">
        <f ca="1">IFERROR(__xludf.DUMMYFUNCTION("""COMPUTED_VALUE"""),92.8)</f>
        <v>92.8</v>
      </c>
      <c r="L1930" s="121"/>
      <c r="M1930" s="125">
        <f ca="1">IFERROR(__xludf.DUMMYFUNCTION("""COMPUTED_VALUE"""),92.8)</f>
        <v>92.8</v>
      </c>
      <c r="N1930" s="121"/>
      <c r="O1930" s="125"/>
      <c r="P1930" s="126"/>
      <c r="Q1930" s="127"/>
      <c r="R1930" s="127"/>
      <c r="S1930" s="127"/>
      <c r="T1930" s="127"/>
    </row>
    <row r="1931" spans="1:20" ht="13.8">
      <c r="A1931" s="118" t="str">
        <f ca="1">IFERROR(__xludf.DUMMYFUNCTION("""COMPUTED_VALUE"""),"SRA")</f>
        <v>SRA</v>
      </c>
      <c r="B1931" s="119" t="str">
        <f ca="1">IFERROR(__xludf.DUMMYFUNCTION("""COMPUTED_VALUE"""),"Luke Smith")</f>
        <v>Luke Smith</v>
      </c>
      <c r="C1931" s="118">
        <f ca="1">IFERROR(__xludf.DUMMYFUNCTION("""COMPUTED_VALUE"""),12)</f>
        <v>12</v>
      </c>
      <c r="D1931" s="118" t="str">
        <f ca="1">IFERROR(__xludf.DUMMYFUNCTION("""COMPUTED_VALUE"""),"B")</f>
        <v>B</v>
      </c>
      <c r="E1931" s="118" t="str">
        <f ca="1">IFERROR(__xludf.DUMMYFUNCTION("""COMPUTED_VALUE"""),"J")</f>
        <v>J</v>
      </c>
      <c r="F1931" s="124" t="str">
        <f ca="1">IFERROR(__xludf.DUMMYFUNCTION("""COMPUTED_VALUE"""),"I")</f>
        <v>I</v>
      </c>
      <c r="G1931" s="124">
        <f ca="1">IFERROR(__xludf.DUMMYFUNCTION("""COMPUTED_VALUE"""),8)</f>
        <v>8</v>
      </c>
      <c r="H1931" s="124" t="str">
        <f ca="1">IFERROR(__xludf.DUMMYFUNCTION("""COMPUTED_VALUE"""),"SRA")</f>
        <v>SRA</v>
      </c>
      <c r="I1931" s="124">
        <f ca="1">IFERROR(__xludf.DUMMYFUNCTION("""COMPUTED_VALUE"""),7)</f>
        <v>7</v>
      </c>
      <c r="J1931" s="124">
        <f ca="1">IFERROR(__xludf.DUMMYFUNCTION("""COMPUTED_VALUE"""),0)</f>
        <v>0</v>
      </c>
      <c r="K1931" s="125"/>
      <c r="L1931" s="121"/>
      <c r="M1931" s="125"/>
      <c r="N1931" s="121"/>
      <c r="O1931" s="125"/>
      <c r="P1931" s="126"/>
      <c r="Q1931" s="127"/>
      <c r="R1931" s="127"/>
      <c r="S1931" s="127"/>
      <c r="T1931" s="127"/>
    </row>
    <row r="1932" spans="1:20" ht="13.8">
      <c r="A1932" s="118" t="str">
        <f ca="1">IFERROR(__xludf.DUMMYFUNCTION("""COMPUTED_VALUE"""),"SRA")</f>
        <v>SRA</v>
      </c>
      <c r="B1932" s="119" t="str">
        <f ca="1">IFERROR(__xludf.DUMMYFUNCTION("""COMPUTED_VALUE"""),"Seth Ventura")</f>
        <v>Seth Ventura</v>
      </c>
      <c r="C1932" s="118">
        <f ca="1">IFERROR(__xludf.DUMMYFUNCTION("""COMPUTED_VALUE"""),12)</f>
        <v>12</v>
      </c>
      <c r="D1932" s="118" t="str">
        <f ca="1">IFERROR(__xludf.DUMMYFUNCTION("""COMPUTED_VALUE"""),"B")</f>
        <v>B</v>
      </c>
      <c r="E1932" s="118" t="str">
        <f ca="1">IFERROR(__xludf.DUMMYFUNCTION("""COMPUTED_VALUE"""),"J")</f>
        <v>J</v>
      </c>
      <c r="F1932" s="124" t="str">
        <f ca="1">IFERROR(__xludf.DUMMYFUNCTION("""COMPUTED_VALUE"""),"I")</f>
        <v>I</v>
      </c>
      <c r="G1932" s="124">
        <f ca="1">IFERROR(__xludf.DUMMYFUNCTION("""COMPUTED_VALUE"""),8)</f>
        <v>8</v>
      </c>
      <c r="H1932" s="124" t="str">
        <f ca="1">IFERROR(__xludf.DUMMYFUNCTION("""COMPUTED_VALUE"""),"SRA")</f>
        <v>SRA</v>
      </c>
      <c r="I1932" s="124">
        <f ca="1">IFERROR(__xludf.DUMMYFUNCTION("""COMPUTED_VALUE"""),7)</f>
        <v>7</v>
      </c>
      <c r="J1932" s="124">
        <f ca="1">IFERROR(__xludf.DUMMYFUNCTION("""COMPUTED_VALUE"""),0)</f>
        <v>0</v>
      </c>
      <c r="K1932" s="125"/>
      <c r="L1932" s="121"/>
      <c r="M1932" s="125"/>
      <c r="N1932" s="121"/>
      <c r="O1932" s="125"/>
      <c r="P1932" s="126"/>
      <c r="Q1932" s="127"/>
      <c r="R1932" s="127"/>
      <c r="S1932" s="127"/>
      <c r="T1932" s="127"/>
    </row>
    <row r="1933" spans="1:20" ht="13.8">
      <c r="A1933" s="118" t="str">
        <f ca="1">IFERROR(__xludf.DUMMYFUNCTION("""COMPUTED_VALUE"""),"SRA")</f>
        <v>SRA</v>
      </c>
      <c r="B1933" s="119" t="str">
        <f ca="1">IFERROR(__xludf.DUMMYFUNCTION("""COMPUTED_VALUE"""),"Magdalena Burke")</f>
        <v>Magdalena Burke</v>
      </c>
      <c r="C1933" s="118">
        <f ca="1">IFERROR(__xludf.DUMMYFUNCTION("""COMPUTED_VALUE"""),14)</f>
        <v>14</v>
      </c>
      <c r="D1933" s="118" t="str">
        <f ca="1">IFERROR(__xludf.DUMMYFUNCTION("""COMPUTED_VALUE"""),"G")</f>
        <v>G</v>
      </c>
      <c r="E1933" s="118" t="str">
        <f ca="1">IFERROR(__xludf.DUMMYFUNCTION("""COMPUTED_VALUE"""),"I")</f>
        <v>I</v>
      </c>
      <c r="F1933" s="124" t="str">
        <f ca="1">IFERROR(__xludf.DUMMYFUNCTION("""COMPUTED_VALUE"""),"S")</f>
        <v>S</v>
      </c>
      <c r="G1933" s="124">
        <f ca="1">IFERROR(__xludf.DUMMYFUNCTION("""COMPUTED_VALUE"""),8)</f>
        <v>8</v>
      </c>
      <c r="H1933" s="124" t="str">
        <f ca="1">IFERROR(__xludf.DUMMYFUNCTION("""COMPUTED_VALUE"""),"SRA")</f>
        <v>SRA</v>
      </c>
      <c r="I1933" s="124">
        <f ca="1">IFERROR(__xludf.DUMMYFUNCTION("""COMPUTED_VALUE"""),8)</f>
        <v>8</v>
      </c>
      <c r="J1933" s="124">
        <f ca="1">IFERROR(__xludf.DUMMYFUNCTION("""COMPUTED_VALUE"""),1)</f>
        <v>1</v>
      </c>
      <c r="K1933" s="125">
        <f ca="1">IFERROR(__xludf.DUMMYFUNCTION("""COMPUTED_VALUE"""),112.05)</f>
        <v>112.05</v>
      </c>
      <c r="L1933" s="121"/>
      <c r="M1933" s="125"/>
      <c r="N1933" s="121"/>
      <c r="O1933" s="125"/>
      <c r="P1933" s="126"/>
      <c r="Q1933" s="127"/>
      <c r="R1933" s="127"/>
      <c r="S1933" s="127"/>
      <c r="T1933" s="127"/>
    </row>
    <row r="1934" spans="1:20" ht="13.8">
      <c r="A1934" s="118" t="str">
        <f ca="1">IFERROR(__xludf.DUMMYFUNCTION("""COMPUTED_VALUE"""),"SRA")</f>
        <v>SRA</v>
      </c>
      <c r="B1934" s="119" t="str">
        <f ca="1">IFERROR(__xludf.DUMMYFUNCTION("""COMPUTED_VALUE"""),"Reagan Goodale")</f>
        <v>Reagan Goodale</v>
      </c>
      <c r="C1934" s="118">
        <f ca="1">IFERROR(__xludf.DUMMYFUNCTION("""COMPUTED_VALUE"""),13)</f>
        <v>13</v>
      </c>
      <c r="D1934" s="118" t="str">
        <f ca="1">IFERROR(__xludf.DUMMYFUNCTION("""COMPUTED_VALUE"""),"G")</f>
        <v>G</v>
      </c>
      <c r="E1934" s="118" t="str">
        <f ca="1">IFERROR(__xludf.DUMMYFUNCTION("""COMPUTED_VALUE"""),"I")</f>
        <v>I</v>
      </c>
      <c r="F1934" s="124" t="str">
        <f ca="1">IFERROR(__xludf.DUMMYFUNCTION("""COMPUTED_VALUE"""),"S")</f>
        <v>S</v>
      </c>
      <c r="G1934" s="124">
        <f ca="1">IFERROR(__xludf.DUMMYFUNCTION("""COMPUTED_VALUE"""),8)</f>
        <v>8</v>
      </c>
      <c r="H1934" s="124" t="str">
        <f ca="1">IFERROR(__xludf.DUMMYFUNCTION("""COMPUTED_VALUE"""),"SRA")</f>
        <v>SRA</v>
      </c>
      <c r="I1934" s="124">
        <f ca="1">IFERROR(__xludf.DUMMYFUNCTION("""COMPUTED_VALUE"""),8)</f>
        <v>8</v>
      </c>
      <c r="J1934" s="124">
        <f ca="1">IFERROR(__xludf.DUMMYFUNCTION("""COMPUTED_VALUE"""),4)</f>
        <v>4</v>
      </c>
      <c r="K1934" s="125">
        <f ca="1">IFERROR(__xludf.DUMMYFUNCTION("""COMPUTED_VALUE"""),92.9)</f>
        <v>92.9</v>
      </c>
      <c r="L1934" s="121"/>
      <c r="M1934" s="125"/>
      <c r="N1934" s="121"/>
      <c r="O1934" s="125">
        <f ca="1">IFERROR(__xludf.DUMMYFUNCTION("""COMPUTED_VALUE"""),86.95)</f>
        <v>86.95</v>
      </c>
      <c r="P1934" s="126"/>
      <c r="Q1934" s="127"/>
      <c r="R1934" s="127"/>
      <c r="S1934" s="127"/>
      <c r="T1934" s="127"/>
    </row>
    <row r="1935" spans="1:20" ht="13.8">
      <c r="A1935" s="118" t="str">
        <f ca="1">IFERROR(__xludf.DUMMYFUNCTION("""COMPUTED_VALUE"""),"SRA")</f>
        <v>SRA</v>
      </c>
      <c r="B1935" s="119" t="str">
        <f ca="1">IFERROR(__xludf.DUMMYFUNCTION("""COMPUTED_VALUE"""),"JJ Froemke")</f>
        <v>JJ Froemke</v>
      </c>
      <c r="C1935" s="118">
        <f ca="1">IFERROR(__xludf.DUMMYFUNCTION("""COMPUTED_VALUE"""),13)</f>
        <v>13</v>
      </c>
      <c r="D1935" s="118" t="str">
        <f ca="1">IFERROR(__xludf.DUMMYFUNCTION("""COMPUTED_VALUE"""),"B")</f>
        <v>B</v>
      </c>
      <c r="E1935" s="118" t="str">
        <f ca="1">IFERROR(__xludf.DUMMYFUNCTION("""COMPUTED_VALUE"""),"I")</f>
        <v>I</v>
      </c>
      <c r="F1935" s="124" t="str">
        <f ca="1">IFERROR(__xludf.DUMMYFUNCTION("""COMPUTED_VALUE"""),"S")</f>
        <v>S</v>
      </c>
      <c r="G1935" s="124">
        <f ca="1">IFERROR(__xludf.DUMMYFUNCTION("""COMPUTED_VALUE"""),8)</f>
        <v>8</v>
      </c>
      <c r="H1935" s="124" t="str">
        <f ca="1">IFERROR(__xludf.DUMMYFUNCTION("""COMPUTED_VALUE"""),"SRA")</f>
        <v>SRA</v>
      </c>
      <c r="I1935" s="124">
        <f ca="1">IFERROR(__xludf.DUMMYFUNCTION("""COMPUTED_VALUE"""),9)</f>
        <v>9</v>
      </c>
      <c r="J1935" s="124">
        <f ca="1">IFERROR(__xludf.DUMMYFUNCTION("""COMPUTED_VALUE"""),2)</f>
        <v>2</v>
      </c>
      <c r="K1935" s="125">
        <f ca="1">IFERROR(__xludf.DUMMYFUNCTION("""COMPUTED_VALUE"""),73.05)</f>
        <v>73.05</v>
      </c>
      <c r="L1935" s="121"/>
      <c r="M1935" s="125">
        <f ca="1">IFERROR(__xludf.DUMMYFUNCTION("""COMPUTED_VALUE"""),73.05)</f>
        <v>73.05</v>
      </c>
      <c r="N1935" s="121"/>
      <c r="O1935" s="125"/>
      <c r="P1935" s="126"/>
      <c r="Q1935" s="127"/>
      <c r="R1935" s="127"/>
      <c r="S1935" s="127"/>
      <c r="T1935" s="127"/>
    </row>
    <row r="1936" spans="1:20" ht="13.8">
      <c r="A1936" s="118" t="str">
        <f ca="1">IFERROR(__xludf.DUMMYFUNCTION("""COMPUTED_VALUE"""),"SRA")</f>
        <v>SRA</v>
      </c>
      <c r="B1936" s="119" t="str">
        <f ca="1">IFERROR(__xludf.DUMMYFUNCTION("""COMPUTED_VALUE"""),"Matteo Fazio")</f>
        <v>Matteo Fazio</v>
      </c>
      <c r="C1936" s="118">
        <f ca="1">IFERROR(__xludf.DUMMYFUNCTION("""COMPUTED_VALUE"""),13)</f>
        <v>13</v>
      </c>
      <c r="D1936" s="118" t="str">
        <f ca="1">IFERROR(__xludf.DUMMYFUNCTION("""COMPUTED_VALUE"""),"B")</f>
        <v>B</v>
      </c>
      <c r="E1936" s="118" t="str">
        <f ca="1">IFERROR(__xludf.DUMMYFUNCTION("""COMPUTED_VALUE"""),"I")</f>
        <v>I</v>
      </c>
      <c r="F1936" s="124" t="str">
        <f ca="1">IFERROR(__xludf.DUMMYFUNCTION("""COMPUTED_VALUE"""),"S")</f>
        <v>S</v>
      </c>
      <c r="G1936" s="124">
        <f ca="1">IFERROR(__xludf.DUMMYFUNCTION("""COMPUTED_VALUE"""),8)</f>
        <v>8</v>
      </c>
      <c r="H1936" s="124" t="str">
        <f ca="1">IFERROR(__xludf.DUMMYFUNCTION("""COMPUTED_VALUE"""),"SRA")</f>
        <v>SRA</v>
      </c>
      <c r="I1936" s="124">
        <f ca="1">IFERROR(__xludf.DUMMYFUNCTION("""COMPUTED_VALUE"""),9)</f>
        <v>9</v>
      </c>
      <c r="J1936" s="124">
        <f ca="1">IFERROR(__xludf.DUMMYFUNCTION("""COMPUTED_VALUE"""),4)</f>
        <v>4</v>
      </c>
      <c r="K1936" s="125">
        <f ca="1">IFERROR(__xludf.DUMMYFUNCTION("""COMPUTED_VALUE"""),94.65)</f>
        <v>94.65</v>
      </c>
      <c r="L1936" s="121"/>
      <c r="M1936" s="125">
        <f ca="1">IFERROR(__xludf.DUMMYFUNCTION("""COMPUTED_VALUE"""),86.75)</f>
        <v>86.75</v>
      </c>
      <c r="N1936" s="121"/>
      <c r="O1936" s="125">
        <f ca="1">IFERROR(__xludf.DUMMYFUNCTION("""COMPUTED_VALUE"""),71.1)</f>
        <v>71.099999999999994</v>
      </c>
      <c r="P1936" s="126"/>
      <c r="Q1936" s="127"/>
      <c r="R1936" s="127"/>
      <c r="S1936" s="127"/>
      <c r="T1936" s="127"/>
    </row>
    <row r="1937" spans="1:20" ht="13.8">
      <c r="A1937" s="118" t="str">
        <f ca="1">IFERROR(__xludf.DUMMYFUNCTION("""COMPUTED_VALUE"""),"SRA")</f>
        <v>SRA</v>
      </c>
      <c r="B1937" s="119" t="str">
        <f ca="1">IFERROR(__xludf.DUMMYFUNCTION("""COMPUTED_VALUE"""),"Tommy Ventimiglia")</f>
        <v>Tommy Ventimiglia</v>
      </c>
      <c r="C1937" s="118">
        <f ca="1">IFERROR(__xludf.DUMMYFUNCTION("""COMPUTED_VALUE"""),13)</f>
        <v>13</v>
      </c>
      <c r="D1937" s="118" t="str">
        <f ca="1">IFERROR(__xludf.DUMMYFUNCTION("""COMPUTED_VALUE"""),"B")</f>
        <v>B</v>
      </c>
      <c r="E1937" s="118" t="str">
        <f ca="1">IFERROR(__xludf.DUMMYFUNCTION("""COMPUTED_VALUE"""),"I")</f>
        <v>I</v>
      </c>
      <c r="F1937" s="124" t="str">
        <f ca="1">IFERROR(__xludf.DUMMYFUNCTION("""COMPUTED_VALUE"""),"S")</f>
        <v>S</v>
      </c>
      <c r="G1937" s="124">
        <f ca="1">IFERROR(__xludf.DUMMYFUNCTION("""COMPUTED_VALUE"""),8)</f>
        <v>8</v>
      </c>
      <c r="H1937" s="124" t="str">
        <f ca="1">IFERROR(__xludf.DUMMYFUNCTION("""COMPUTED_VALUE"""),"SRA")</f>
        <v>SRA</v>
      </c>
      <c r="I1937" s="124">
        <f ca="1">IFERROR(__xludf.DUMMYFUNCTION("""COMPUTED_VALUE"""),9)</f>
        <v>9</v>
      </c>
      <c r="J1937" s="124">
        <f ca="1">IFERROR(__xludf.DUMMYFUNCTION("""COMPUTED_VALUE"""),0)</f>
        <v>0</v>
      </c>
      <c r="K1937" s="125"/>
      <c r="L1937" s="121"/>
      <c r="M1937" s="125"/>
      <c r="N1937" s="121"/>
      <c r="O1937" s="125"/>
      <c r="P1937" s="126"/>
      <c r="Q1937" s="127"/>
      <c r="R1937" s="127"/>
      <c r="S1937" s="127"/>
      <c r="T1937" s="127"/>
    </row>
    <row r="1938" spans="1:20" ht="13.8">
      <c r="A1938" s="118" t="str">
        <f ca="1">IFERROR(__xludf.DUMMYFUNCTION("""COMPUTED_VALUE"""),"SRA")</f>
        <v>SRA</v>
      </c>
      <c r="B1938" s="119" t="str">
        <f ca="1">IFERROR(__xludf.DUMMYFUNCTION("""COMPUTED_VALUE"""),"William Foote")</f>
        <v>William Foote</v>
      </c>
      <c r="C1938" s="118">
        <f ca="1">IFERROR(__xludf.DUMMYFUNCTION("""COMPUTED_VALUE"""),13)</f>
        <v>13</v>
      </c>
      <c r="D1938" s="118" t="str">
        <f ca="1">IFERROR(__xludf.DUMMYFUNCTION("""COMPUTED_VALUE"""),"B")</f>
        <v>B</v>
      </c>
      <c r="E1938" s="118" t="str">
        <f ca="1">IFERROR(__xludf.DUMMYFUNCTION("""COMPUTED_VALUE"""),"I")</f>
        <v>I</v>
      </c>
      <c r="F1938" s="124" t="str">
        <f ca="1">IFERROR(__xludf.DUMMYFUNCTION("""COMPUTED_VALUE"""),"S")</f>
        <v>S</v>
      </c>
      <c r="G1938" s="124">
        <f ca="1">IFERROR(__xludf.DUMMYFUNCTION("""COMPUTED_VALUE"""),8)</f>
        <v>8</v>
      </c>
      <c r="H1938" s="124" t="str">
        <f ca="1">IFERROR(__xludf.DUMMYFUNCTION("""COMPUTED_VALUE"""),"SRA")</f>
        <v>SRA</v>
      </c>
      <c r="I1938" s="124">
        <f ca="1">IFERROR(__xludf.DUMMYFUNCTION("""COMPUTED_VALUE"""),9)</f>
        <v>9</v>
      </c>
      <c r="J1938" s="124">
        <f ca="1">IFERROR(__xludf.DUMMYFUNCTION("""COMPUTED_VALUE"""),0)</f>
        <v>0</v>
      </c>
      <c r="K1938" s="125"/>
      <c r="L1938" s="121"/>
      <c r="M1938" s="125"/>
      <c r="N1938" s="121"/>
      <c r="O1938" s="125"/>
      <c r="P1938" s="126"/>
      <c r="Q1938" s="127"/>
      <c r="R1938" s="127"/>
      <c r="S1938" s="127"/>
      <c r="T1938" s="127"/>
    </row>
    <row r="1939" spans="1:20" ht="13.8">
      <c r="A1939" s="118" t="str">
        <f ca="1">IFERROR(__xludf.DUMMYFUNCTION("""COMPUTED_VALUE"""),"SRA")</f>
        <v>SRA</v>
      </c>
      <c r="B1939" s="119" t="str">
        <f ca="1">IFERROR(__xludf.DUMMYFUNCTION("""COMPUTED_VALUE"""),"Zachary Kearney")</f>
        <v>Zachary Kearney</v>
      </c>
      <c r="C1939" s="118">
        <f ca="1">IFERROR(__xludf.DUMMYFUNCTION("""COMPUTED_VALUE"""),13)</f>
        <v>13</v>
      </c>
      <c r="D1939" s="118" t="str">
        <f ca="1">IFERROR(__xludf.DUMMYFUNCTION("""COMPUTED_VALUE"""),"B")</f>
        <v>B</v>
      </c>
      <c r="E1939" s="118" t="str">
        <f ca="1">IFERROR(__xludf.DUMMYFUNCTION("""COMPUTED_VALUE"""),"I")</f>
        <v>I</v>
      </c>
      <c r="F1939" s="124" t="str">
        <f ca="1">IFERROR(__xludf.DUMMYFUNCTION("""COMPUTED_VALUE"""),"S")</f>
        <v>S</v>
      </c>
      <c r="G1939" s="124">
        <f ca="1">IFERROR(__xludf.DUMMYFUNCTION("""COMPUTED_VALUE"""),8)</f>
        <v>8</v>
      </c>
      <c r="H1939" s="124" t="str">
        <f ca="1">IFERROR(__xludf.DUMMYFUNCTION("""COMPUTED_VALUE"""),"SRA")</f>
        <v>SRA</v>
      </c>
      <c r="I1939" s="124">
        <f ca="1">IFERROR(__xludf.DUMMYFUNCTION("""COMPUTED_VALUE"""),9)</f>
        <v>9</v>
      </c>
      <c r="J1939" s="124">
        <f ca="1">IFERROR(__xludf.DUMMYFUNCTION("""COMPUTED_VALUE"""),1)</f>
        <v>1</v>
      </c>
      <c r="K1939" s="125">
        <f ca="1">IFERROR(__xludf.DUMMYFUNCTION("""COMPUTED_VALUE"""),67.3)</f>
        <v>67.3</v>
      </c>
      <c r="L1939" s="121"/>
      <c r="M1939" s="125">
        <f ca="1">IFERROR(__xludf.DUMMYFUNCTION("""COMPUTED_VALUE"""),67.3)</f>
        <v>67.3</v>
      </c>
      <c r="N1939" s="121"/>
      <c r="O1939" s="125"/>
      <c r="P1939" s="126"/>
      <c r="Q1939" s="127"/>
      <c r="R1939" s="127"/>
      <c r="S1939" s="127"/>
      <c r="T1939" s="127"/>
    </row>
    <row r="1940" spans="1:20" ht="13.8">
      <c r="A1940" s="118" t="str">
        <f ca="1">IFERROR(__xludf.DUMMYFUNCTION("""COMPUTED_VALUE"""),"SRA")</f>
        <v>SRA</v>
      </c>
      <c r="B1940" s="119" t="str">
        <f ca="1">IFERROR(__xludf.DUMMYFUNCTION("""COMPUTED_VALUE"""),"Deborah Burke")</f>
        <v>Deborah Burke</v>
      </c>
      <c r="C1940" s="118">
        <f ca="1">IFERROR(__xludf.DUMMYFUNCTION("""COMPUTED_VALUE"""),15)</f>
        <v>15</v>
      </c>
      <c r="D1940" s="118" t="str">
        <f ca="1">IFERROR(__xludf.DUMMYFUNCTION("""COMPUTED_VALUE"""),"G")</f>
        <v>G</v>
      </c>
      <c r="E1940" s="118" t="str">
        <f ca="1">IFERROR(__xludf.DUMMYFUNCTION("""COMPUTED_VALUE"""),"S")</f>
        <v>S</v>
      </c>
      <c r="F1940" s="124" t="str">
        <f ca="1">IFERROR(__xludf.DUMMYFUNCTION("""COMPUTED_VALUE"""),"S")</f>
        <v>S</v>
      </c>
      <c r="G1940" s="124">
        <f ca="1">IFERROR(__xludf.DUMMYFUNCTION("""COMPUTED_VALUE"""),8)</f>
        <v>8</v>
      </c>
      <c r="H1940" s="124" t="str">
        <f ca="1">IFERROR(__xludf.DUMMYFUNCTION("""COMPUTED_VALUE"""),"SRA")</f>
        <v>SRA</v>
      </c>
      <c r="I1940" s="124">
        <f ca="1">IFERROR(__xludf.DUMMYFUNCTION("""COMPUTED_VALUE"""),10)</f>
        <v>10</v>
      </c>
      <c r="J1940" s="124">
        <f ca="1">IFERROR(__xludf.DUMMYFUNCTION("""COMPUTED_VALUE"""),2)</f>
        <v>2</v>
      </c>
      <c r="K1940" s="125">
        <f ca="1">IFERROR(__xludf.DUMMYFUNCTION("""COMPUTED_VALUE"""),160.85)</f>
        <v>160.85</v>
      </c>
      <c r="L1940" s="121"/>
      <c r="M1940" s="125"/>
      <c r="N1940" s="121"/>
      <c r="O1940" s="125"/>
      <c r="P1940" s="126"/>
      <c r="Q1940" s="127"/>
      <c r="R1940" s="127"/>
      <c r="S1940" s="127"/>
      <c r="T1940" s="127"/>
    </row>
    <row r="1941" spans="1:20" ht="13.8">
      <c r="A1941" s="118" t="str">
        <f ca="1">IFERROR(__xludf.DUMMYFUNCTION("""COMPUTED_VALUE"""),"SRA")</f>
        <v>SRA</v>
      </c>
      <c r="B1941" s="119" t="str">
        <f ca="1">IFERROR(__xludf.DUMMYFUNCTION("""COMPUTED_VALUE"""),"Sophia Ary")</f>
        <v>Sophia Ary</v>
      </c>
      <c r="C1941" s="118">
        <f ca="1">IFERROR(__xludf.DUMMYFUNCTION("""COMPUTED_VALUE"""),15)</f>
        <v>15</v>
      </c>
      <c r="D1941" s="118" t="str">
        <f ca="1">IFERROR(__xludf.DUMMYFUNCTION("""COMPUTED_VALUE"""),"G")</f>
        <v>G</v>
      </c>
      <c r="E1941" s="118" t="str">
        <f ca="1">IFERROR(__xludf.DUMMYFUNCTION("""COMPUTED_VALUE"""),"S")</f>
        <v>S</v>
      </c>
      <c r="F1941" s="124" t="str">
        <f ca="1">IFERROR(__xludf.DUMMYFUNCTION("""COMPUTED_VALUE"""),"S")</f>
        <v>S</v>
      </c>
      <c r="G1941" s="124">
        <f ca="1">IFERROR(__xludf.DUMMYFUNCTION("""COMPUTED_VALUE"""),8)</f>
        <v>8</v>
      </c>
      <c r="H1941" s="124" t="str">
        <f ca="1">IFERROR(__xludf.DUMMYFUNCTION("""COMPUTED_VALUE"""),"SRA")</f>
        <v>SRA</v>
      </c>
      <c r="I1941" s="124">
        <f ca="1">IFERROR(__xludf.DUMMYFUNCTION("""COMPUTED_VALUE"""),10)</f>
        <v>10</v>
      </c>
      <c r="J1941" s="124">
        <f ca="1">IFERROR(__xludf.DUMMYFUNCTION("""COMPUTED_VALUE"""),1)</f>
        <v>1</v>
      </c>
      <c r="K1941" s="125"/>
      <c r="L1941" s="121"/>
      <c r="M1941" s="125"/>
      <c r="N1941" s="121"/>
      <c r="O1941" s="125"/>
      <c r="P1941" s="126"/>
      <c r="Q1941" s="127"/>
      <c r="R1941" s="127"/>
      <c r="S1941" s="127"/>
      <c r="T1941" s="127"/>
    </row>
    <row r="1942" spans="1:20" ht="13.8">
      <c r="A1942" s="118" t="str">
        <f ca="1">IFERROR(__xludf.DUMMYFUNCTION("""COMPUTED_VALUE"""),"SRA")</f>
        <v>SRA</v>
      </c>
      <c r="B1942" s="119" t="str">
        <f ca="1">IFERROR(__xludf.DUMMYFUNCTION("""COMPUTED_VALUE"""),"Ace Argentieri")</f>
        <v>Ace Argentieri</v>
      </c>
      <c r="C1942" s="118">
        <f ca="1">IFERROR(__xludf.DUMMYFUNCTION("""COMPUTED_VALUE"""),15)</f>
        <v>15</v>
      </c>
      <c r="D1942" s="118" t="str">
        <f ca="1">IFERROR(__xludf.DUMMYFUNCTION("""COMPUTED_VALUE"""),"B")</f>
        <v>B</v>
      </c>
      <c r="E1942" s="118" t="str">
        <f ca="1">IFERROR(__xludf.DUMMYFUNCTION("""COMPUTED_VALUE"""),"S")</f>
        <v>S</v>
      </c>
      <c r="F1942" s="124" t="str">
        <f ca="1">IFERROR(__xludf.DUMMYFUNCTION("""COMPUTED_VALUE"""),"S")</f>
        <v>S</v>
      </c>
      <c r="G1942" s="124">
        <f ca="1">IFERROR(__xludf.DUMMYFUNCTION("""COMPUTED_VALUE"""),8)</f>
        <v>8</v>
      </c>
      <c r="H1942" s="124" t="str">
        <f ca="1">IFERROR(__xludf.DUMMYFUNCTION("""COMPUTED_VALUE"""),"SRA")</f>
        <v>SRA</v>
      </c>
      <c r="I1942" s="124">
        <f ca="1">IFERROR(__xludf.DUMMYFUNCTION("""COMPUTED_VALUE"""),11)</f>
        <v>11</v>
      </c>
      <c r="J1942" s="124">
        <f ca="1">IFERROR(__xludf.DUMMYFUNCTION("""COMPUTED_VALUE"""),3)</f>
        <v>3</v>
      </c>
      <c r="K1942" s="125">
        <f ca="1">IFERROR(__xludf.DUMMYFUNCTION("""COMPUTED_VALUE"""),123.65)</f>
        <v>123.65</v>
      </c>
      <c r="L1942" s="121"/>
      <c r="M1942" s="125">
        <f ca="1">IFERROR(__xludf.DUMMYFUNCTION("""COMPUTED_VALUE"""),96.55)</f>
        <v>96.55</v>
      </c>
      <c r="N1942" s="121"/>
      <c r="O1942" s="125">
        <f ca="1">IFERROR(__xludf.DUMMYFUNCTION("""COMPUTED_VALUE"""),107.15)</f>
        <v>107.15</v>
      </c>
      <c r="P1942" s="126"/>
      <c r="Q1942" s="127"/>
      <c r="R1942" s="127"/>
      <c r="S1942" s="127"/>
      <c r="T1942" s="127"/>
    </row>
    <row r="1943" spans="1:20" ht="13.8">
      <c r="A1943" s="118" t="str">
        <f ca="1">IFERROR(__xludf.DUMMYFUNCTION("""COMPUTED_VALUE"""),"SRA")</f>
        <v>SRA</v>
      </c>
      <c r="B1943" s="119" t="str">
        <f ca="1">IFERROR(__xludf.DUMMYFUNCTION("""COMPUTED_VALUE"""),"Ryan Calligaro")</f>
        <v>Ryan Calligaro</v>
      </c>
      <c r="C1943" s="118">
        <f ca="1">IFERROR(__xludf.DUMMYFUNCTION("""COMPUTED_VALUE"""),16)</f>
        <v>16</v>
      </c>
      <c r="D1943" s="118" t="str">
        <f ca="1">IFERROR(__xludf.DUMMYFUNCTION("""COMPUTED_VALUE"""),"B")</f>
        <v>B</v>
      </c>
      <c r="E1943" s="118" t="str">
        <f ca="1">IFERROR(__xludf.DUMMYFUNCTION("""COMPUTED_VALUE"""),"S")</f>
        <v>S</v>
      </c>
      <c r="F1943" s="124" t="str">
        <f ca="1">IFERROR(__xludf.DUMMYFUNCTION("""COMPUTED_VALUE"""),"S")</f>
        <v>S</v>
      </c>
      <c r="G1943" s="124">
        <f ca="1">IFERROR(__xludf.DUMMYFUNCTION("""COMPUTED_VALUE"""),8)</f>
        <v>8</v>
      </c>
      <c r="H1943" s="124" t="str">
        <f ca="1">IFERROR(__xludf.DUMMYFUNCTION("""COMPUTED_VALUE"""),"SRA")</f>
        <v>SRA</v>
      </c>
      <c r="I1943" s="124">
        <f ca="1">IFERROR(__xludf.DUMMYFUNCTION("""COMPUTED_VALUE"""),11)</f>
        <v>11</v>
      </c>
      <c r="J1943" s="124">
        <f ca="1">IFERROR(__xludf.DUMMYFUNCTION("""COMPUTED_VALUE"""),4)</f>
        <v>4</v>
      </c>
      <c r="K1943" s="125">
        <f ca="1">IFERROR(__xludf.DUMMYFUNCTION("""COMPUTED_VALUE"""),180)</f>
        <v>180</v>
      </c>
      <c r="L1943" s="121"/>
      <c r="M1943" s="125"/>
      <c r="N1943" s="121"/>
      <c r="O1943" s="125">
        <f ca="1">IFERROR(__xludf.DUMMYFUNCTION("""COMPUTED_VALUE"""),179.9)</f>
        <v>179.9</v>
      </c>
      <c r="P1943" s="126"/>
      <c r="Q1943" s="127"/>
      <c r="R1943" s="127"/>
      <c r="S1943" s="127"/>
      <c r="T1943" s="127"/>
    </row>
    <row r="1944" spans="1:20" ht="13.8">
      <c r="A1944" s="118" t="str">
        <f ca="1">IFERROR(__xludf.DUMMYFUNCTION("""COMPUTED_VALUE"""),"T")</f>
        <v>T</v>
      </c>
      <c r="B1944" s="119" t="str">
        <f ca="1">IFERROR(__xludf.DUMMYFUNCTION("""COMPUTED_VALUE"""),"Abi Bassler")</f>
        <v>Abi Bassler</v>
      </c>
      <c r="C1944" s="118">
        <f ca="1">IFERROR(__xludf.DUMMYFUNCTION("""COMPUTED_VALUE"""),6)</f>
        <v>6</v>
      </c>
      <c r="D1944" s="118" t="str">
        <f ca="1">IFERROR(__xludf.DUMMYFUNCTION("""COMPUTED_VALUE"""),"G")</f>
        <v>G</v>
      </c>
      <c r="E1944" s="118" t="str">
        <f ca="1">IFERROR(__xludf.DUMMYFUNCTION("""COMPUTED_VALUE"""),"F")</f>
        <v>F</v>
      </c>
      <c r="F1944" s="124" t="str">
        <f ca="1">IFERROR(__xludf.DUMMYFUNCTION("""COMPUTED_VALUE"""),"J")</f>
        <v>J</v>
      </c>
      <c r="G1944" s="124">
        <f ca="1">IFERROR(__xludf.DUMMYFUNCTION("""COMPUTED_VALUE"""),6)</f>
        <v>6</v>
      </c>
      <c r="H1944" s="124" t="str">
        <f ca="1">IFERROR(__xludf.DUMMYFUNCTION("""COMPUTED_VALUE"""),"T")</f>
        <v>T</v>
      </c>
      <c r="I1944" s="124">
        <f ca="1">IFERROR(__xludf.DUMMYFUNCTION("""COMPUTED_VALUE"""),4)</f>
        <v>4</v>
      </c>
      <c r="J1944" s="124">
        <f ca="1">IFERROR(__xludf.DUMMYFUNCTION("""COMPUTED_VALUE"""),0)</f>
        <v>0</v>
      </c>
      <c r="K1944" s="125"/>
      <c r="L1944" s="121"/>
      <c r="M1944" s="125"/>
      <c r="N1944" s="121"/>
      <c r="O1944" s="125"/>
      <c r="P1944" s="126"/>
      <c r="Q1944" s="127"/>
      <c r="R1944" s="127"/>
      <c r="S1944" s="127"/>
      <c r="T1944" s="127"/>
    </row>
    <row r="1945" spans="1:20" ht="13.8">
      <c r="A1945" s="118" t="str">
        <f ca="1">IFERROR(__xludf.DUMMYFUNCTION("""COMPUTED_VALUE"""),"T")</f>
        <v>T</v>
      </c>
      <c r="B1945" s="119" t="str">
        <f ca="1">IFERROR(__xludf.DUMMYFUNCTION("""COMPUTED_VALUE"""),"Alexandra Kennedy")</f>
        <v>Alexandra Kennedy</v>
      </c>
      <c r="C1945" s="118">
        <f ca="1">IFERROR(__xludf.DUMMYFUNCTION("""COMPUTED_VALUE"""),10)</f>
        <v>10</v>
      </c>
      <c r="D1945" s="118" t="str">
        <f ca="1">IFERROR(__xludf.DUMMYFUNCTION("""COMPUTED_VALUE"""),"G")</f>
        <v>G</v>
      </c>
      <c r="E1945" s="118" t="str">
        <f ca="1">IFERROR(__xludf.DUMMYFUNCTION("""COMPUTED_VALUE"""),"F")</f>
        <v>F</v>
      </c>
      <c r="F1945" s="124" t="str">
        <f ca="1">IFERROR(__xludf.DUMMYFUNCTION("""COMPUTED_VALUE"""),"J")</f>
        <v>J</v>
      </c>
      <c r="G1945" s="124">
        <f ca="1">IFERROR(__xludf.DUMMYFUNCTION("""COMPUTED_VALUE"""),6)</f>
        <v>6</v>
      </c>
      <c r="H1945" s="124" t="str">
        <f ca="1">IFERROR(__xludf.DUMMYFUNCTION("""COMPUTED_VALUE"""),"T")</f>
        <v>T</v>
      </c>
      <c r="I1945" s="124">
        <f ca="1">IFERROR(__xludf.DUMMYFUNCTION("""COMPUTED_VALUE"""),4)</f>
        <v>4</v>
      </c>
      <c r="J1945" s="124">
        <f ca="1">IFERROR(__xludf.DUMMYFUNCTION("""COMPUTED_VALUE"""),1)</f>
        <v>1</v>
      </c>
      <c r="K1945" s="125">
        <f ca="1">IFERROR(__xludf.DUMMYFUNCTION("""COMPUTED_VALUE"""),32)</f>
        <v>32</v>
      </c>
      <c r="L1945" s="121"/>
      <c r="M1945" s="125">
        <f ca="1">IFERROR(__xludf.DUMMYFUNCTION("""COMPUTED_VALUE"""),32)</f>
        <v>32</v>
      </c>
      <c r="N1945" s="121"/>
      <c r="O1945" s="125"/>
      <c r="P1945" s="126"/>
      <c r="Q1945" s="127"/>
      <c r="R1945" s="127"/>
      <c r="S1945" s="127"/>
      <c r="T1945" s="127"/>
    </row>
    <row r="1946" spans="1:20" ht="13.8">
      <c r="A1946" s="118" t="str">
        <f ca="1">IFERROR(__xludf.DUMMYFUNCTION("""COMPUTED_VALUE"""),"T")</f>
        <v>T</v>
      </c>
      <c r="B1946" s="119" t="str">
        <f ca="1">IFERROR(__xludf.DUMMYFUNCTION("""COMPUTED_VALUE"""),"Avery Cash")</f>
        <v>Avery Cash</v>
      </c>
      <c r="C1946" s="118">
        <f ca="1">IFERROR(__xludf.DUMMYFUNCTION("""COMPUTED_VALUE"""),7)</f>
        <v>7</v>
      </c>
      <c r="D1946" s="118" t="str">
        <f ca="1">IFERROR(__xludf.DUMMYFUNCTION("""COMPUTED_VALUE"""),"G")</f>
        <v>G</v>
      </c>
      <c r="E1946" s="118" t="str">
        <f ca="1">IFERROR(__xludf.DUMMYFUNCTION("""COMPUTED_VALUE"""),"F")</f>
        <v>F</v>
      </c>
      <c r="F1946" s="124" t="str">
        <f ca="1">IFERROR(__xludf.DUMMYFUNCTION("""COMPUTED_VALUE"""),"J")</f>
        <v>J</v>
      </c>
      <c r="G1946" s="124">
        <f ca="1">IFERROR(__xludf.DUMMYFUNCTION("""COMPUTED_VALUE"""),6)</f>
        <v>6</v>
      </c>
      <c r="H1946" s="124" t="str">
        <f ca="1">IFERROR(__xludf.DUMMYFUNCTION("""COMPUTED_VALUE"""),"T")</f>
        <v>T</v>
      </c>
      <c r="I1946" s="124">
        <f ca="1">IFERROR(__xludf.DUMMYFUNCTION("""COMPUTED_VALUE"""),4)</f>
        <v>4</v>
      </c>
      <c r="J1946" s="124">
        <f ca="1">IFERROR(__xludf.DUMMYFUNCTION("""COMPUTED_VALUE"""),0)</f>
        <v>0</v>
      </c>
      <c r="K1946" s="125"/>
      <c r="L1946" s="121"/>
      <c r="M1946" s="125"/>
      <c r="N1946" s="121"/>
      <c r="O1946" s="125"/>
      <c r="P1946" s="126"/>
      <c r="Q1946" s="127"/>
      <c r="R1946" s="127"/>
      <c r="S1946" s="127"/>
      <c r="T1946" s="127"/>
    </row>
    <row r="1947" spans="1:20" ht="13.8">
      <c r="A1947" s="118" t="str">
        <f ca="1">IFERROR(__xludf.DUMMYFUNCTION("""COMPUTED_VALUE"""),"T")</f>
        <v>T</v>
      </c>
      <c r="B1947" s="119" t="str">
        <f ca="1">IFERROR(__xludf.DUMMYFUNCTION("""COMPUTED_VALUE"""),"Cierra Zimmermann")</f>
        <v>Cierra Zimmermann</v>
      </c>
      <c r="C1947" s="118">
        <f ca="1">IFERROR(__xludf.DUMMYFUNCTION("""COMPUTED_VALUE"""),9)</f>
        <v>9</v>
      </c>
      <c r="D1947" s="118" t="str">
        <f ca="1">IFERROR(__xludf.DUMMYFUNCTION("""COMPUTED_VALUE"""),"G")</f>
        <v>G</v>
      </c>
      <c r="E1947" s="118" t="str">
        <f ca="1">IFERROR(__xludf.DUMMYFUNCTION("""COMPUTED_VALUE"""),"F")</f>
        <v>F</v>
      </c>
      <c r="F1947" s="124" t="str">
        <f ca="1">IFERROR(__xludf.DUMMYFUNCTION("""COMPUTED_VALUE"""),"J")</f>
        <v>J</v>
      </c>
      <c r="G1947" s="124">
        <f ca="1">IFERROR(__xludf.DUMMYFUNCTION("""COMPUTED_VALUE"""),6)</f>
        <v>6</v>
      </c>
      <c r="H1947" s="124" t="str">
        <f ca="1">IFERROR(__xludf.DUMMYFUNCTION("""COMPUTED_VALUE"""),"T")</f>
        <v>T</v>
      </c>
      <c r="I1947" s="124">
        <f ca="1">IFERROR(__xludf.DUMMYFUNCTION("""COMPUTED_VALUE"""),4)</f>
        <v>4</v>
      </c>
      <c r="J1947" s="124">
        <f ca="1">IFERROR(__xludf.DUMMYFUNCTION("""COMPUTED_VALUE"""),4)</f>
        <v>4</v>
      </c>
      <c r="K1947" s="125">
        <f ca="1">IFERROR(__xludf.DUMMYFUNCTION("""COMPUTED_VALUE"""),49.5)</f>
        <v>49.5</v>
      </c>
      <c r="L1947" s="121"/>
      <c r="M1947" s="125">
        <f ca="1">IFERROR(__xludf.DUMMYFUNCTION("""COMPUTED_VALUE"""),49.5)</f>
        <v>49.5</v>
      </c>
      <c r="N1947" s="121"/>
      <c r="O1947" s="125"/>
      <c r="P1947" s="126"/>
      <c r="Q1947" s="127"/>
      <c r="R1947" s="127"/>
      <c r="S1947" s="127"/>
      <c r="T1947" s="127"/>
    </row>
    <row r="1948" spans="1:20" ht="13.8">
      <c r="A1948" s="118" t="str">
        <f ca="1">IFERROR(__xludf.DUMMYFUNCTION("""COMPUTED_VALUE"""),"T")</f>
        <v>T</v>
      </c>
      <c r="B1948" s="119" t="str">
        <f ca="1">IFERROR(__xludf.DUMMYFUNCTION("""COMPUTED_VALUE"""),"Clara Cash")</f>
        <v>Clara Cash</v>
      </c>
      <c r="C1948" s="118">
        <f ca="1">IFERROR(__xludf.DUMMYFUNCTION("""COMPUTED_VALUE"""),9)</f>
        <v>9</v>
      </c>
      <c r="D1948" s="118" t="str">
        <f ca="1">IFERROR(__xludf.DUMMYFUNCTION("""COMPUTED_VALUE"""),"G")</f>
        <v>G</v>
      </c>
      <c r="E1948" s="118" t="str">
        <f ca="1">IFERROR(__xludf.DUMMYFUNCTION("""COMPUTED_VALUE"""),"F")</f>
        <v>F</v>
      </c>
      <c r="F1948" s="124" t="str">
        <f ca="1">IFERROR(__xludf.DUMMYFUNCTION("""COMPUTED_VALUE"""),"J")</f>
        <v>J</v>
      </c>
      <c r="G1948" s="124">
        <f ca="1">IFERROR(__xludf.DUMMYFUNCTION("""COMPUTED_VALUE"""),6)</f>
        <v>6</v>
      </c>
      <c r="H1948" s="124" t="str">
        <f ca="1">IFERROR(__xludf.DUMMYFUNCTION("""COMPUTED_VALUE"""),"T")</f>
        <v>T</v>
      </c>
      <c r="I1948" s="124">
        <f ca="1">IFERROR(__xludf.DUMMYFUNCTION("""COMPUTED_VALUE"""),4)</f>
        <v>4</v>
      </c>
      <c r="J1948" s="124">
        <f ca="1">IFERROR(__xludf.DUMMYFUNCTION("""COMPUTED_VALUE"""),0)</f>
        <v>0</v>
      </c>
      <c r="K1948" s="125"/>
      <c r="L1948" s="121"/>
      <c r="M1948" s="125"/>
      <c r="N1948" s="121"/>
      <c r="O1948" s="125"/>
      <c r="P1948" s="126"/>
      <c r="Q1948" s="127"/>
      <c r="R1948" s="127"/>
      <c r="S1948" s="127"/>
      <c r="T1948" s="127"/>
    </row>
    <row r="1949" spans="1:20" ht="13.8">
      <c r="A1949" s="118" t="str">
        <f ca="1">IFERROR(__xludf.DUMMYFUNCTION("""COMPUTED_VALUE"""),"T")</f>
        <v>T</v>
      </c>
      <c r="B1949" s="119" t="str">
        <f ca="1">IFERROR(__xludf.DUMMYFUNCTION("""COMPUTED_VALUE"""),"Elizabeth Shartzer")</f>
        <v>Elizabeth Shartzer</v>
      </c>
      <c r="C1949" s="118">
        <f ca="1">IFERROR(__xludf.DUMMYFUNCTION("""COMPUTED_VALUE"""),7)</f>
        <v>7</v>
      </c>
      <c r="D1949" s="118" t="str">
        <f ca="1">IFERROR(__xludf.DUMMYFUNCTION("""COMPUTED_VALUE"""),"G")</f>
        <v>G</v>
      </c>
      <c r="E1949" s="118" t="str">
        <f ca="1">IFERROR(__xludf.DUMMYFUNCTION("""COMPUTED_VALUE"""),"F")</f>
        <v>F</v>
      </c>
      <c r="F1949" s="124" t="str">
        <f ca="1">IFERROR(__xludf.DUMMYFUNCTION("""COMPUTED_VALUE"""),"J")</f>
        <v>J</v>
      </c>
      <c r="G1949" s="124">
        <f ca="1">IFERROR(__xludf.DUMMYFUNCTION("""COMPUTED_VALUE"""),6)</f>
        <v>6</v>
      </c>
      <c r="H1949" s="124" t="str">
        <f ca="1">IFERROR(__xludf.DUMMYFUNCTION("""COMPUTED_VALUE"""),"T")</f>
        <v>T</v>
      </c>
      <c r="I1949" s="124">
        <f ca="1">IFERROR(__xludf.DUMMYFUNCTION("""COMPUTED_VALUE"""),4)</f>
        <v>4</v>
      </c>
      <c r="J1949" s="124">
        <f ca="1">IFERROR(__xludf.DUMMYFUNCTION("""COMPUTED_VALUE"""),0)</f>
        <v>0</v>
      </c>
      <c r="K1949" s="125"/>
      <c r="L1949" s="121"/>
      <c r="M1949" s="125"/>
      <c r="N1949" s="121"/>
      <c r="O1949" s="125"/>
      <c r="P1949" s="126"/>
      <c r="Q1949" s="127"/>
      <c r="R1949" s="127"/>
      <c r="S1949" s="127"/>
      <c r="T1949" s="127"/>
    </row>
    <row r="1950" spans="1:20" ht="13.8">
      <c r="A1950" s="118" t="str">
        <f ca="1">IFERROR(__xludf.DUMMYFUNCTION("""COMPUTED_VALUE"""),"T")</f>
        <v>T</v>
      </c>
      <c r="B1950" s="119" t="str">
        <f ca="1">IFERROR(__xludf.DUMMYFUNCTION("""COMPUTED_VALUE"""),"Emery Carney")</f>
        <v>Emery Carney</v>
      </c>
      <c r="C1950" s="118">
        <f ca="1">IFERROR(__xludf.DUMMYFUNCTION("""COMPUTED_VALUE"""),9)</f>
        <v>9</v>
      </c>
      <c r="D1950" s="118" t="str">
        <f ca="1">IFERROR(__xludf.DUMMYFUNCTION("""COMPUTED_VALUE"""),"G")</f>
        <v>G</v>
      </c>
      <c r="E1950" s="118" t="str">
        <f ca="1">IFERROR(__xludf.DUMMYFUNCTION("""COMPUTED_VALUE"""),"F")</f>
        <v>F</v>
      </c>
      <c r="F1950" s="124" t="str">
        <f ca="1">IFERROR(__xludf.DUMMYFUNCTION("""COMPUTED_VALUE"""),"J")</f>
        <v>J</v>
      </c>
      <c r="G1950" s="124">
        <f ca="1">IFERROR(__xludf.DUMMYFUNCTION("""COMPUTED_VALUE"""),6)</f>
        <v>6</v>
      </c>
      <c r="H1950" s="124" t="str">
        <f ca="1">IFERROR(__xludf.DUMMYFUNCTION("""COMPUTED_VALUE"""),"T")</f>
        <v>T</v>
      </c>
      <c r="I1950" s="124">
        <f ca="1">IFERROR(__xludf.DUMMYFUNCTION("""COMPUTED_VALUE"""),4)</f>
        <v>4</v>
      </c>
      <c r="J1950" s="124">
        <f ca="1">IFERROR(__xludf.DUMMYFUNCTION("""COMPUTED_VALUE"""),0)</f>
        <v>0</v>
      </c>
      <c r="K1950" s="125"/>
      <c r="L1950" s="121"/>
      <c r="M1950" s="125"/>
      <c r="N1950" s="121"/>
      <c r="O1950" s="125"/>
      <c r="P1950" s="126"/>
      <c r="Q1950" s="127"/>
      <c r="R1950" s="127"/>
      <c r="S1950" s="127"/>
      <c r="T1950" s="127"/>
    </row>
    <row r="1951" spans="1:20" ht="13.8">
      <c r="A1951" s="118" t="str">
        <f ca="1">IFERROR(__xludf.DUMMYFUNCTION("""COMPUTED_VALUE"""),"T")</f>
        <v>T</v>
      </c>
      <c r="B1951" s="119" t="str">
        <f ca="1">IFERROR(__xludf.DUMMYFUNCTION("""COMPUTED_VALUE"""),"Emily Sander")</f>
        <v>Emily Sander</v>
      </c>
      <c r="C1951" s="118">
        <f ca="1">IFERROR(__xludf.DUMMYFUNCTION("""COMPUTED_VALUE"""),10)</f>
        <v>10</v>
      </c>
      <c r="D1951" s="118" t="str">
        <f ca="1">IFERROR(__xludf.DUMMYFUNCTION("""COMPUTED_VALUE"""),"G")</f>
        <v>G</v>
      </c>
      <c r="E1951" s="118" t="str">
        <f ca="1">IFERROR(__xludf.DUMMYFUNCTION("""COMPUTED_VALUE"""),"F")</f>
        <v>F</v>
      </c>
      <c r="F1951" s="124" t="str">
        <f ca="1">IFERROR(__xludf.DUMMYFUNCTION("""COMPUTED_VALUE"""),"J")</f>
        <v>J</v>
      </c>
      <c r="G1951" s="124">
        <f ca="1">IFERROR(__xludf.DUMMYFUNCTION("""COMPUTED_VALUE"""),6)</f>
        <v>6</v>
      </c>
      <c r="H1951" s="124" t="str">
        <f ca="1">IFERROR(__xludf.DUMMYFUNCTION("""COMPUTED_VALUE"""),"T")</f>
        <v>T</v>
      </c>
      <c r="I1951" s="124">
        <f ca="1">IFERROR(__xludf.DUMMYFUNCTION("""COMPUTED_VALUE"""),4)</f>
        <v>4</v>
      </c>
      <c r="J1951" s="124">
        <f ca="1">IFERROR(__xludf.DUMMYFUNCTION("""COMPUTED_VALUE"""),0)</f>
        <v>0</v>
      </c>
      <c r="K1951" s="125"/>
      <c r="L1951" s="121"/>
      <c r="M1951" s="125"/>
      <c r="N1951" s="121"/>
      <c r="O1951" s="125"/>
      <c r="P1951" s="126"/>
      <c r="Q1951" s="127"/>
      <c r="R1951" s="127"/>
      <c r="S1951" s="127"/>
      <c r="T1951" s="127"/>
    </row>
    <row r="1952" spans="1:20" ht="13.8">
      <c r="A1952" s="118" t="str">
        <f ca="1">IFERROR(__xludf.DUMMYFUNCTION("""COMPUTED_VALUE"""),"T")</f>
        <v>T</v>
      </c>
      <c r="B1952" s="119" t="str">
        <f ca="1">IFERROR(__xludf.DUMMYFUNCTION("""COMPUTED_VALUE"""),"Gray Cotter")</f>
        <v>Gray Cotter</v>
      </c>
      <c r="C1952" s="118">
        <f ca="1">IFERROR(__xludf.DUMMYFUNCTION("""COMPUTED_VALUE"""),7)</f>
        <v>7</v>
      </c>
      <c r="D1952" s="118" t="str">
        <f ca="1">IFERROR(__xludf.DUMMYFUNCTION("""COMPUTED_VALUE"""),"G")</f>
        <v>G</v>
      </c>
      <c r="E1952" s="118" t="str">
        <f ca="1">IFERROR(__xludf.DUMMYFUNCTION("""COMPUTED_VALUE"""),"F")</f>
        <v>F</v>
      </c>
      <c r="F1952" s="124" t="str">
        <f ca="1">IFERROR(__xludf.DUMMYFUNCTION("""COMPUTED_VALUE"""),"J")</f>
        <v>J</v>
      </c>
      <c r="G1952" s="124">
        <f ca="1">IFERROR(__xludf.DUMMYFUNCTION("""COMPUTED_VALUE"""),6)</f>
        <v>6</v>
      </c>
      <c r="H1952" s="124" t="str">
        <f ca="1">IFERROR(__xludf.DUMMYFUNCTION("""COMPUTED_VALUE"""),"T")</f>
        <v>T</v>
      </c>
      <c r="I1952" s="124">
        <f ca="1">IFERROR(__xludf.DUMMYFUNCTION("""COMPUTED_VALUE"""),4)</f>
        <v>4</v>
      </c>
      <c r="J1952" s="124">
        <f ca="1">IFERROR(__xludf.DUMMYFUNCTION("""COMPUTED_VALUE"""),0)</f>
        <v>0</v>
      </c>
      <c r="K1952" s="125"/>
      <c r="L1952" s="121"/>
      <c r="M1952" s="125"/>
      <c r="N1952" s="121"/>
      <c r="O1952" s="125"/>
      <c r="P1952" s="126"/>
      <c r="Q1952" s="127"/>
      <c r="R1952" s="127"/>
      <c r="S1952" s="127"/>
      <c r="T1952" s="127"/>
    </row>
    <row r="1953" spans="1:20" ht="13.8">
      <c r="A1953" s="118" t="str">
        <f ca="1">IFERROR(__xludf.DUMMYFUNCTION("""COMPUTED_VALUE"""),"T")</f>
        <v>T</v>
      </c>
      <c r="B1953" s="119" t="str">
        <f ca="1">IFERROR(__xludf.DUMMYFUNCTION("""COMPUTED_VALUE"""),"Harper Bassler")</f>
        <v>Harper Bassler</v>
      </c>
      <c r="C1953" s="118">
        <f ca="1">IFERROR(__xludf.DUMMYFUNCTION("""COMPUTED_VALUE"""),10)</f>
        <v>10</v>
      </c>
      <c r="D1953" s="118" t="str">
        <f ca="1">IFERROR(__xludf.DUMMYFUNCTION("""COMPUTED_VALUE"""),"G")</f>
        <v>G</v>
      </c>
      <c r="E1953" s="118" t="str">
        <f ca="1">IFERROR(__xludf.DUMMYFUNCTION("""COMPUTED_VALUE"""),"F")</f>
        <v>F</v>
      </c>
      <c r="F1953" s="124" t="str">
        <f ca="1">IFERROR(__xludf.DUMMYFUNCTION("""COMPUTED_VALUE"""),"J")</f>
        <v>J</v>
      </c>
      <c r="G1953" s="124">
        <f ca="1">IFERROR(__xludf.DUMMYFUNCTION("""COMPUTED_VALUE"""),6)</f>
        <v>6</v>
      </c>
      <c r="H1953" s="124" t="str">
        <f ca="1">IFERROR(__xludf.DUMMYFUNCTION("""COMPUTED_VALUE"""),"T")</f>
        <v>T</v>
      </c>
      <c r="I1953" s="124">
        <f ca="1">IFERROR(__xludf.DUMMYFUNCTION("""COMPUTED_VALUE"""),4)</f>
        <v>4</v>
      </c>
      <c r="J1953" s="124">
        <f ca="1">IFERROR(__xludf.DUMMYFUNCTION("""COMPUTED_VALUE"""),4)</f>
        <v>4</v>
      </c>
      <c r="K1953" s="125">
        <f ca="1">IFERROR(__xludf.DUMMYFUNCTION("""COMPUTED_VALUE"""),65.9)</f>
        <v>65.900000000000006</v>
      </c>
      <c r="L1953" s="121"/>
      <c r="M1953" s="125"/>
      <c r="N1953" s="121"/>
      <c r="O1953" s="125">
        <f ca="1">IFERROR(__xludf.DUMMYFUNCTION("""COMPUTED_VALUE"""),46.05)</f>
        <v>46.05</v>
      </c>
      <c r="P1953" s="126"/>
      <c r="Q1953" s="127"/>
      <c r="R1953" s="127"/>
      <c r="S1953" s="127"/>
      <c r="T1953" s="127"/>
    </row>
    <row r="1954" spans="1:20" ht="13.8">
      <c r="A1954" s="118" t="str">
        <f ca="1">IFERROR(__xludf.DUMMYFUNCTION("""COMPUTED_VALUE"""),"T")</f>
        <v>T</v>
      </c>
      <c r="B1954" s="119" t="str">
        <f ca="1">IFERROR(__xludf.DUMMYFUNCTION("""COMPUTED_VALUE"""),"Hayden Carry")</f>
        <v>Hayden Carry</v>
      </c>
      <c r="C1954" s="118">
        <f ca="1">IFERROR(__xludf.DUMMYFUNCTION("""COMPUTED_VALUE"""),6)</f>
        <v>6</v>
      </c>
      <c r="D1954" s="118" t="str">
        <f ca="1">IFERROR(__xludf.DUMMYFUNCTION("""COMPUTED_VALUE"""),"G")</f>
        <v>G</v>
      </c>
      <c r="E1954" s="118" t="str">
        <f ca="1">IFERROR(__xludf.DUMMYFUNCTION("""COMPUTED_VALUE"""),"F")</f>
        <v>F</v>
      </c>
      <c r="F1954" s="124" t="str">
        <f ca="1">IFERROR(__xludf.DUMMYFUNCTION("""COMPUTED_VALUE"""),"J")</f>
        <v>J</v>
      </c>
      <c r="G1954" s="124">
        <f ca="1">IFERROR(__xludf.DUMMYFUNCTION("""COMPUTED_VALUE"""),6)</f>
        <v>6</v>
      </c>
      <c r="H1954" s="124" t="str">
        <f ca="1">IFERROR(__xludf.DUMMYFUNCTION("""COMPUTED_VALUE"""),"T")</f>
        <v>T</v>
      </c>
      <c r="I1954" s="124">
        <f ca="1">IFERROR(__xludf.DUMMYFUNCTION("""COMPUTED_VALUE"""),4)</f>
        <v>4</v>
      </c>
      <c r="J1954" s="124">
        <f ca="1">IFERROR(__xludf.DUMMYFUNCTION("""COMPUTED_VALUE"""),0)</f>
        <v>0</v>
      </c>
      <c r="K1954" s="125"/>
      <c r="L1954" s="121"/>
      <c r="M1954" s="125"/>
      <c r="N1954" s="121"/>
      <c r="O1954" s="125"/>
      <c r="P1954" s="126"/>
      <c r="Q1954" s="127"/>
      <c r="R1954" s="127"/>
      <c r="S1954" s="127"/>
      <c r="T1954" s="127"/>
    </row>
    <row r="1955" spans="1:20" ht="13.8">
      <c r="A1955" s="118" t="str">
        <f ca="1">IFERROR(__xludf.DUMMYFUNCTION("""COMPUTED_VALUE"""),"T")</f>
        <v>T</v>
      </c>
      <c r="B1955" s="119" t="str">
        <f ca="1">IFERROR(__xludf.DUMMYFUNCTION("""COMPUTED_VALUE"""),"Jewell Mahoney")</f>
        <v>Jewell Mahoney</v>
      </c>
      <c r="C1955" s="118">
        <f ca="1">IFERROR(__xludf.DUMMYFUNCTION("""COMPUTED_VALUE"""),9)</f>
        <v>9</v>
      </c>
      <c r="D1955" s="118" t="str">
        <f ca="1">IFERROR(__xludf.DUMMYFUNCTION("""COMPUTED_VALUE"""),"G")</f>
        <v>G</v>
      </c>
      <c r="E1955" s="118" t="str">
        <f ca="1">IFERROR(__xludf.DUMMYFUNCTION("""COMPUTED_VALUE"""),"F")</f>
        <v>F</v>
      </c>
      <c r="F1955" s="124" t="str">
        <f ca="1">IFERROR(__xludf.DUMMYFUNCTION("""COMPUTED_VALUE"""),"J")</f>
        <v>J</v>
      </c>
      <c r="G1955" s="124">
        <f ca="1">IFERROR(__xludf.DUMMYFUNCTION("""COMPUTED_VALUE"""),6)</f>
        <v>6</v>
      </c>
      <c r="H1955" s="124" t="str">
        <f ca="1">IFERROR(__xludf.DUMMYFUNCTION("""COMPUTED_VALUE"""),"T")</f>
        <v>T</v>
      </c>
      <c r="I1955" s="124">
        <f ca="1">IFERROR(__xludf.DUMMYFUNCTION("""COMPUTED_VALUE"""),4)</f>
        <v>4</v>
      </c>
      <c r="J1955" s="124">
        <f ca="1">IFERROR(__xludf.DUMMYFUNCTION("""COMPUTED_VALUE"""),0)</f>
        <v>0</v>
      </c>
      <c r="K1955" s="125"/>
      <c r="L1955" s="121"/>
      <c r="M1955" s="125"/>
      <c r="N1955" s="121"/>
      <c r="O1955" s="125"/>
      <c r="P1955" s="126"/>
      <c r="Q1955" s="127"/>
      <c r="R1955" s="127"/>
      <c r="S1955" s="127"/>
      <c r="T1955" s="127"/>
    </row>
    <row r="1956" spans="1:20" ht="13.8">
      <c r="A1956" s="118" t="str">
        <f ca="1">IFERROR(__xludf.DUMMYFUNCTION("""COMPUTED_VALUE"""),"T")</f>
        <v>T</v>
      </c>
      <c r="B1956" s="119" t="str">
        <f ca="1">IFERROR(__xludf.DUMMYFUNCTION("""COMPUTED_VALUE"""),"Julia Zellers")</f>
        <v>Julia Zellers</v>
      </c>
      <c r="C1956" s="118">
        <f ca="1">IFERROR(__xludf.DUMMYFUNCTION("""COMPUTED_VALUE"""),10)</f>
        <v>10</v>
      </c>
      <c r="D1956" s="118" t="str">
        <f ca="1">IFERROR(__xludf.DUMMYFUNCTION("""COMPUTED_VALUE"""),"G")</f>
        <v>G</v>
      </c>
      <c r="E1956" s="118" t="str">
        <f ca="1">IFERROR(__xludf.DUMMYFUNCTION("""COMPUTED_VALUE"""),"F")</f>
        <v>F</v>
      </c>
      <c r="F1956" s="124" t="str">
        <f ca="1">IFERROR(__xludf.DUMMYFUNCTION("""COMPUTED_VALUE"""),"J")</f>
        <v>J</v>
      </c>
      <c r="G1956" s="124">
        <f ca="1">IFERROR(__xludf.DUMMYFUNCTION("""COMPUTED_VALUE"""),6)</f>
        <v>6</v>
      </c>
      <c r="H1956" s="124" t="str">
        <f ca="1">IFERROR(__xludf.DUMMYFUNCTION("""COMPUTED_VALUE"""),"T")</f>
        <v>T</v>
      </c>
      <c r="I1956" s="124">
        <f ca="1">IFERROR(__xludf.DUMMYFUNCTION("""COMPUTED_VALUE"""),4)</f>
        <v>4</v>
      </c>
      <c r="J1956" s="124">
        <f ca="1">IFERROR(__xludf.DUMMYFUNCTION("""COMPUTED_VALUE"""),5)</f>
        <v>5</v>
      </c>
      <c r="K1956" s="125">
        <f ca="1">IFERROR(__xludf.DUMMYFUNCTION("""COMPUTED_VALUE"""),61.8)</f>
        <v>61.8</v>
      </c>
      <c r="L1956" s="121"/>
      <c r="M1956" s="125">
        <f ca="1">IFERROR(__xludf.DUMMYFUNCTION("""COMPUTED_VALUE"""),61.8)</f>
        <v>61.8</v>
      </c>
      <c r="N1956" s="121"/>
      <c r="O1956" s="125">
        <f ca="1">IFERROR(__xludf.DUMMYFUNCTION("""COMPUTED_VALUE"""),49)</f>
        <v>49</v>
      </c>
      <c r="P1956" s="126"/>
      <c r="Q1956" s="127"/>
      <c r="R1956" s="127"/>
      <c r="S1956" s="127"/>
      <c r="T1956" s="127"/>
    </row>
    <row r="1957" spans="1:20" ht="13.8">
      <c r="A1957" s="118" t="str">
        <f ca="1">IFERROR(__xludf.DUMMYFUNCTION("""COMPUTED_VALUE"""),"T")</f>
        <v>T</v>
      </c>
      <c r="B1957" s="119" t="str">
        <f ca="1">IFERROR(__xludf.DUMMYFUNCTION("""COMPUTED_VALUE"""),"Lucy Jonson")</f>
        <v>Lucy Jonson</v>
      </c>
      <c r="C1957" s="118">
        <f ca="1">IFERROR(__xludf.DUMMYFUNCTION("""COMPUTED_VALUE"""),8)</f>
        <v>8</v>
      </c>
      <c r="D1957" s="118" t="str">
        <f ca="1">IFERROR(__xludf.DUMMYFUNCTION("""COMPUTED_VALUE"""),"G")</f>
        <v>G</v>
      </c>
      <c r="E1957" s="118" t="str">
        <f ca="1">IFERROR(__xludf.DUMMYFUNCTION("""COMPUTED_VALUE"""),"F")</f>
        <v>F</v>
      </c>
      <c r="F1957" s="124" t="str">
        <f ca="1">IFERROR(__xludf.DUMMYFUNCTION("""COMPUTED_VALUE"""),"J")</f>
        <v>J</v>
      </c>
      <c r="G1957" s="124">
        <f ca="1">IFERROR(__xludf.DUMMYFUNCTION("""COMPUTED_VALUE"""),6)</f>
        <v>6</v>
      </c>
      <c r="H1957" s="124" t="str">
        <f ca="1">IFERROR(__xludf.DUMMYFUNCTION("""COMPUTED_VALUE"""),"T")</f>
        <v>T</v>
      </c>
      <c r="I1957" s="124">
        <f ca="1">IFERROR(__xludf.DUMMYFUNCTION("""COMPUTED_VALUE"""),4)</f>
        <v>4</v>
      </c>
      <c r="J1957" s="124">
        <f ca="1">IFERROR(__xludf.DUMMYFUNCTION("""COMPUTED_VALUE"""),0)</f>
        <v>0</v>
      </c>
      <c r="K1957" s="125"/>
      <c r="L1957" s="121"/>
      <c r="M1957" s="125"/>
      <c r="N1957" s="121"/>
      <c r="O1957" s="125"/>
      <c r="P1957" s="126"/>
      <c r="Q1957" s="127"/>
      <c r="R1957" s="127"/>
      <c r="S1957" s="127"/>
      <c r="T1957" s="127"/>
    </row>
    <row r="1958" spans="1:20" ht="13.8">
      <c r="A1958" s="118" t="str">
        <f ca="1">IFERROR(__xludf.DUMMYFUNCTION("""COMPUTED_VALUE"""),"T")</f>
        <v>T</v>
      </c>
      <c r="B1958" s="119" t="str">
        <f ca="1">IFERROR(__xludf.DUMMYFUNCTION("""COMPUTED_VALUE"""),"Maria Garcia-McIntire")</f>
        <v>Maria Garcia-McIntire</v>
      </c>
      <c r="C1958" s="118">
        <f ca="1">IFERROR(__xludf.DUMMYFUNCTION("""COMPUTED_VALUE"""),7)</f>
        <v>7</v>
      </c>
      <c r="D1958" s="118" t="str">
        <f ca="1">IFERROR(__xludf.DUMMYFUNCTION("""COMPUTED_VALUE"""),"G")</f>
        <v>G</v>
      </c>
      <c r="E1958" s="118" t="str">
        <f ca="1">IFERROR(__xludf.DUMMYFUNCTION("""COMPUTED_VALUE"""),"F")</f>
        <v>F</v>
      </c>
      <c r="F1958" s="124" t="str">
        <f ca="1">IFERROR(__xludf.DUMMYFUNCTION("""COMPUTED_VALUE"""),"J")</f>
        <v>J</v>
      </c>
      <c r="G1958" s="124">
        <f ca="1">IFERROR(__xludf.DUMMYFUNCTION("""COMPUTED_VALUE"""),6)</f>
        <v>6</v>
      </c>
      <c r="H1958" s="124" t="str">
        <f ca="1">IFERROR(__xludf.DUMMYFUNCTION("""COMPUTED_VALUE"""),"T")</f>
        <v>T</v>
      </c>
      <c r="I1958" s="124">
        <f ca="1">IFERROR(__xludf.DUMMYFUNCTION("""COMPUTED_VALUE"""),4)</f>
        <v>4</v>
      </c>
      <c r="J1958" s="124">
        <f ca="1">IFERROR(__xludf.DUMMYFUNCTION("""COMPUTED_VALUE"""),2)</f>
        <v>2</v>
      </c>
      <c r="K1958" s="125">
        <f ca="1">IFERROR(__xludf.DUMMYFUNCTION("""COMPUTED_VALUE"""),40.95)</f>
        <v>40.950000000000003</v>
      </c>
      <c r="L1958" s="121"/>
      <c r="M1958" s="125">
        <f ca="1">IFERROR(__xludf.DUMMYFUNCTION("""COMPUTED_VALUE"""),40.95)</f>
        <v>40.950000000000003</v>
      </c>
      <c r="N1958" s="121"/>
      <c r="O1958" s="125">
        <f ca="1">IFERROR(__xludf.DUMMYFUNCTION("""COMPUTED_VALUE"""),25.6)</f>
        <v>25.6</v>
      </c>
      <c r="P1958" s="126"/>
      <c r="Q1958" s="127"/>
      <c r="R1958" s="127"/>
      <c r="S1958" s="127"/>
      <c r="T1958" s="127"/>
    </row>
    <row r="1959" spans="1:20" ht="13.8">
      <c r="A1959" s="118" t="str">
        <f ca="1">IFERROR(__xludf.DUMMYFUNCTION("""COMPUTED_VALUE"""),"T")</f>
        <v>T</v>
      </c>
      <c r="B1959" s="119" t="str">
        <f ca="1">IFERROR(__xludf.DUMMYFUNCTION("""COMPUTED_VALUE"""),"Mila Mazahery")</f>
        <v>Mila Mazahery</v>
      </c>
      <c r="C1959" s="118">
        <f ca="1">IFERROR(__xludf.DUMMYFUNCTION("""COMPUTED_VALUE"""),10)</f>
        <v>10</v>
      </c>
      <c r="D1959" s="118" t="str">
        <f ca="1">IFERROR(__xludf.DUMMYFUNCTION("""COMPUTED_VALUE"""),"G")</f>
        <v>G</v>
      </c>
      <c r="E1959" s="118" t="str">
        <f ca="1">IFERROR(__xludf.DUMMYFUNCTION("""COMPUTED_VALUE"""),"F")</f>
        <v>F</v>
      </c>
      <c r="F1959" s="124" t="str">
        <f ca="1">IFERROR(__xludf.DUMMYFUNCTION("""COMPUTED_VALUE"""),"J")</f>
        <v>J</v>
      </c>
      <c r="G1959" s="124">
        <f ca="1">IFERROR(__xludf.DUMMYFUNCTION("""COMPUTED_VALUE"""),6)</f>
        <v>6</v>
      </c>
      <c r="H1959" s="124" t="str">
        <f ca="1">IFERROR(__xludf.DUMMYFUNCTION("""COMPUTED_VALUE"""),"T")</f>
        <v>T</v>
      </c>
      <c r="I1959" s="124">
        <f ca="1">IFERROR(__xludf.DUMMYFUNCTION("""COMPUTED_VALUE"""),4)</f>
        <v>4</v>
      </c>
      <c r="J1959" s="124">
        <f ca="1">IFERROR(__xludf.DUMMYFUNCTION("""COMPUTED_VALUE"""),0)</f>
        <v>0</v>
      </c>
      <c r="K1959" s="125"/>
      <c r="L1959" s="121"/>
      <c r="M1959" s="125"/>
      <c r="N1959" s="121"/>
      <c r="O1959" s="125"/>
      <c r="P1959" s="126"/>
      <c r="Q1959" s="127"/>
      <c r="R1959" s="127"/>
      <c r="S1959" s="127"/>
      <c r="T1959" s="127"/>
    </row>
    <row r="1960" spans="1:20" ht="13.8">
      <c r="A1960" s="118" t="str">
        <f ca="1">IFERROR(__xludf.DUMMYFUNCTION("""COMPUTED_VALUE"""),"T")</f>
        <v>T</v>
      </c>
      <c r="B1960" s="119" t="str">
        <f ca="1">IFERROR(__xludf.DUMMYFUNCTION("""COMPUTED_VALUE"""),"Mira Parikh")</f>
        <v>Mira Parikh</v>
      </c>
      <c r="C1960" s="118">
        <f ca="1">IFERROR(__xludf.DUMMYFUNCTION("""COMPUTED_VALUE"""),5)</f>
        <v>5</v>
      </c>
      <c r="D1960" s="118" t="str">
        <f ca="1">IFERROR(__xludf.DUMMYFUNCTION("""COMPUTED_VALUE"""),"G")</f>
        <v>G</v>
      </c>
      <c r="E1960" s="118" t="str">
        <f ca="1">IFERROR(__xludf.DUMMYFUNCTION("""COMPUTED_VALUE"""),"F")</f>
        <v>F</v>
      </c>
      <c r="F1960" s="124" t="str">
        <f ca="1">IFERROR(__xludf.DUMMYFUNCTION("""COMPUTED_VALUE"""),"J")</f>
        <v>J</v>
      </c>
      <c r="G1960" s="124">
        <f ca="1">IFERROR(__xludf.DUMMYFUNCTION("""COMPUTED_VALUE"""),6)</f>
        <v>6</v>
      </c>
      <c r="H1960" s="124" t="str">
        <f ca="1">IFERROR(__xludf.DUMMYFUNCTION("""COMPUTED_VALUE"""),"T")</f>
        <v>T</v>
      </c>
      <c r="I1960" s="124">
        <f ca="1">IFERROR(__xludf.DUMMYFUNCTION("""COMPUTED_VALUE"""),4)</f>
        <v>4</v>
      </c>
      <c r="J1960" s="124">
        <f ca="1">IFERROR(__xludf.DUMMYFUNCTION("""COMPUTED_VALUE"""),0)</f>
        <v>0</v>
      </c>
      <c r="K1960" s="125"/>
      <c r="L1960" s="121"/>
      <c r="M1960" s="125"/>
      <c r="N1960" s="121"/>
      <c r="O1960" s="125"/>
      <c r="P1960" s="126"/>
      <c r="Q1960" s="127"/>
      <c r="R1960" s="127"/>
      <c r="S1960" s="127"/>
      <c r="T1960" s="127"/>
    </row>
    <row r="1961" spans="1:20" ht="13.8">
      <c r="A1961" s="118" t="str">
        <f ca="1">IFERROR(__xludf.DUMMYFUNCTION("""COMPUTED_VALUE"""),"T")</f>
        <v>T</v>
      </c>
      <c r="B1961" s="119" t="str">
        <f ca="1">IFERROR(__xludf.DUMMYFUNCTION("""COMPUTED_VALUE"""),"Sienna Carry")</f>
        <v>Sienna Carry</v>
      </c>
      <c r="C1961" s="118">
        <f ca="1">IFERROR(__xludf.DUMMYFUNCTION("""COMPUTED_VALUE"""),8)</f>
        <v>8</v>
      </c>
      <c r="D1961" s="118" t="str">
        <f ca="1">IFERROR(__xludf.DUMMYFUNCTION("""COMPUTED_VALUE"""),"G")</f>
        <v>G</v>
      </c>
      <c r="E1961" s="118" t="str">
        <f ca="1">IFERROR(__xludf.DUMMYFUNCTION("""COMPUTED_VALUE"""),"F")</f>
        <v>F</v>
      </c>
      <c r="F1961" s="124" t="str">
        <f ca="1">IFERROR(__xludf.DUMMYFUNCTION("""COMPUTED_VALUE"""),"J")</f>
        <v>J</v>
      </c>
      <c r="G1961" s="124">
        <f ca="1">IFERROR(__xludf.DUMMYFUNCTION("""COMPUTED_VALUE"""),6)</f>
        <v>6</v>
      </c>
      <c r="H1961" s="124" t="str">
        <f ca="1">IFERROR(__xludf.DUMMYFUNCTION("""COMPUTED_VALUE"""),"T")</f>
        <v>T</v>
      </c>
      <c r="I1961" s="124">
        <f ca="1">IFERROR(__xludf.DUMMYFUNCTION("""COMPUTED_VALUE"""),4)</f>
        <v>4</v>
      </c>
      <c r="J1961" s="124">
        <f ca="1">IFERROR(__xludf.DUMMYFUNCTION("""COMPUTED_VALUE"""),5)</f>
        <v>5</v>
      </c>
      <c r="K1961" s="125">
        <f ca="1">IFERROR(__xludf.DUMMYFUNCTION("""COMPUTED_VALUE"""),59.65)</f>
        <v>59.65</v>
      </c>
      <c r="L1961" s="121"/>
      <c r="M1961" s="125">
        <f ca="1">IFERROR(__xludf.DUMMYFUNCTION("""COMPUTED_VALUE"""),56.1)</f>
        <v>56.1</v>
      </c>
      <c r="N1961" s="121"/>
      <c r="O1961" s="125">
        <f ca="1">IFERROR(__xludf.DUMMYFUNCTION("""COMPUTED_VALUE"""),46.8)</f>
        <v>46.8</v>
      </c>
      <c r="P1961" s="126"/>
      <c r="Q1961" s="127"/>
      <c r="R1961" s="127"/>
      <c r="S1961" s="127"/>
      <c r="T1961" s="127"/>
    </row>
    <row r="1962" spans="1:20" ht="13.8">
      <c r="A1962" s="118" t="str">
        <f ca="1">IFERROR(__xludf.DUMMYFUNCTION("""COMPUTED_VALUE"""),"T")</f>
        <v>T</v>
      </c>
      <c r="B1962" s="119" t="str">
        <f ca="1">IFERROR(__xludf.DUMMYFUNCTION("""COMPUTED_VALUE"""),"Sona Pandarinath")</f>
        <v>Sona Pandarinath</v>
      </c>
      <c r="C1962" s="118">
        <f ca="1">IFERROR(__xludf.DUMMYFUNCTION("""COMPUTED_VALUE"""),8)</f>
        <v>8</v>
      </c>
      <c r="D1962" s="118" t="str">
        <f ca="1">IFERROR(__xludf.DUMMYFUNCTION("""COMPUTED_VALUE"""),"G")</f>
        <v>G</v>
      </c>
      <c r="E1962" s="118" t="str">
        <f ca="1">IFERROR(__xludf.DUMMYFUNCTION("""COMPUTED_VALUE"""),"F")</f>
        <v>F</v>
      </c>
      <c r="F1962" s="124" t="str">
        <f ca="1">IFERROR(__xludf.DUMMYFUNCTION("""COMPUTED_VALUE"""),"J")</f>
        <v>J</v>
      </c>
      <c r="G1962" s="124">
        <f ca="1">IFERROR(__xludf.DUMMYFUNCTION("""COMPUTED_VALUE"""),6)</f>
        <v>6</v>
      </c>
      <c r="H1962" s="124" t="str">
        <f ca="1">IFERROR(__xludf.DUMMYFUNCTION("""COMPUTED_VALUE"""),"T")</f>
        <v>T</v>
      </c>
      <c r="I1962" s="124">
        <f ca="1">IFERROR(__xludf.DUMMYFUNCTION("""COMPUTED_VALUE"""),4)</f>
        <v>4</v>
      </c>
      <c r="J1962" s="124">
        <f ca="1">IFERROR(__xludf.DUMMYFUNCTION("""COMPUTED_VALUE"""),0)</f>
        <v>0</v>
      </c>
      <c r="K1962" s="125"/>
      <c r="L1962" s="121"/>
      <c r="M1962" s="125"/>
      <c r="N1962" s="121"/>
      <c r="O1962" s="125"/>
      <c r="P1962" s="126"/>
      <c r="Q1962" s="127"/>
      <c r="R1962" s="127"/>
      <c r="S1962" s="127"/>
      <c r="T1962" s="127"/>
    </row>
    <row r="1963" spans="1:20" ht="13.8">
      <c r="A1963" s="118" t="str">
        <f ca="1">IFERROR(__xludf.DUMMYFUNCTION("""COMPUTED_VALUE"""),"T")</f>
        <v>T</v>
      </c>
      <c r="B1963" s="119" t="str">
        <f ca="1">IFERROR(__xludf.DUMMYFUNCTION("""COMPUTED_VALUE"""),"Sonia Parikh")</f>
        <v>Sonia Parikh</v>
      </c>
      <c r="C1963" s="118">
        <f ca="1">IFERROR(__xludf.DUMMYFUNCTION("""COMPUTED_VALUE"""),9)</f>
        <v>9</v>
      </c>
      <c r="D1963" s="118" t="str">
        <f ca="1">IFERROR(__xludf.DUMMYFUNCTION("""COMPUTED_VALUE"""),"G")</f>
        <v>G</v>
      </c>
      <c r="E1963" s="118" t="str">
        <f ca="1">IFERROR(__xludf.DUMMYFUNCTION("""COMPUTED_VALUE"""),"F")</f>
        <v>F</v>
      </c>
      <c r="F1963" s="124" t="str">
        <f ca="1">IFERROR(__xludf.DUMMYFUNCTION("""COMPUTED_VALUE"""),"J")</f>
        <v>J</v>
      </c>
      <c r="G1963" s="124">
        <f ca="1">IFERROR(__xludf.DUMMYFUNCTION("""COMPUTED_VALUE"""),6)</f>
        <v>6</v>
      </c>
      <c r="H1963" s="124" t="str">
        <f ca="1">IFERROR(__xludf.DUMMYFUNCTION("""COMPUTED_VALUE"""),"T")</f>
        <v>T</v>
      </c>
      <c r="I1963" s="124">
        <f ca="1">IFERROR(__xludf.DUMMYFUNCTION("""COMPUTED_VALUE"""),4)</f>
        <v>4</v>
      </c>
      <c r="J1963" s="124">
        <f ca="1">IFERROR(__xludf.DUMMYFUNCTION("""COMPUTED_VALUE"""),0)</f>
        <v>0</v>
      </c>
      <c r="K1963" s="125"/>
      <c r="L1963" s="121"/>
      <c r="M1963" s="125"/>
      <c r="N1963" s="121"/>
      <c r="O1963" s="125"/>
      <c r="P1963" s="126"/>
      <c r="Q1963" s="127"/>
      <c r="R1963" s="127"/>
      <c r="S1963" s="127"/>
      <c r="T1963" s="127"/>
    </row>
    <row r="1964" spans="1:20" ht="13.8">
      <c r="A1964" s="118" t="str">
        <f ca="1">IFERROR(__xludf.DUMMYFUNCTION("""COMPUTED_VALUE"""),"T")</f>
        <v>T</v>
      </c>
      <c r="B1964" s="119" t="str">
        <f ca="1">IFERROR(__xludf.DUMMYFUNCTION("""COMPUTED_VALUE"""),"Aleko Misitzis")</f>
        <v>Aleko Misitzis</v>
      </c>
      <c r="C1964" s="118">
        <f ca="1">IFERROR(__xludf.DUMMYFUNCTION("""COMPUTED_VALUE"""),10)</f>
        <v>10</v>
      </c>
      <c r="D1964" s="118" t="str">
        <f ca="1">IFERROR(__xludf.DUMMYFUNCTION("""COMPUTED_VALUE"""),"B")</f>
        <v>B</v>
      </c>
      <c r="E1964" s="118" t="str">
        <f ca="1">IFERROR(__xludf.DUMMYFUNCTION("""COMPUTED_VALUE"""),"F")</f>
        <v>F</v>
      </c>
      <c r="F1964" s="124" t="str">
        <f ca="1">IFERROR(__xludf.DUMMYFUNCTION("""COMPUTED_VALUE"""),"J")</f>
        <v>J</v>
      </c>
      <c r="G1964" s="124">
        <f ca="1">IFERROR(__xludf.DUMMYFUNCTION("""COMPUTED_VALUE"""),6)</f>
        <v>6</v>
      </c>
      <c r="H1964" s="124" t="str">
        <f ca="1">IFERROR(__xludf.DUMMYFUNCTION("""COMPUTED_VALUE"""),"T")</f>
        <v>T</v>
      </c>
      <c r="I1964" s="124">
        <f ca="1">IFERROR(__xludf.DUMMYFUNCTION("""COMPUTED_VALUE"""),5)</f>
        <v>5</v>
      </c>
      <c r="J1964" s="124">
        <f ca="1">IFERROR(__xludf.DUMMYFUNCTION("""COMPUTED_VALUE"""),0)</f>
        <v>0</v>
      </c>
      <c r="K1964" s="125"/>
      <c r="L1964" s="121"/>
      <c r="M1964" s="125"/>
      <c r="N1964" s="121"/>
      <c r="O1964" s="125"/>
      <c r="P1964" s="126"/>
      <c r="Q1964" s="127"/>
      <c r="R1964" s="127"/>
      <c r="S1964" s="127"/>
      <c r="T1964" s="127"/>
    </row>
    <row r="1965" spans="1:20" ht="13.8">
      <c r="A1965" s="118" t="str">
        <f ca="1">IFERROR(__xludf.DUMMYFUNCTION("""COMPUTED_VALUE"""),"T")</f>
        <v>T</v>
      </c>
      <c r="B1965" s="119" t="str">
        <f ca="1">IFERROR(__xludf.DUMMYFUNCTION("""COMPUTED_VALUE"""),"Bear Jackson")</f>
        <v>Bear Jackson</v>
      </c>
      <c r="C1965" s="118">
        <f ca="1">IFERROR(__xludf.DUMMYFUNCTION("""COMPUTED_VALUE"""),6)</f>
        <v>6</v>
      </c>
      <c r="D1965" s="118" t="str">
        <f ca="1">IFERROR(__xludf.DUMMYFUNCTION("""COMPUTED_VALUE"""),"B")</f>
        <v>B</v>
      </c>
      <c r="E1965" s="118" t="str">
        <f ca="1">IFERROR(__xludf.DUMMYFUNCTION("""COMPUTED_VALUE"""),"F")</f>
        <v>F</v>
      </c>
      <c r="F1965" s="124" t="str">
        <f ca="1">IFERROR(__xludf.DUMMYFUNCTION("""COMPUTED_VALUE"""),"J")</f>
        <v>J</v>
      </c>
      <c r="G1965" s="124">
        <f ca="1">IFERROR(__xludf.DUMMYFUNCTION("""COMPUTED_VALUE"""),6)</f>
        <v>6</v>
      </c>
      <c r="H1965" s="124" t="str">
        <f ca="1">IFERROR(__xludf.DUMMYFUNCTION("""COMPUTED_VALUE"""),"T")</f>
        <v>T</v>
      </c>
      <c r="I1965" s="124">
        <f ca="1">IFERROR(__xludf.DUMMYFUNCTION("""COMPUTED_VALUE"""),5)</f>
        <v>5</v>
      </c>
      <c r="J1965" s="124">
        <f ca="1">IFERROR(__xludf.DUMMYFUNCTION("""COMPUTED_VALUE"""),4)</f>
        <v>4</v>
      </c>
      <c r="K1965" s="125">
        <f ca="1">IFERROR(__xludf.DUMMYFUNCTION("""COMPUTED_VALUE"""),42.8)</f>
        <v>42.8</v>
      </c>
      <c r="L1965" s="121"/>
      <c r="M1965" s="125">
        <f ca="1">IFERROR(__xludf.DUMMYFUNCTION("""COMPUTED_VALUE"""),32.2)</f>
        <v>32.200000000000003</v>
      </c>
      <c r="N1965" s="121"/>
      <c r="O1965" s="125"/>
      <c r="P1965" s="126"/>
      <c r="Q1965" s="127"/>
      <c r="R1965" s="127"/>
      <c r="S1965" s="127"/>
      <c r="T1965" s="127"/>
    </row>
    <row r="1966" spans="1:20" ht="13.8">
      <c r="A1966" s="118" t="str">
        <f ca="1">IFERROR(__xludf.DUMMYFUNCTION("""COMPUTED_VALUE"""),"T")</f>
        <v>T</v>
      </c>
      <c r="B1966" s="119" t="str">
        <f ca="1">IFERROR(__xludf.DUMMYFUNCTION("""COMPUTED_VALUE"""),"Bennett Gilbert")</f>
        <v>Bennett Gilbert</v>
      </c>
      <c r="C1966" s="118">
        <f ca="1">IFERROR(__xludf.DUMMYFUNCTION("""COMPUTED_VALUE"""),9)</f>
        <v>9</v>
      </c>
      <c r="D1966" s="118" t="str">
        <f ca="1">IFERROR(__xludf.DUMMYFUNCTION("""COMPUTED_VALUE"""),"B")</f>
        <v>B</v>
      </c>
      <c r="E1966" s="118" t="str">
        <f ca="1">IFERROR(__xludf.DUMMYFUNCTION("""COMPUTED_VALUE"""),"F")</f>
        <v>F</v>
      </c>
      <c r="F1966" s="124" t="str">
        <f ca="1">IFERROR(__xludf.DUMMYFUNCTION("""COMPUTED_VALUE"""),"J")</f>
        <v>J</v>
      </c>
      <c r="G1966" s="124">
        <f ca="1">IFERROR(__xludf.DUMMYFUNCTION("""COMPUTED_VALUE"""),6)</f>
        <v>6</v>
      </c>
      <c r="H1966" s="124" t="str">
        <f ca="1">IFERROR(__xludf.DUMMYFUNCTION("""COMPUTED_VALUE"""),"T")</f>
        <v>T</v>
      </c>
      <c r="I1966" s="124">
        <f ca="1">IFERROR(__xludf.DUMMYFUNCTION("""COMPUTED_VALUE"""),5)</f>
        <v>5</v>
      </c>
      <c r="J1966" s="124">
        <f ca="1">IFERROR(__xludf.DUMMYFUNCTION("""COMPUTED_VALUE"""),0)</f>
        <v>0</v>
      </c>
      <c r="K1966" s="125"/>
      <c r="L1966" s="121"/>
      <c r="M1966" s="125"/>
      <c r="N1966" s="121"/>
      <c r="O1966" s="125"/>
      <c r="P1966" s="126"/>
      <c r="Q1966" s="127"/>
      <c r="R1966" s="127"/>
      <c r="S1966" s="127"/>
      <c r="T1966" s="127"/>
    </row>
    <row r="1967" spans="1:20" ht="13.8">
      <c r="A1967" s="118" t="str">
        <f ca="1">IFERROR(__xludf.DUMMYFUNCTION("""COMPUTED_VALUE"""),"T")</f>
        <v>T</v>
      </c>
      <c r="B1967" s="119" t="str">
        <f ca="1">IFERROR(__xludf.DUMMYFUNCTION("""COMPUTED_VALUE"""),"Chi Sandhu")</f>
        <v>Chi Sandhu</v>
      </c>
      <c r="C1967" s="118">
        <f ca="1">IFERROR(__xludf.DUMMYFUNCTION("""COMPUTED_VALUE"""),10)</f>
        <v>10</v>
      </c>
      <c r="D1967" s="118" t="str">
        <f ca="1">IFERROR(__xludf.DUMMYFUNCTION("""COMPUTED_VALUE"""),"B")</f>
        <v>B</v>
      </c>
      <c r="E1967" s="118" t="str">
        <f ca="1">IFERROR(__xludf.DUMMYFUNCTION("""COMPUTED_VALUE"""),"F")</f>
        <v>F</v>
      </c>
      <c r="F1967" s="124" t="str">
        <f ca="1">IFERROR(__xludf.DUMMYFUNCTION("""COMPUTED_VALUE"""),"J")</f>
        <v>J</v>
      </c>
      <c r="G1967" s="124">
        <f ca="1">IFERROR(__xludf.DUMMYFUNCTION("""COMPUTED_VALUE"""),6)</f>
        <v>6</v>
      </c>
      <c r="H1967" s="124" t="str">
        <f ca="1">IFERROR(__xludf.DUMMYFUNCTION("""COMPUTED_VALUE"""),"T")</f>
        <v>T</v>
      </c>
      <c r="I1967" s="124">
        <f ca="1">IFERROR(__xludf.DUMMYFUNCTION("""COMPUTED_VALUE"""),5)</f>
        <v>5</v>
      </c>
      <c r="J1967" s="124">
        <f ca="1">IFERROR(__xludf.DUMMYFUNCTION("""COMPUTED_VALUE"""),3)</f>
        <v>3</v>
      </c>
      <c r="K1967" s="125">
        <f ca="1">IFERROR(__xludf.DUMMYFUNCTION("""COMPUTED_VALUE"""),47.25)</f>
        <v>47.25</v>
      </c>
      <c r="L1967" s="121"/>
      <c r="M1967" s="125"/>
      <c r="N1967" s="121"/>
      <c r="O1967" s="125">
        <f ca="1">IFERROR(__xludf.DUMMYFUNCTION("""COMPUTED_VALUE"""),34.8)</f>
        <v>34.799999999999997</v>
      </c>
      <c r="P1967" s="126"/>
      <c r="Q1967" s="127"/>
      <c r="R1967" s="127"/>
      <c r="S1967" s="127"/>
      <c r="T1967" s="127"/>
    </row>
    <row r="1968" spans="1:20" ht="13.8">
      <c r="A1968" s="118" t="str">
        <f ca="1">IFERROR(__xludf.DUMMYFUNCTION("""COMPUTED_VALUE"""),"T")</f>
        <v>T</v>
      </c>
      <c r="B1968" s="119" t="str">
        <f ca="1">IFERROR(__xludf.DUMMYFUNCTION("""COMPUTED_VALUE"""),"Dara Mazahery")</f>
        <v>Dara Mazahery</v>
      </c>
      <c r="C1968" s="118">
        <f ca="1">IFERROR(__xludf.DUMMYFUNCTION("""COMPUTED_VALUE"""),6)</f>
        <v>6</v>
      </c>
      <c r="D1968" s="118" t="str">
        <f ca="1">IFERROR(__xludf.DUMMYFUNCTION("""COMPUTED_VALUE"""),"B")</f>
        <v>B</v>
      </c>
      <c r="E1968" s="118" t="str">
        <f ca="1">IFERROR(__xludf.DUMMYFUNCTION("""COMPUTED_VALUE"""),"F")</f>
        <v>F</v>
      </c>
      <c r="F1968" s="124" t="str">
        <f ca="1">IFERROR(__xludf.DUMMYFUNCTION("""COMPUTED_VALUE"""),"J")</f>
        <v>J</v>
      </c>
      <c r="G1968" s="124">
        <f ca="1">IFERROR(__xludf.DUMMYFUNCTION("""COMPUTED_VALUE"""),6)</f>
        <v>6</v>
      </c>
      <c r="H1968" s="124" t="str">
        <f ca="1">IFERROR(__xludf.DUMMYFUNCTION("""COMPUTED_VALUE"""),"T")</f>
        <v>T</v>
      </c>
      <c r="I1968" s="124">
        <f ca="1">IFERROR(__xludf.DUMMYFUNCTION("""COMPUTED_VALUE"""),5)</f>
        <v>5</v>
      </c>
      <c r="J1968" s="124">
        <f ca="1">IFERROR(__xludf.DUMMYFUNCTION("""COMPUTED_VALUE"""),0)</f>
        <v>0</v>
      </c>
      <c r="K1968" s="125"/>
      <c r="L1968" s="121"/>
      <c r="M1968" s="125"/>
      <c r="N1968" s="121"/>
      <c r="O1968" s="125"/>
      <c r="P1968" s="126"/>
      <c r="Q1968" s="127"/>
      <c r="R1968" s="127"/>
      <c r="S1968" s="127"/>
      <c r="T1968" s="127"/>
    </row>
    <row r="1969" spans="1:20" ht="13.8">
      <c r="A1969" s="118" t="str">
        <f ca="1">IFERROR(__xludf.DUMMYFUNCTION("""COMPUTED_VALUE"""),"T")</f>
        <v>T</v>
      </c>
      <c r="B1969" s="119" t="str">
        <f ca="1">IFERROR(__xludf.DUMMYFUNCTION("""COMPUTED_VALUE"""),"David Garcia-McIntire")</f>
        <v>David Garcia-McIntire</v>
      </c>
      <c r="C1969" s="118">
        <f ca="1">IFERROR(__xludf.DUMMYFUNCTION("""COMPUTED_VALUE"""),10)</f>
        <v>10</v>
      </c>
      <c r="D1969" s="118" t="str">
        <f ca="1">IFERROR(__xludf.DUMMYFUNCTION("""COMPUTED_VALUE"""),"B")</f>
        <v>B</v>
      </c>
      <c r="E1969" s="118" t="str">
        <f ca="1">IFERROR(__xludf.DUMMYFUNCTION("""COMPUTED_VALUE"""),"F")</f>
        <v>F</v>
      </c>
      <c r="F1969" s="124" t="str">
        <f ca="1">IFERROR(__xludf.DUMMYFUNCTION("""COMPUTED_VALUE"""),"J")</f>
        <v>J</v>
      </c>
      <c r="G1969" s="124">
        <f ca="1">IFERROR(__xludf.DUMMYFUNCTION("""COMPUTED_VALUE"""),6)</f>
        <v>6</v>
      </c>
      <c r="H1969" s="124" t="str">
        <f ca="1">IFERROR(__xludf.DUMMYFUNCTION("""COMPUTED_VALUE"""),"T")</f>
        <v>T</v>
      </c>
      <c r="I1969" s="124">
        <f ca="1">IFERROR(__xludf.DUMMYFUNCTION("""COMPUTED_VALUE"""),5)</f>
        <v>5</v>
      </c>
      <c r="J1969" s="124">
        <f ca="1">IFERROR(__xludf.DUMMYFUNCTION("""COMPUTED_VALUE"""),4)</f>
        <v>4</v>
      </c>
      <c r="K1969" s="125">
        <f ca="1">IFERROR(__xludf.DUMMYFUNCTION("""COMPUTED_VALUE"""),52.75)</f>
        <v>52.75</v>
      </c>
      <c r="L1969" s="121"/>
      <c r="M1969" s="125">
        <f ca="1">IFERROR(__xludf.DUMMYFUNCTION("""COMPUTED_VALUE"""),-81.5)</f>
        <v>-81.5</v>
      </c>
      <c r="N1969" s="121"/>
      <c r="O1969" s="125">
        <f ca="1">IFERROR(__xludf.DUMMYFUNCTION("""COMPUTED_VALUE"""),52.75)</f>
        <v>52.75</v>
      </c>
      <c r="P1969" s="126"/>
      <c r="Q1969" s="127"/>
      <c r="R1969" s="127"/>
      <c r="S1969" s="127"/>
      <c r="T1969" s="127"/>
    </row>
    <row r="1970" spans="1:20" ht="13.8">
      <c r="A1970" s="118" t="str">
        <f ca="1">IFERROR(__xludf.DUMMYFUNCTION("""COMPUTED_VALUE"""),"T")</f>
        <v>T</v>
      </c>
      <c r="B1970" s="119" t="str">
        <f ca="1">IFERROR(__xludf.DUMMYFUNCTION("""COMPUTED_VALUE"""),"Davis Miller")</f>
        <v>Davis Miller</v>
      </c>
      <c r="C1970" s="118">
        <f ca="1">IFERROR(__xludf.DUMMYFUNCTION("""COMPUTED_VALUE"""),9)</f>
        <v>9</v>
      </c>
      <c r="D1970" s="118" t="str">
        <f ca="1">IFERROR(__xludf.DUMMYFUNCTION("""COMPUTED_VALUE"""),"B")</f>
        <v>B</v>
      </c>
      <c r="E1970" s="118" t="str">
        <f ca="1">IFERROR(__xludf.DUMMYFUNCTION("""COMPUTED_VALUE"""),"F")</f>
        <v>F</v>
      </c>
      <c r="F1970" s="124" t="str">
        <f ca="1">IFERROR(__xludf.DUMMYFUNCTION("""COMPUTED_VALUE"""),"J")</f>
        <v>J</v>
      </c>
      <c r="G1970" s="124">
        <f ca="1">IFERROR(__xludf.DUMMYFUNCTION("""COMPUTED_VALUE"""),6)</f>
        <v>6</v>
      </c>
      <c r="H1970" s="124" t="str">
        <f ca="1">IFERROR(__xludf.DUMMYFUNCTION("""COMPUTED_VALUE"""),"T")</f>
        <v>T</v>
      </c>
      <c r="I1970" s="124">
        <f ca="1">IFERROR(__xludf.DUMMYFUNCTION("""COMPUTED_VALUE"""),5)</f>
        <v>5</v>
      </c>
      <c r="J1970" s="124">
        <f ca="1">IFERROR(__xludf.DUMMYFUNCTION("""COMPUTED_VALUE"""),3)</f>
        <v>3</v>
      </c>
      <c r="K1970" s="125">
        <f ca="1">IFERROR(__xludf.DUMMYFUNCTION("""COMPUTED_VALUE"""),50.15)</f>
        <v>50.15</v>
      </c>
      <c r="L1970" s="121"/>
      <c r="M1970" s="125"/>
      <c r="N1970" s="121"/>
      <c r="O1970" s="125">
        <f ca="1">IFERROR(__xludf.DUMMYFUNCTION("""COMPUTED_VALUE"""),40.2)</f>
        <v>40.200000000000003</v>
      </c>
      <c r="P1970" s="126"/>
      <c r="Q1970" s="127"/>
      <c r="R1970" s="127"/>
      <c r="S1970" s="127"/>
      <c r="T1970" s="127"/>
    </row>
    <row r="1971" spans="1:20" ht="13.8">
      <c r="A1971" s="118" t="str">
        <f ca="1">IFERROR(__xludf.DUMMYFUNCTION("""COMPUTED_VALUE"""),"T")</f>
        <v>T</v>
      </c>
      <c r="B1971" s="119" t="str">
        <f ca="1">IFERROR(__xludf.DUMMYFUNCTION("""COMPUTED_VALUE"""),"Jarlath Mahoney")</f>
        <v>Jarlath Mahoney</v>
      </c>
      <c r="C1971" s="118">
        <f ca="1">IFERROR(__xludf.DUMMYFUNCTION("""COMPUTED_VALUE"""),9)</f>
        <v>9</v>
      </c>
      <c r="D1971" s="118" t="str">
        <f ca="1">IFERROR(__xludf.DUMMYFUNCTION("""COMPUTED_VALUE"""),"B")</f>
        <v>B</v>
      </c>
      <c r="E1971" s="118" t="str">
        <f ca="1">IFERROR(__xludf.DUMMYFUNCTION("""COMPUTED_VALUE"""),"F")</f>
        <v>F</v>
      </c>
      <c r="F1971" s="124" t="str">
        <f ca="1">IFERROR(__xludf.DUMMYFUNCTION("""COMPUTED_VALUE"""),"J")</f>
        <v>J</v>
      </c>
      <c r="G1971" s="124">
        <f ca="1">IFERROR(__xludf.DUMMYFUNCTION("""COMPUTED_VALUE"""),6)</f>
        <v>6</v>
      </c>
      <c r="H1971" s="124" t="str">
        <f ca="1">IFERROR(__xludf.DUMMYFUNCTION("""COMPUTED_VALUE"""),"T")</f>
        <v>T</v>
      </c>
      <c r="I1971" s="124">
        <f ca="1">IFERROR(__xludf.DUMMYFUNCTION("""COMPUTED_VALUE"""),5)</f>
        <v>5</v>
      </c>
      <c r="J1971" s="124">
        <f ca="1">IFERROR(__xludf.DUMMYFUNCTION("""COMPUTED_VALUE"""),0)</f>
        <v>0</v>
      </c>
      <c r="K1971" s="125"/>
      <c r="L1971" s="121"/>
      <c r="M1971" s="125"/>
      <c r="N1971" s="121"/>
      <c r="O1971" s="125"/>
      <c r="P1971" s="126"/>
      <c r="Q1971" s="127"/>
      <c r="R1971" s="127"/>
      <c r="S1971" s="127"/>
      <c r="T1971" s="127"/>
    </row>
    <row r="1972" spans="1:20" ht="13.8">
      <c r="A1972" s="118" t="str">
        <f ca="1">IFERROR(__xludf.DUMMYFUNCTION("""COMPUTED_VALUE"""),"T")</f>
        <v>T</v>
      </c>
      <c r="B1972" s="119" t="str">
        <f ca="1">IFERROR(__xludf.DUMMYFUNCTION("""COMPUTED_VALUE"""),"Joseph Wright")</f>
        <v>Joseph Wright</v>
      </c>
      <c r="C1972" s="118">
        <f ca="1">IFERROR(__xludf.DUMMYFUNCTION("""COMPUTED_VALUE"""),6)</f>
        <v>6</v>
      </c>
      <c r="D1972" s="118" t="str">
        <f ca="1">IFERROR(__xludf.DUMMYFUNCTION("""COMPUTED_VALUE"""),"B")</f>
        <v>B</v>
      </c>
      <c r="E1972" s="118" t="str">
        <f ca="1">IFERROR(__xludf.DUMMYFUNCTION("""COMPUTED_VALUE"""),"F")</f>
        <v>F</v>
      </c>
      <c r="F1972" s="124" t="str">
        <f ca="1">IFERROR(__xludf.DUMMYFUNCTION("""COMPUTED_VALUE"""),"J")</f>
        <v>J</v>
      </c>
      <c r="G1972" s="124">
        <f ca="1">IFERROR(__xludf.DUMMYFUNCTION("""COMPUTED_VALUE"""),6)</f>
        <v>6</v>
      </c>
      <c r="H1972" s="124" t="str">
        <f ca="1">IFERROR(__xludf.DUMMYFUNCTION("""COMPUTED_VALUE"""),"T")</f>
        <v>T</v>
      </c>
      <c r="I1972" s="124">
        <f ca="1">IFERROR(__xludf.DUMMYFUNCTION("""COMPUTED_VALUE"""),5)</f>
        <v>5</v>
      </c>
      <c r="J1972" s="124">
        <f ca="1">IFERROR(__xludf.DUMMYFUNCTION("""COMPUTED_VALUE"""),0)</f>
        <v>0</v>
      </c>
      <c r="K1972" s="125"/>
      <c r="L1972" s="121"/>
      <c r="M1972" s="125"/>
      <c r="N1972" s="121"/>
      <c r="O1972" s="125"/>
      <c r="P1972" s="126"/>
      <c r="Q1972" s="127"/>
      <c r="R1972" s="127"/>
      <c r="S1972" s="127"/>
      <c r="T1972" s="127"/>
    </row>
    <row r="1973" spans="1:20" ht="13.8">
      <c r="A1973" s="118" t="str">
        <f ca="1">IFERROR(__xludf.DUMMYFUNCTION("""COMPUTED_VALUE"""),"T")</f>
        <v>T</v>
      </c>
      <c r="B1973" s="119" t="str">
        <f ca="1">IFERROR(__xludf.DUMMYFUNCTION("""COMPUTED_VALUE"""),"Max Waisberg")</f>
        <v>Max Waisberg</v>
      </c>
      <c r="C1973" s="118">
        <f ca="1">IFERROR(__xludf.DUMMYFUNCTION("""COMPUTED_VALUE"""),10)</f>
        <v>10</v>
      </c>
      <c r="D1973" s="118" t="str">
        <f ca="1">IFERROR(__xludf.DUMMYFUNCTION("""COMPUTED_VALUE"""),"B")</f>
        <v>B</v>
      </c>
      <c r="E1973" s="118" t="str">
        <f ca="1">IFERROR(__xludf.DUMMYFUNCTION("""COMPUTED_VALUE"""),"F")</f>
        <v>F</v>
      </c>
      <c r="F1973" s="124" t="str">
        <f ca="1">IFERROR(__xludf.DUMMYFUNCTION("""COMPUTED_VALUE"""),"J")</f>
        <v>J</v>
      </c>
      <c r="G1973" s="124">
        <f ca="1">IFERROR(__xludf.DUMMYFUNCTION("""COMPUTED_VALUE"""),6)</f>
        <v>6</v>
      </c>
      <c r="H1973" s="124" t="str">
        <f ca="1">IFERROR(__xludf.DUMMYFUNCTION("""COMPUTED_VALUE"""),"T")</f>
        <v>T</v>
      </c>
      <c r="I1973" s="124">
        <f ca="1">IFERROR(__xludf.DUMMYFUNCTION("""COMPUTED_VALUE"""),5)</f>
        <v>5</v>
      </c>
      <c r="J1973" s="124">
        <f ca="1">IFERROR(__xludf.DUMMYFUNCTION("""COMPUTED_VALUE"""),4)</f>
        <v>4</v>
      </c>
      <c r="K1973" s="125">
        <f ca="1">IFERROR(__xludf.DUMMYFUNCTION("""COMPUTED_VALUE"""),70)</f>
        <v>70</v>
      </c>
      <c r="L1973" s="121"/>
      <c r="M1973" s="125">
        <f ca="1">IFERROR(__xludf.DUMMYFUNCTION("""COMPUTED_VALUE"""),70)</f>
        <v>70</v>
      </c>
      <c r="N1973" s="121"/>
      <c r="O1973" s="125"/>
      <c r="P1973" s="126"/>
      <c r="Q1973" s="127"/>
      <c r="R1973" s="127"/>
      <c r="S1973" s="127"/>
      <c r="T1973" s="127"/>
    </row>
    <row r="1974" spans="1:20" ht="13.8">
      <c r="A1974" s="118" t="str">
        <f ca="1">IFERROR(__xludf.DUMMYFUNCTION("""COMPUTED_VALUE"""),"T")</f>
        <v>T</v>
      </c>
      <c r="B1974" s="119" t="str">
        <f ca="1">IFERROR(__xludf.DUMMYFUNCTION("""COMPUTED_VALUE"""),"Nico Rodriguez")</f>
        <v>Nico Rodriguez</v>
      </c>
      <c r="C1974" s="118">
        <f ca="1">IFERROR(__xludf.DUMMYFUNCTION("""COMPUTED_VALUE"""),6)</f>
        <v>6</v>
      </c>
      <c r="D1974" s="118" t="str">
        <f ca="1">IFERROR(__xludf.DUMMYFUNCTION("""COMPUTED_VALUE"""),"B")</f>
        <v>B</v>
      </c>
      <c r="E1974" s="118" t="str">
        <f ca="1">IFERROR(__xludf.DUMMYFUNCTION("""COMPUTED_VALUE"""),"F")</f>
        <v>F</v>
      </c>
      <c r="F1974" s="124" t="str">
        <f ca="1">IFERROR(__xludf.DUMMYFUNCTION("""COMPUTED_VALUE"""),"J")</f>
        <v>J</v>
      </c>
      <c r="G1974" s="124">
        <f ca="1">IFERROR(__xludf.DUMMYFUNCTION("""COMPUTED_VALUE"""),6)</f>
        <v>6</v>
      </c>
      <c r="H1974" s="124" t="str">
        <f ca="1">IFERROR(__xludf.DUMMYFUNCTION("""COMPUTED_VALUE"""),"T")</f>
        <v>T</v>
      </c>
      <c r="I1974" s="124">
        <f ca="1">IFERROR(__xludf.DUMMYFUNCTION("""COMPUTED_VALUE"""),5)</f>
        <v>5</v>
      </c>
      <c r="J1974" s="124">
        <f ca="1">IFERROR(__xludf.DUMMYFUNCTION("""COMPUTED_VALUE"""),0)</f>
        <v>0</v>
      </c>
      <c r="K1974" s="125"/>
      <c r="L1974" s="121"/>
      <c r="M1974" s="125"/>
      <c r="N1974" s="121"/>
      <c r="O1974" s="125"/>
      <c r="P1974" s="126"/>
      <c r="Q1974" s="127"/>
      <c r="R1974" s="127"/>
      <c r="S1974" s="127"/>
      <c r="T1974" s="127"/>
    </row>
    <row r="1975" spans="1:20" ht="13.8">
      <c r="A1975" s="118" t="str">
        <f ca="1">IFERROR(__xludf.DUMMYFUNCTION("""COMPUTED_VALUE"""),"T")</f>
        <v>T</v>
      </c>
      <c r="B1975" s="119" t="str">
        <f ca="1">IFERROR(__xludf.DUMMYFUNCTION("""COMPUTED_VALUE"""),"Oli Waisberg")</f>
        <v>Oli Waisberg</v>
      </c>
      <c r="C1975" s="118">
        <f ca="1">IFERROR(__xludf.DUMMYFUNCTION("""COMPUTED_VALUE"""),10)</f>
        <v>10</v>
      </c>
      <c r="D1975" s="118" t="str">
        <f ca="1">IFERROR(__xludf.DUMMYFUNCTION("""COMPUTED_VALUE"""),"B")</f>
        <v>B</v>
      </c>
      <c r="E1975" s="118" t="str">
        <f ca="1">IFERROR(__xludf.DUMMYFUNCTION("""COMPUTED_VALUE"""),"F")</f>
        <v>F</v>
      </c>
      <c r="F1975" s="124" t="str">
        <f ca="1">IFERROR(__xludf.DUMMYFUNCTION("""COMPUTED_VALUE"""),"J")</f>
        <v>J</v>
      </c>
      <c r="G1975" s="124">
        <f ca="1">IFERROR(__xludf.DUMMYFUNCTION("""COMPUTED_VALUE"""),6)</f>
        <v>6</v>
      </c>
      <c r="H1975" s="124" t="str">
        <f ca="1">IFERROR(__xludf.DUMMYFUNCTION("""COMPUTED_VALUE"""),"T")</f>
        <v>T</v>
      </c>
      <c r="I1975" s="124">
        <f ca="1">IFERROR(__xludf.DUMMYFUNCTION("""COMPUTED_VALUE"""),5)</f>
        <v>5</v>
      </c>
      <c r="J1975" s="124">
        <f ca="1">IFERROR(__xludf.DUMMYFUNCTION("""COMPUTED_VALUE"""),4)</f>
        <v>4</v>
      </c>
      <c r="K1975" s="125">
        <f ca="1">IFERROR(__xludf.DUMMYFUNCTION("""COMPUTED_VALUE"""),65.7)</f>
        <v>65.7</v>
      </c>
      <c r="L1975" s="121"/>
      <c r="M1975" s="125">
        <f ca="1">IFERROR(__xludf.DUMMYFUNCTION("""COMPUTED_VALUE"""),60.65)</f>
        <v>60.65</v>
      </c>
      <c r="N1975" s="121"/>
      <c r="O1975" s="125"/>
      <c r="P1975" s="126"/>
      <c r="Q1975" s="127"/>
      <c r="R1975" s="127"/>
      <c r="S1975" s="127"/>
      <c r="T1975" s="127"/>
    </row>
    <row r="1976" spans="1:20" ht="13.8">
      <c r="A1976" s="118" t="str">
        <f ca="1">IFERROR(__xludf.DUMMYFUNCTION("""COMPUTED_VALUE"""),"T")</f>
        <v>T</v>
      </c>
      <c r="B1976" s="119" t="str">
        <f ca="1">IFERROR(__xludf.DUMMYFUNCTION("""COMPUTED_VALUE"""),"Patrick Coyne")</f>
        <v>Patrick Coyne</v>
      </c>
      <c r="C1976" s="118">
        <f ca="1">IFERROR(__xludf.DUMMYFUNCTION("""COMPUTED_VALUE"""),8)</f>
        <v>8</v>
      </c>
      <c r="D1976" s="118" t="str">
        <f ca="1">IFERROR(__xludf.DUMMYFUNCTION("""COMPUTED_VALUE"""),"B")</f>
        <v>B</v>
      </c>
      <c r="E1976" s="118" t="str">
        <f ca="1">IFERROR(__xludf.DUMMYFUNCTION("""COMPUTED_VALUE"""),"F")</f>
        <v>F</v>
      </c>
      <c r="F1976" s="124" t="str">
        <f ca="1">IFERROR(__xludf.DUMMYFUNCTION("""COMPUTED_VALUE"""),"J")</f>
        <v>J</v>
      </c>
      <c r="G1976" s="124">
        <f ca="1">IFERROR(__xludf.DUMMYFUNCTION("""COMPUTED_VALUE"""),6)</f>
        <v>6</v>
      </c>
      <c r="H1976" s="124" t="str">
        <f ca="1">IFERROR(__xludf.DUMMYFUNCTION("""COMPUTED_VALUE"""),"T")</f>
        <v>T</v>
      </c>
      <c r="I1976" s="124">
        <f ca="1">IFERROR(__xludf.DUMMYFUNCTION("""COMPUTED_VALUE"""),5)</f>
        <v>5</v>
      </c>
      <c r="J1976" s="124">
        <f ca="1">IFERROR(__xludf.DUMMYFUNCTION("""COMPUTED_VALUE"""),1)</f>
        <v>1</v>
      </c>
      <c r="K1976" s="125">
        <f ca="1">IFERROR(__xludf.DUMMYFUNCTION("""COMPUTED_VALUE"""),18.15)</f>
        <v>18.149999999999999</v>
      </c>
      <c r="L1976" s="121"/>
      <c r="M1976" s="125"/>
      <c r="N1976" s="121"/>
      <c r="O1976" s="125">
        <f ca="1">IFERROR(__xludf.DUMMYFUNCTION("""COMPUTED_VALUE"""),18.15)</f>
        <v>18.149999999999999</v>
      </c>
      <c r="P1976" s="126"/>
      <c r="Q1976" s="127"/>
      <c r="R1976" s="127"/>
      <c r="S1976" s="127"/>
      <c r="T1976" s="127"/>
    </row>
    <row r="1977" spans="1:20" ht="13.8">
      <c r="A1977" s="118" t="str">
        <f ca="1">IFERROR(__xludf.DUMMYFUNCTION("""COMPUTED_VALUE"""),"T")</f>
        <v>T</v>
      </c>
      <c r="B1977" s="119" t="str">
        <f ca="1">IFERROR(__xludf.DUMMYFUNCTION("""COMPUTED_VALUE"""),"Reid Heller")</f>
        <v>Reid Heller</v>
      </c>
      <c r="C1977" s="118">
        <f ca="1">IFERROR(__xludf.DUMMYFUNCTION("""COMPUTED_VALUE"""),10)</f>
        <v>10</v>
      </c>
      <c r="D1977" s="118" t="str">
        <f ca="1">IFERROR(__xludf.DUMMYFUNCTION("""COMPUTED_VALUE"""),"B")</f>
        <v>B</v>
      </c>
      <c r="E1977" s="118" t="str">
        <f ca="1">IFERROR(__xludf.DUMMYFUNCTION("""COMPUTED_VALUE"""),"F")</f>
        <v>F</v>
      </c>
      <c r="F1977" s="124" t="str">
        <f ca="1">IFERROR(__xludf.DUMMYFUNCTION("""COMPUTED_VALUE"""),"J")</f>
        <v>J</v>
      </c>
      <c r="G1977" s="124">
        <f ca="1">IFERROR(__xludf.DUMMYFUNCTION("""COMPUTED_VALUE"""),6)</f>
        <v>6</v>
      </c>
      <c r="H1977" s="124" t="str">
        <f ca="1">IFERROR(__xludf.DUMMYFUNCTION("""COMPUTED_VALUE"""),"T")</f>
        <v>T</v>
      </c>
      <c r="I1977" s="124">
        <f ca="1">IFERROR(__xludf.DUMMYFUNCTION("""COMPUTED_VALUE"""),5)</f>
        <v>5</v>
      </c>
      <c r="J1977" s="124">
        <f ca="1">IFERROR(__xludf.DUMMYFUNCTION("""COMPUTED_VALUE"""),3)</f>
        <v>3</v>
      </c>
      <c r="K1977" s="125">
        <f ca="1">IFERROR(__xludf.DUMMYFUNCTION("""COMPUTED_VALUE"""),54.6)</f>
        <v>54.6</v>
      </c>
      <c r="L1977" s="121"/>
      <c r="M1977" s="125">
        <f ca="1">IFERROR(__xludf.DUMMYFUNCTION("""COMPUTED_VALUE"""),54.6)</f>
        <v>54.6</v>
      </c>
      <c r="N1977" s="121"/>
      <c r="O1977" s="125">
        <f ca="1">IFERROR(__xludf.DUMMYFUNCTION("""COMPUTED_VALUE"""),48.05)</f>
        <v>48.05</v>
      </c>
      <c r="P1977" s="126"/>
      <c r="Q1977" s="127"/>
      <c r="R1977" s="127"/>
      <c r="S1977" s="127"/>
      <c r="T1977" s="127"/>
    </row>
    <row r="1978" spans="1:20" ht="13.8">
      <c r="A1978" s="118" t="str">
        <f ca="1">IFERROR(__xludf.DUMMYFUNCTION("""COMPUTED_VALUE"""),"T")</f>
        <v>T</v>
      </c>
      <c r="B1978" s="119" t="str">
        <f ca="1">IFERROR(__xludf.DUMMYFUNCTION("""COMPUTED_VALUE"""),"Sawyer Lawrence")</f>
        <v>Sawyer Lawrence</v>
      </c>
      <c r="C1978" s="118">
        <f ca="1">IFERROR(__xludf.DUMMYFUNCTION("""COMPUTED_VALUE"""),9)</f>
        <v>9</v>
      </c>
      <c r="D1978" s="118" t="str">
        <f ca="1">IFERROR(__xludf.DUMMYFUNCTION("""COMPUTED_VALUE"""),"B")</f>
        <v>B</v>
      </c>
      <c r="E1978" s="118" t="str">
        <f ca="1">IFERROR(__xludf.DUMMYFUNCTION("""COMPUTED_VALUE"""),"F")</f>
        <v>F</v>
      </c>
      <c r="F1978" s="124" t="str">
        <f ca="1">IFERROR(__xludf.DUMMYFUNCTION("""COMPUTED_VALUE"""),"J")</f>
        <v>J</v>
      </c>
      <c r="G1978" s="124">
        <f ca="1">IFERROR(__xludf.DUMMYFUNCTION("""COMPUTED_VALUE"""),6)</f>
        <v>6</v>
      </c>
      <c r="H1978" s="124" t="str">
        <f ca="1">IFERROR(__xludf.DUMMYFUNCTION("""COMPUTED_VALUE"""),"T")</f>
        <v>T</v>
      </c>
      <c r="I1978" s="124">
        <f ca="1">IFERROR(__xludf.DUMMYFUNCTION("""COMPUTED_VALUE"""),5)</f>
        <v>5</v>
      </c>
      <c r="J1978" s="124">
        <f ca="1">IFERROR(__xludf.DUMMYFUNCTION("""COMPUTED_VALUE"""),4)</f>
        <v>4</v>
      </c>
      <c r="K1978" s="125">
        <f ca="1">IFERROR(__xludf.DUMMYFUNCTION("""COMPUTED_VALUE"""),51.1)</f>
        <v>51.1</v>
      </c>
      <c r="L1978" s="121"/>
      <c r="M1978" s="125">
        <f ca="1">IFERROR(__xludf.DUMMYFUNCTION("""COMPUTED_VALUE"""),51.1)</f>
        <v>51.1</v>
      </c>
      <c r="N1978" s="121"/>
      <c r="O1978" s="125"/>
      <c r="P1978" s="126"/>
      <c r="Q1978" s="127"/>
      <c r="R1978" s="127"/>
      <c r="S1978" s="127"/>
      <c r="T1978" s="127"/>
    </row>
    <row r="1979" spans="1:20" ht="13.8">
      <c r="A1979" s="118" t="str">
        <f ca="1">IFERROR(__xludf.DUMMYFUNCTION("""COMPUTED_VALUE"""),"T")</f>
        <v>T</v>
      </c>
      <c r="B1979" s="119" t="str">
        <f ca="1">IFERROR(__xludf.DUMMYFUNCTION("""COMPUTED_VALUE"""),"Victor Rodriguez")</f>
        <v>Victor Rodriguez</v>
      </c>
      <c r="C1979" s="118">
        <f ca="1">IFERROR(__xludf.DUMMYFUNCTION("""COMPUTED_VALUE"""),10)</f>
        <v>10</v>
      </c>
      <c r="D1979" s="118" t="str">
        <f ca="1">IFERROR(__xludf.DUMMYFUNCTION("""COMPUTED_VALUE"""),"B")</f>
        <v>B</v>
      </c>
      <c r="E1979" s="118" t="str">
        <f ca="1">IFERROR(__xludf.DUMMYFUNCTION("""COMPUTED_VALUE"""),"F")</f>
        <v>F</v>
      </c>
      <c r="F1979" s="124" t="str">
        <f ca="1">IFERROR(__xludf.DUMMYFUNCTION("""COMPUTED_VALUE"""),"J")</f>
        <v>J</v>
      </c>
      <c r="G1979" s="124">
        <f ca="1">IFERROR(__xludf.DUMMYFUNCTION("""COMPUTED_VALUE"""),6)</f>
        <v>6</v>
      </c>
      <c r="H1979" s="124" t="str">
        <f ca="1">IFERROR(__xludf.DUMMYFUNCTION("""COMPUTED_VALUE"""),"T")</f>
        <v>T</v>
      </c>
      <c r="I1979" s="124">
        <f ca="1">IFERROR(__xludf.DUMMYFUNCTION("""COMPUTED_VALUE"""),5)</f>
        <v>5</v>
      </c>
      <c r="J1979" s="124">
        <f ca="1">IFERROR(__xludf.DUMMYFUNCTION("""COMPUTED_VALUE"""),3)</f>
        <v>3</v>
      </c>
      <c r="K1979" s="125">
        <f ca="1">IFERROR(__xludf.DUMMYFUNCTION("""COMPUTED_VALUE"""),57.25)</f>
        <v>57.25</v>
      </c>
      <c r="L1979" s="121"/>
      <c r="M1979" s="125">
        <f ca="1">IFERROR(__xludf.DUMMYFUNCTION("""COMPUTED_VALUE"""),52.3)</f>
        <v>52.3</v>
      </c>
      <c r="N1979" s="121"/>
      <c r="O1979" s="125"/>
      <c r="P1979" s="126"/>
      <c r="Q1979" s="127"/>
      <c r="R1979" s="127"/>
      <c r="S1979" s="127"/>
      <c r="T1979" s="127"/>
    </row>
    <row r="1980" spans="1:20" ht="13.8">
      <c r="A1980" s="118" t="str">
        <f ca="1">IFERROR(__xludf.DUMMYFUNCTION("""COMPUTED_VALUE"""),"T")</f>
        <v>T</v>
      </c>
      <c r="B1980" s="119" t="str">
        <f ca="1">IFERROR(__xludf.DUMMYFUNCTION("""COMPUTED_VALUE"""),"Ally Han")</f>
        <v>Ally Han</v>
      </c>
      <c r="C1980" s="118">
        <f ca="1">IFERROR(__xludf.DUMMYFUNCTION("""COMPUTED_VALUE"""),11)</f>
        <v>11</v>
      </c>
      <c r="D1980" s="118" t="str">
        <f ca="1">IFERROR(__xludf.DUMMYFUNCTION("""COMPUTED_VALUE"""),"G")</f>
        <v>G</v>
      </c>
      <c r="E1980" s="118" t="str">
        <f ca="1">IFERROR(__xludf.DUMMYFUNCTION("""COMPUTED_VALUE"""),"J")</f>
        <v>J</v>
      </c>
      <c r="F1980" s="124" t="str">
        <f ca="1">IFERROR(__xludf.DUMMYFUNCTION("""COMPUTED_VALUE"""),"I")</f>
        <v>I</v>
      </c>
      <c r="G1980" s="124">
        <f ca="1">IFERROR(__xludf.DUMMYFUNCTION("""COMPUTED_VALUE"""),6)</f>
        <v>6</v>
      </c>
      <c r="H1980" s="124" t="str">
        <f ca="1">IFERROR(__xludf.DUMMYFUNCTION("""COMPUTED_VALUE"""),"T")</f>
        <v>T</v>
      </c>
      <c r="I1980" s="124">
        <f ca="1">IFERROR(__xludf.DUMMYFUNCTION("""COMPUTED_VALUE"""),6)</f>
        <v>6</v>
      </c>
      <c r="J1980" s="124">
        <f ca="1">IFERROR(__xludf.DUMMYFUNCTION("""COMPUTED_VALUE"""),4)</f>
        <v>4</v>
      </c>
      <c r="K1980" s="125">
        <f ca="1">IFERROR(__xludf.DUMMYFUNCTION("""COMPUTED_VALUE"""),79)</f>
        <v>79</v>
      </c>
      <c r="L1980" s="121"/>
      <c r="M1980" s="125">
        <f ca="1">IFERROR(__xludf.DUMMYFUNCTION("""COMPUTED_VALUE"""),66.35)</f>
        <v>66.349999999999994</v>
      </c>
      <c r="N1980" s="121"/>
      <c r="O1980" s="125">
        <f ca="1">IFERROR(__xludf.DUMMYFUNCTION("""COMPUTED_VALUE"""),64)</f>
        <v>64</v>
      </c>
      <c r="P1980" s="126"/>
      <c r="Q1980" s="127"/>
      <c r="R1980" s="127"/>
      <c r="S1980" s="127"/>
      <c r="T1980" s="127"/>
    </row>
    <row r="1981" spans="1:20" ht="13.8">
      <c r="A1981" s="118" t="str">
        <f ca="1">IFERROR(__xludf.DUMMYFUNCTION("""COMPUTED_VALUE"""),"T")</f>
        <v>T</v>
      </c>
      <c r="B1981" s="119" t="str">
        <f ca="1">IFERROR(__xludf.DUMMYFUNCTION("""COMPUTED_VALUE"""),"Anika Sander")</f>
        <v>Anika Sander</v>
      </c>
      <c r="C1981" s="118">
        <f ca="1">IFERROR(__xludf.DUMMYFUNCTION("""COMPUTED_VALUE"""),12)</f>
        <v>12</v>
      </c>
      <c r="D1981" s="118" t="str">
        <f ca="1">IFERROR(__xludf.DUMMYFUNCTION("""COMPUTED_VALUE"""),"G")</f>
        <v>G</v>
      </c>
      <c r="E1981" s="118" t="str">
        <f ca="1">IFERROR(__xludf.DUMMYFUNCTION("""COMPUTED_VALUE"""),"J")</f>
        <v>J</v>
      </c>
      <c r="F1981" s="124" t="str">
        <f ca="1">IFERROR(__xludf.DUMMYFUNCTION("""COMPUTED_VALUE"""),"I")</f>
        <v>I</v>
      </c>
      <c r="G1981" s="124">
        <f ca="1">IFERROR(__xludf.DUMMYFUNCTION("""COMPUTED_VALUE"""),6)</f>
        <v>6</v>
      </c>
      <c r="H1981" s="124" t="str">
        <f ca="1">IFERROR(__xludf.DUMMYFUNCTION("""COMPUTED_VALUE"""),"T")</f>
        <v>T</v>
      </c>
      <c r="I1981" s="124">
        <f ca="1">IFERROR(__xludf.DUMMYFUNCTION("""COMPUTED_VALUE"""),6)</f>
        <v>6</v>
      </c>
      <c r="J1981" s="124">
        <f ca="1">IFERROR(__xludf.DUMMYFUNCTION("""COMPUTED_VALUE"""),0)</f>
        <v>0</v>
      </c>
      <c r="K1981" s="125"/>
      <c r="L1981" s="121"/>
      <c r="M1981" s="125"/>
      <c r="N1981" s="121"/>
      <c r="O1981" s="125"/>
      <c r="P1981" s="126"/>
      <c r="Q1981" s="127"/>
      <c r="R1981" s="127"/>
      <c r="S1981" s="127"/>
      <c r="T1981" s="127"/>
    </row>
    <row r="1982" spans="1:20" ht="13.8">
      <c r="A1982" s="118" t="str">
        <f ca="1">IFERROR(__xludf.DUMMYFUNCTION("""COMPUTED_VALUE"""),"T")</f>
        <v>T</v>
      </c>
      <c r="B1982" s="119" t="str">
        <f ca="1">IFERROR(__xludf.DUMMYFUNCTION("""COMPUTED_VALUE"""),"Aria Maru")</f>
        <v>Aria Maru</v>
      </c>
      <c r="C1982" s="118">
        <f ca="1">IFERROR(__xludf.DUMMYFUNCTION("""COMPUTED_VALUE"""),11)</f>
        <v>11</v>
      </c>
      <c r="D1982" s="118" t="str">
        <f ca="1">IFERROR(__xludf.DUMMYFUNCTION("""COMPUTED_VALUE"""),"G")</f>
        <v>G</v>
      </c>
      <c r="E1982" s="118" t="str">
        <f ca="1">IFERROR(__xludf.DUMMYFUNCTION("""COMPUTED_VALUE"""),"J")</f>
        <v>J</v>
      </c>
      <c r="F1982" s="124" t="str">
        <f ca="1">IFERROR(__xludf.DUMMYFUNCTION("""COMPUTED_VALUE"""),"I")</f>
        <v>I</v>
      </c>
      <c r="G1982" s="124">
        <f ca="1">IFERROR(__xludf.DUMMYFUNCTION("""COMPUTED_VALUE"""),6)</f>
        <v>6</v>
      </c>
      <c r="H1982" s="124" t="str">
        <f ca="1">IFERROR(__xludf.DUMMYFUNCTION("""COMPUTED_VALUE"""),"T")</f>
        <v>T</v>
      </c>
      <c r="I1982" s="124">
        <f ca="1">IFERROR(__xludf.DUMMYFUNCTION("""COMPUTED_VALUE"""),6)</f>
        <v>6</v>
      </c>
      <c r="J1982" s="124">
        <f ca="1">IFERROR(__xludf.DUMMYFUNCTION("""COMPUTED_VALUE"""),0)</f>
        <v>0</v>
      </c>
      <c r="K1982" s="125"/>
      <c r="L1982" s="121"/>
      <c r="M1982" s="125"/>
      <c r="N1982" s="121"/>
      <c r="O1982" s="125"/>
      <c r="P1982" s="126"/>
      <c r="Q1982" s="127"/>
      <c r="R1982" s="127"/>
      <c r="S1982" s="127"/>
      <c r="T1982" s="127"/>
    </row>
    <row r="1983" spans="1:20" ht="13.8">
      <c r="A1983" s="118" t="str">
        <f ca="1">IFERROR(__xludf.DUMMYFUNCTION("""COMPUTED_VALUE"""),"T")</f>
        <v>T</v>
      </c>
      <c r="B1983" s="119" t="str">
        <f ca="1">IFERROR(__xludf.DUMMYFUNCTION("""COMPUTED_VALUE"""),"Claire Cannon")</f>
        <v>Claire Cannon</v>
      </c>
      <c r="C1983" s="118">
        <f ca="1">IFERROR(__xludf.DUMMYFUNCTION("""COMPUTED_VALUE"""),11)</f>
        <v>11</v>
      </c>
      <c r="D1983" s="118" t="str">
        <f ca="1">IFERROR(__xludf.DUMMYFUNCTION("""COMPUTED_VALUE"""),"G")</f>
        <v>G</v>
      </c>
      <c r="E1983" s="118" t="str">
        <f ca="1">IFERROR(__xludf.DUMMYFUNCTION("""COMPUTED_VALUE"""),"J")</f>
        <v>J</v>
      </c>
      <c r="F1983" s="124" t="str">
        <f ca="1">IFERROR(__xludf.DUMMYFUNCTION("""COMPUTED_VALUE"""),"I")</f>
        <v>I</v>
      </c>
      <c r="G1983" s="124">
        <f ca="1">IFERROR(__xludf.DUMMYFUNCTION("""COMPUTED_VALUE"""),6)</f>
        <v>6</v>
      </c>
      <c r="H1983" s="124" t="str">
        <f ca="1">IFERROR(__xludf.DUMMYFUNCTION("""COMPUTED_VALUE"""),"T")</f>
        <v>T</v>
      </c>
      <c r="I1983" s="124">
        <f ca="1">IFERROR(__xludf.DUMMYFUNCTION("""COMPUTED_VALUE"""),6)</f>
        <v>6</v>
      </c>
      <c r="J1983" s="124">
        <f ca="1">IFERROR(__xludf.DUMMYFUNCTION("""COMPUTED_VALUE"""),5)</f>
        <v>5</v>
      </c>
      <c r="K1983" s="125">
        <f ca="1">IFERROR(__xludf.DUMMYFUNCTION("""COMPUTED_VALUE"""),87.85)</f>
        <v>87.85</v>
      </c>
      <c r="L1983" s="121"/>
      <c r="M1983" s="125">
        <f ca="1">IFERROR(__xludf.DUMMYFUNCTION("""COMPUTED_VALUE"""),87.55)</f>
        <v>87.55</v>
      </c>
      <c r="N1983" s="121"/>
      <c r="O1983" s="125">
        <f ca="1">IFERROR(__xludf.DUMMYFUNCTION("""COMPUTED_VALUE"""),85.5)</f>
        <v>85.5</v>
      </c>
      <c r="P1983" s="126"/>
      <c r="Q1983" s="127"/>
      <c r="R1983" s="127"/>
      <c r="S1983" s="127"/>
      <c r="T1983" s="127"/>
    </row>
    <row r="1984" spans="1:20" ht="13.8">
      <c r="A1984" s="118" t="str">
        <f ca="1">IFERROR(__xludf.DUMMYFUNCTION("""COMPUTED_VALUE"""),"T")</f>
        <v>T</v>
      </c>
      <c r="B1984" s="119" t="str">
        <f ca="1">IFERROR(__xludf.DUMMYFUNCTION("""COMPUTED_VALUE"""),"Eden Cogert")</f>
        <v>Eden Cogert</v>
      </c>
      <c r="C1984" s="118">
        <f ca="1">IFERROR(__xludf.DUMMYFUNCTION("""COMPUTED_VALUE"""),12)</f>
        <v>12</v>
      </c>
      <c r="D1984" s="118" t="str">
        <f ca="1">IFERROR(__xludf.DUMMYFUNCTION("""COMPUTED_VALUE"""),"G")</f>
        <v>G</v>
      </c>
      <c r="E1984" s="118" t="str">
        <f ca="1">IFERROR(__xludf.DUMMYFUNCTION("""COMPUTED_VALUE"""),"J")</f>
        <v>J</v>
      </c>
      <c r="F1984" s="124" t="str">
        <f ca="1">IFERROR(__xludf.DUMMYFUNCTION("""COMPUTED_VALUE"""),"I")</f>
        <v>I</v>
      </c>
      <c r="G1984" s="124">
        <f ca="1">IFERROR(__xludf.DUMMYFUNCTION("""COMPUTED_VALUE"""),6)</f>
        <v>6</v>
      </c>
      <c r="H1984" s="124" t="str">
        <f ca="1">IFERROR(__xludf.DUMMYFUNCTION("""COMPUTED_VALUE"""),"T")</f>
        <v>T</v>
      </c>
      <c r="I1984" s="124">
        <f ca="1">IFERROR(__xludf.DUMMYFUNCTION("""COMPUTED_VALUE"""),6)</f>
        <v>6</v>
      </c>
      <c r="J1984" s="124">
        <f ca="1">IFERROR(__xludf.DUMMYFUNCTION("""COMPUTED_VALUE"""),4)</f>
        <v>4</v>
      </c>
      <c r="K1984" s="125">
        <f ca="1">IFERROR(__xludf.DUMMYFUNCTION("""COMPUTED_VALUE"""),98.7)</f>
        <v>98.7</v>
      </c>
      <c r="L1984" s="121"/>
      <c r="M1984" s="125">
        <f ca="1">IFERROR(__xludf.DUMMYFUNCTION("""COMPUTED_VALUE"""),97.75)</f>
        <v>97.75</v>
      </c>
      <c r="N1984" s="121"/>
      <c r="O1984" s="125"/>
      <c r="P1984" s="126"/>
      <c r="Q1984" s="127"/>
      <c r="R1984" s="127"/>
      <c r="S1984" s="127"/>
      <c r="T1984" s="127"/>
    </row>
    <row r="1985" spans="1:20" ht="13.8">
      <c r="A1985" s="118" t="str">
        <f ca="1">IFERROR(__xludf.DUMMYFUNCTION("""COMPUTED_VALUE"""),"T")</f>
        <v>T</v>
      </c>
      <c r="B1985" s="119" t="str">
        <f ca="1">IFERROR(__xludf.DUMMYFUNCTION("""COMPUTED_VALUE"""),"Elayna Cogert")</f>
        <v>Elayna Cogert</v>
      </c>
      <c r="C1985" s="118">
        <f ca="1">IFERROR(__xludf.DUMMYFUNCTION("""COMPUTED_VALUE"""),11)</f>
        <v>11</v>
      </c>
      <c r="D1985" s="118" t="str">
        <f ca="1">IFERROR(__xludf.DUMMYFUNCTION("""COMPUTED_VALUE"""),"G")</f>
        <v>G</v>
      </c>
      <c r="E1985" s="118" t="str">
        <f ca="1">IFERROR(__xludf.DUMMYFUNCTION("""COMPUTED_VALUE"""),"J")</f>
        <v>J</v>
      </c>
      <c r="F1985" s="124" t="str">
        <f ca="1">IFERROR(__xludf.DUMMYFUNCTION("""COMPUTED_VALUE"""),"I")</f>
        <v>I</v>
      </c>
      <c r="G1985" s="124">
        <f ca="1">IFERROR(__xludf.DUMMYFUNCTION("""COMPUTED_VALUE"""),6)</f>
        <v>6</v>
      </c>
      <c r="H1985" s="124" t="str">
        <f ca="1">IFERROR(__xludf.DUMMYFUNCTION("""COMPUTED_VALUE"""),"T")</f>
        <v>T</v>
      </c>
      <c r="I1985" s="124">
        <f ca="1">IFERROR(__xludf.DUMMYFUNCTION("""COMPUTED_VALUE"""),6)</f>
        <v>6</v>
      </c>
      <c r="J1985" s="124">
        <f ca="1">IFERROR(__xludf.DUMMYFUNCTION("""COMPUTED_VALUE"""),4)</f>
        <v>4</v>
      </c>
      <c r="K1985" s="125">
        <f ca="1">IFERROR(__xludf.DUMMYFUNCTION("""COMPUTED_VALUE"""),85.7)</f>
        <v>85.7</v>
      </c>
      <c r="L1985" s="121"/>
      <c r="M1985" s="125">
        <f ca="1">IFERROR(__xludf.DUMMYFUNCTION("""COMPUTED_VALUE"""),85.7)</f>
        <v>85.7</v>
      </c>
      <c r="N1985" s="121"/>
      <c r="O1985" s="125"/>
      <c r="P1985" s="126"/>
      <c r="Q1985" s="127"/>
      <c r="R1985" s="127"/>
      <c r="S1985" s="127"/>
      <c r="T1985" s="127"/>
    </row>
    <row r="1986" spans="1:20" ht="13.8">
      <c r="A1986" s="118" t="str">
        <f ca="1">IFERROR(__xludf.DUMMYFUNCTION("""COMPUTED_VALUE"""),"T")</f>
        <v>T</v>
      </c>
      <c r="B1986" s="119" t="str">
        <f ca="1">IFERROR(__xludf.DUMMYFUNCTION("""COMPUTED_VALUE"""),"Eliza Reece")</f>
        <v>Eliza Reece</v>
      </c>
      <c r="C1986" s="118">
        <f ca="1">IFERROR(__xludf.DUMMYFUNCTION("""COMPUTED_VALUE"""),11)</f>
        <v>11</v>
      </c>
      <c r="D1986" s="118" t="str">
        <f ca="1">IFERROR(__xludf.DUMMYFUNCTION("""COMPUTED_VALUE"""),"G")</f>
        <v>G</v>
      </c>
      <c r="E1986" s="118" t="str">
        <f ca="1">IFERROR(__xludf.DUMMYFUNCTION("""COMPUTED_VALUE"""),"J")</f>
        <v>J</v>
      </c>
      <c r="F1986" s="124" t="str">
        <f ca="1">IFERROR(__xludf.DUMMYFUNCTION("""COMPUTED_VALUE"""),"I")</f>
        <v>I</v>
      </c>
      <c r="G1986" s="124">
        <f ca="1">IFERROR(__xludf.DUMMYFUNCTION("""COMPUTED_VALUE"""),6)</f>
        <v>6</v>
      </c>
      <c r="H1986" s="124" t="str">
        <f ca="1">IFERROR(__xludf.DUMMYFUNCTION("""COMPUTED_VALUE"""),"T")</f>
        <v>T</v>
      </c>
      <c r="I1986" s="124">
        <f ca="1">IFERROR(__xludf.DUMMYFUNCTION("""COMPUTED_VALUE"""),6)</f>
        <v>6</v>
      </c>
      <c r="J1986" s="124">
        <f ca="1">IFERROR(__xludf.DUMMYFUNCTION("""COMPUTED_VALUE"""),0)</f>
        <v>0</v>
      </c>
      <c r="K1986" s="125"/>
      <c r="L1986" s="121"/>
      <c r="M1986" s="125"/>
      <c r="N1986" s="121"/>
      <c r="O1986" s="125"/>
      <c r="P1986" s="126"/>
      <c r="Q1986" s="127"/>
      <c r="R1986" s="127"/>
      <c r="S1986" s="127"/>
      <c r="T1986" s="127"/>
    </row>
    <row r="1987" spans="1:20" ht="13.8">
      <c r="A1987" s="118" t="str">
        <f ca="1">IFERROR(__xludf.DUMMYFUNCTION("""COMPUTED_VALUE"""),"T")</f>
        <v>T</v>
      </c>
      <c r="B1987" s="119" t="str">
        <f ca="1">IFERROR(__xludf.DUMMYFUNCTION("""COMPUTED_VALUE"""),"Eris Carney")</f>
        <v>Eris Carney</v>
      </c>
      <c r="C1987" s="118">
        <f ca="1">IFERROR(__xludf.DUMMYFUNCTION("""COMPUTED_VALUE"""),11)</f>
        <v>11</v>
      </c>
      <c r="D1987" s="118" t="str">
        <f ca="1">IFERROR(__xludf.DUMMYFUNCTION("""COMPUTED_VALUE"""),"G")</f>
        <v>G</v>
      </c>
      <c r="E1987" s="118" t="str">
        <f ca="1">IFERROR(__xludf.DUMMYFUNCTION("""COMPUTED_VALUE"""),"J")</f>
        <v>J</v>
      </c>
      <c r="F1987" s="124" t="str">
        <f ca="1">IFERROR(__xludf.DUMMYFUNCTION("""COMPUTED_VALUE"""),"I")</f>
        <v>I</v>
      </c>
      <c r="G1987" s="124">
        <f ca="1">IFERROR(__xludf.DUMMYFUNCTION("""COMPUTED_VALUE"""),6)</f>
        <v>6</v>
      </c>
      <c r="H1987" s="124" t="str">
        <f ca="1">IFERROR(__xludf.DUMMYFUNCTION("""COMPUTED_VALUE"""),"T")</f>
        <v>T</v>
      </c>
      <c r="I1987" s="124">
        <f ca="1">IFERROR(__xludf.DUMMYFUNCTION("""COMPUTED_VALUE"""),6)</f>
        <v>6</v>
      </c>
      <c r="J1987" s="124">
        <f ca="1">IFERROR(__xludf.DUMMYFUNCTION("""COMPUTED_VALUE"""),0)</f>
        <v>0</v>
      </c>
      <c r="K1987" s="125"/>
      <c r="L1987" s="121"/>
      <c r="M1987" s="125"/>
      <c r="N1987" s="121"/>
      <c r="O1987" s="125"/>
      <c r="P1987" s="126"/>
      <c r="Q1987" s="127"/>
      <c r="R1987" s="127"/>
      <c r="S1987" s="127"/>
      <c r="T1987" s="127"/>
    </row>
    <row r="1988" spans="1:20" ht="13.8">
      <c r="A1988" s="118" t="str">
        <f ca="1">IFERROR(__xludf.DUMMYFUNCTION("""COMPUTED_VALUE"""),"T")</f>
        <v>T</v>
      </c>
      <c r="B1988" s="119" t="str">
        <f ca="1">IFERROR(__xludf.DUMMYFUNCTION("""COMPUTED_VALUE"""),"Farah Mazahery")</f>
        <v>Farah Mazahery</v>
      </c>
      <c r="C1988" s="118">
        <f ca="1">IFERROR(__xludf.DUMMYFUNCTION("""COMPUTED_VALUE"""),12)</f>
        <v>12</v>
      </c>
      <c r="D1988" s="118" t="str">
        <f ca="1">IFERROR(__xludf.DUMMYFUNCTION("""COMPUTED_VALUE"""),"G")</f>
        <v>G</v>
      </c>
      <c r="E1988" s="118" t="str">
        <f ca="1">IFERROR(__xludf.DUMMYFUNCTION("""COMPUTED_VALUE"""),"J")</f>
        <v>J</v>
      </c>
      <c r="F1988" s="124" t="str">
        <f ca="1">IFERROR(__xludf.DUMMYFUNCTION("""COMPUTED_VALUE"""),"I")</f>
        <v>I</v>
      </c>
      <c r="G1988" s="124">
        <f ca="1">IFERROR(__xludf.DUMMYFUNCTION("""COMPUTED_VALUE"""),6)</f>
        <v>6</v>
      </c>
      <c r="H1988" s="124" t="str">
        <f ca="1">IFERROR(__xludf.DUMMYFUNCTION("""COMPUTED_VALUE"""),"T")</f>
        <v>T</v>
      </c>
      <c r="I1988" s="124">
        <f ca="1">IFERROR(__xludf.DUMMYFUNCTION("""COMPUTED_VALUE"""),6)</f>
        <v>6</v>
      </c>
      <c r="J1988" s="124">
        <f ca="1">IFERROR(__xludf.DUMMYFUNCTION("""COMPUTED_VALUE"""),1)</f>
        <v>1</v>
      </c>
      <c r="K1988" s="125">
        <f ca="1">IFERROR(__xludf.DUMMYFUNCTION("""COMPUTED_VALUE"""),74.3)</f>
        <v>74.3</v>
      </c>
      <c r="L1988" s="121"/>
      <c r="M1988" s="125"/>
      <c r="N1988" s="121"/>
      <c r="O1988" s="125">
        <f ca="1">IFERROR(__xludf.DUMMYFUNCTION("""COMPUTED_VALUE"""),74.3)</f>
        <v>74.3</v>
      </c>
      <c r="P1988" s="126"/>
      <c r="Q1988" s="127"/>
      <c r="R1988" s="127"/>
      <c r="S1988" s="127"/>
      <c r="T1988" s="127"/>
    </row>
    <row r="1989" spans="1:20" ht="13.8">
      <c r="A1989" s="118" t="str">
        <f ca="1">IFERROR(__xludf.DUMMYFUNCTION("""COMPUTED_VALUE"""),"T")</f>
        <v>T</v>
      </c>
      <c r="B1989" s="119" t="str">
        <f ca="1">IFERROR(__xludf.DUMMYFUNCTION("""COMPUTED_VALUE"""),"Francesca Hernandez")</f>
        <v>Francesca Hernandez</v>
      </c>
      <c r="C1989" s="118">
        <f ca="1">IFERROR(__xludf.DUMMYFUNCTION("""COMPUTED_VALUE"""),11)</f>
        <v>11</v>
      </c>
      <c r="D1989" s="118" t="str">
        <f ca="1">IFERROR(__xludf.DUMMYFUNCTION("""COMPUTED_VALUE"""),"G")</f>
        <v>G</v>
      </c>
      <c r="E1989" s="118" t="str">
        <f ca="1">IFERROR(__xludf.DUMMYFUNCTION("""COMPUTED_VALUE"""),"J")</f>
        <v>J</v>
      </c>
      <c r="F1989" s="124" t="str">
        <f ca="1">IFERROR(__xludf.DUMMYFUNCTION("""COMPUTED_VALUE"""),"I")</f>
        <v>I</v>
      </c>
      <c r="G1989" s="124">
        <f ca="1">IFERROR(__xludf.DUMMYFUNCTION("""COMPUTED_VALUE"""),6)</f>
        <v>6</v>
      </c>
      <c r="H1989" s="124" t="str">
        <f ca="1">IFERROR(__xludf.DUMMYFUNCTION("""COMPUTED_VALUE"""),"T")</f>
        <v>T</v>
      </c>
      <c r="I1989" s="124">
        <f ca="1">IFERROR(__xludf.DUMMYFUNCTION("""COMPUTED_VALUE"""),6)</f>
        <v>6</v>
      </c>
      <c r="J1989" s="124">
        <f ca="1">IFERROR(__xludf.DUMMYFUNCTION("""COMPUTED_VALUE"""),4)</f>
        <v>4</v>
      </c>
      <c r="K1989" s="125">
        <f ca="1">IFERROR(__xludf.DUMMYFUNCTION("""COMPUTED_VALUE"""),72.5)</f>
        <v>72.5</v>
      </c>
      <c r="L1989" s="121"/>
      <c r="M1989" s="125"/>
      <c r="N1989" s="121"/>
      <c r="O1989" s="125">
        <f ca="1">IFERROR(__xludf.DUMMYFUNCTION("""COMPUTED_VALUE"""),56.35)</f>
        <v>56.35</v>
      </c>
      <c r="P1989" s="126"/>
      <c r="Q1989" s="127"/>
      <c r="R1989" s="127"/>
      <c r="S1989" s="127"/>
      <c r="T1989" s="127"/>
    </row>
    <row r="1990" spans="1:20" ht="13.8">
      <c r="A1990" s="118" t="str">
        <f ca="1">IFERROR(__xludf.DUMMYFUNCTION("""COMPUTED_VALUE"""),"T")</f>
        <v>T</v>
      </c>
      <c r="B1990" s="119" t="str">
        <f ca="1">IFERROR(__xludf.DUMMYFUNCTION("""COMPUTED_VALUE"""),"Gabi Rodriguez")</f>
        <v>Gabi Rodriguez</v>
      </c>
      <c r="C1990" s="118">
        <f ca="1">IFERROR(__xludf.DUMMYFUNCTION("""COMPUTED_VALUE"""),12)</f>
        <v>12</v>
      </c>
      <c r="D1990" s="118" t="str">
        <f ca="1">IFERROR(__xludf.DUMMYFUNCTION("""COMPUTED_VALUE"""),"G")</f>
        <v>G</v>
      </c>
      <c r="E1990" s="118" t="str">
        <f ca="1">IFERROR(__xludf.DUMMYFUNCTION("""COMPUTED_VALUE"""),"J")</f>
        <v>J</v>
      </c>
      <c r="F1990" s="124" t="str">
        <f ca="1">IFERROR(__xludf.DUMMYFUNCTION("""COMPUTED_VALUE"""),"I")</f>
        <v>I</v>
      </c>
      <c r="G1990" s="124">
        <f ca="1">IFERROR(__xludf.DUMMYFUNCTION("""COMPUTED_VALUE"""),6)</f>
        <v>6</v>
      </c>
      <c r="H1990" s="124" t="str">
        <f ca="1">IFERROR(__xludf.DUMMYFUNCTION("""COMPUTED_VALUE"""),"T")</f>
        <v>T</v>
      </c>
      <c r="I1990" s="124">
        <f ca="1">IFERROR(__xludf.DUMMYFUNCTION("""COMPUTED_VALUE"""),6)</f>
        <v>6</v>
      </c>
      <c r="J1990" s="124">
        <f ca="1">IFERROR(__xludf.DUMMYFUNCTION("""COMPUTED_VALUE"""),0)</f>
        <v>0</v>
      </c>
      <c r="K1990" s="125"/>
      <c r="L1990" s="121"/>
      <c r="M1990" s="125"/>
      <c r="N1990" s="121"/>
      <c r="O1990" s="125"/>
      <c r="P1990" s="126"/>
      <c r="Q1990" s="127"/>
      <c r="R1990" s="127"/>
      <c r="S1990" s="127"/>
      <c r="T1990" s="127"/>
    </row>
    <row r="1991" spans="1:20" ht="13.8">
      <c r="A1991" s="118" t="str">
        <f ca="1">IFERROR(__xludf.DUMMYFUNCTION("""COMPUTED_VALUE"""),"T")</f>
        <v>T</v>
      </c>
      <c r="B1991" s="119" t="str">
        <f ca="1">IFERROR(__xludf.DUMMYFUNCTION("""COMPUTED_VALUE"""),"Leah Bailey")</f>
        <v>Leah Bailey</v>
      </c>
      <c r="C1991" s="118">
        <f ca="1">IFERROR(__xludf.DUMMYFUNCTION("""COMPUTED_VALUE"""),12)</f>
        <v>12</v>
      </c>
      <c r="D1991" s="118" t="str">
        <f ca="1">IFERROR(__xludf.DUMMYFUNCTION("""COMPUTED_VALUE"""),"G")</f>
        <v>G</v>
      </c>
      <c r="E1991" s="118" t="str">
        <f ca="1">IFERROR(__xludf.DUMMYFUNCTION("""COMPUTED_VALUE"""),"J")</f>
        <v>J</v>
      </c>
      <c r="F1991" s="124" t="str">
        <f ca="1">IFERROR(__xludf.DUMMYFUNCTION("""COMPUTED_VALUE"""),"I")</f>
        <v>I</v>
      </c>
      <c r="G1991" s="124">
        <f ca="1">IFERROR(__xludf.DUMMYFUNCTION("""COMPUTED_VALUE"""),6)</f>
        <v>6</v>
      </c>
      <c r="H1991" s="124" t="str">
        <f ca="1">IFERROR(__xludf.DUMMYFUNCTION("""COMPUTED_VALUE"""),"T")</f>
        <v>T</v>
      </c>
      <c r="I1991" s="124">
        <f ca="1">IFERROR(__xludf.DUMMYFUNCTION("""COMPUTED_VALUE"""),6)</f>
        <v>6</v>
      </c>
      <c r="J1991" s="124">
        <f ca="1">IFERROR(__xludf.DUMMYFUNCTION("""COMPUTED_VALUE"""),3)</f>
        <v>3</v>
      </c>
      <c r="K1991" s="125">
        <f ca="1">IFERROR(__xludf.DUMMYFUNCTION("""COMPUTED_VALUE"""),90.35)</f>
        <v>90.35</v>
      </c>
      <c r="L1991" s="121"/>
      <c r="M1991" s="125"/>
      <c r="N1991" s="121"/>
      <c r="O1991" s="125">
        <f ca="1">IFERROR(__xludf.DUMMYFUNCTION("""COMPUTED_VALUE"""),79.1)</f>
        <v>79.099999999999994</v>
      </c>
      <c r="P1991" s="126"/>
      <c r="Q1991" s="127"/>
      <c r="R1991" s="127"/>
      <c r="S1991" s="127"/>
      <c r="T1991" s="127"/>
    </row>
    <row r="1992" spans="1:20" ht="13.8">
      <c r="A1992" s="118" t="str">
        <f ca="1">IFERROR(__xludf.DUMMYFUNCTION("""COMPUTED_VALUE"""),"T")</f>
        <v>T</v>
      </c>
      <c r="B1992" s="119" t="str">
        <f ca="1">IFERROR(__xludf.DUMMYFUNCTION("""COMPUTED_VALUE"""),"Sam Heller")</f>
        <v>Sam Heller</v>
      </c>
      <c r="C1992" s="118">
        <f ca="1">IFERROR(__xludf.DUMMYFUNCTION("""COMPUTED_VALUE"""),12)</f>
        <v>12</v>
      </c>
      <c r="D1992" s="118" t="str">
        <f ca="1">IFERROR(__xludf.DUMMYFUNCTION("""COMPUTED_VALUE"""),"G")</f>
        <v>G</v>
      </c>
      <c r="E1992" s="118" t="str">
        <f ca="1">IFERROR(__xludf.DUMMYFUNCTION("""COMPUTED_VALUE"""),"J")</f>
        <v>J</v>
      </c>
      <c r="F1992" s="124" t="str">
        <f ca="1">IFERROR(__xludf.DUMMYFUNCTION("""COMPUTED_VALUE"""),"I")</f>
        <v>I</v>
      </c>
      <c r="G1992" s="124">
        <f ca="1">IFERROR(__xludf.DUMMYFUNCTION("""COMPUTED_VALUE"""),6)</f>
        <v>6</v>
      </c>
      <c r="H1992" s="124" t="str">
        <f ca="1">IFERROR(__xludf.DUMMYFUNCTION("""COMPUTED_VALUE"""),"T")</f>
        <v>T</v>
      </c>
      <c r="I1992" s="124">
        <f ca="1">IFERROR(__xludf.DUMMYFUNCTION("""COMPUTED_VALUE"""),6)</f>
        <v>6</v>
      </c>
      <c r="J1992" s="124">
        <f ca="1">IFERROR(__xludf.DUMMYFUNCTION("""COMPUTED_VALUE"""),3)</f>
        <v>3</v>
      </c>
      <c r="K1992" s="125">
        <f ca="1">IFERROR(__xludf.DUMMYFUNCTION("""COMPUTED_VALUE"""),111.35)</f>
        <v>111.35</v>
      </c>
      <c r="L1992" s="121"/>
      <c r="M1992" s="125"/>
      <c r="N1992" s="121"/>
      <c r="O1992" s="125">
        <f ca="1">IFERROR(__xludf.DUMMYFUNCTION("""COMPUTED_VALUE"""),107)</f>
        <v>107</v>
      </c>
      <c r="P1992" s="126"/>
      <c r="Q1992" s="127"/>
      <c r="R1992" s="127"/>
      <c r="S1992" s="127"/>
      <c r="T1992" s="127"/>
    </row>
    <row r="1993" spans="1:20" ht="13.8">
      <c r="A1993" s="118" t="str">
        <f ca="1">IFERROR(__xludf.DUMMYFUNCTION("""COMPUTED_VALUE"""),"T")</f>
        <v>T</v>
      </c>
      <c r="B1993" s="119" t="str">
        <f ca="1">IFERROR(__xludf.DUMMYFUNCTION("""COMPUTED_VALUE"""),"Stella Gilbert")</f>
        <v>Stella Gilbert</v>
      </c>
      <c r="C1993" s="118">
        <f ca="1">IFERROR(__xludf.DUMMYFUNCTION("""COMPUTED_VALUE"""),11)</f>
        <v>11</v>
      </c>
      <c r="D1993" s="118" t="str">
        <f ca="1">IFERROR(__xludf.DUMMYFUNCTION("""COMPUTED_VALUE"""),"G")</f>
        <v>G</v>
      </c>
      <c r="E1993" s="118" t="str">
        <f ca="1">IFERROR(__xludf.DUMMYFUNCTION("""COMPUTED_VALUE"""),"J")</f>
        <v>J</v>
      </c>
      <c r="F1993" s="124" t="str">
        <f ca="1">IFERROR(__xludf.DUMMYFUNCTION("""COMPUTED_VALUE"""),"I")</f>
        <v>I</v>
      </c>
      <c r="G1993" s="124">
        <f ca="1">IFERROR(__xludf.DUMMYFUNCTION("""COMPUTED_VALUE"""),6)</f>
        <v>6</v>
      </c>
      <c r="H1993" s="124" t="str">
        <f ca="1">IFERROR(__xludf.DUMMYFUNCTION("""COMPUTED_VALUE"""),"T")</f>
        <v>T</v>
      </c>
      <c r="I1993" s="124">
        <f ca="1">IFERROR(__xludf.DUMMYFUNCTION("""COMPUTED_VALUE"""),6)</f>
        <v>6</v>
      </c>
      <c r="J1993" s="124">
        <f ca="1">IFERROR(__xludf.DUMMYFUNCTION("""COMPUTED_VALUE"""),0)</f>
        <v>0</v>
      </c>
      <c r="K1993" s="125"/>
      <c r="L1993" s="121"/>
      <c r="M1993" s="125"/>
      <c r="N1993" s="121"/>
      <c r="O1993" s="125"/>
      <c r="P1993" s="126"/>
      <c r="Q1993" s="127"/>
      <c r="R1993" s="127"/>
      <c r="S1993" s="127"/>
      <c r="T1993" s="127"/>
    </row>
    <row r="1994" spans="1:20" ht="13.8">
      <c r="A1994" s="118" t="str">
        <f ca="1">IFERROR(__xludf.DUMMYFUNCTION("""COMPUTED_VALUE"""),"T")</f>
        <v>T</v>
      </c>
      <c r="B1994" s="119" t="str">
        <f ca="1">IFERROR(__xludf.DUMMYFUNCTION("""COMPUTED_VALUE"""),"Zoe Misitzis")</f>
        <v>Zoe Misitzis</v>
      </c>
      <c r="C1994" s="118">
        <f ca="1">IFERROR(__xludf.DUMMYFUNCTION("""COMPUTED_VALUE"""),12)</f>
        <v>12</v>
      </c>
      <c r="D1994" s="118" t="str">
        <f ca="1">IFERROR(__xludf.DUMMYFUNCTION("""COMPUTED_VALUE"""),"G")</f>
        <v>G</v>
      </c>
      <c r="E1994" s="118" t="str">
        <f ca="1">IFERROR(__xludf.DUMMYFUNCTION("""COMPUTED_VALUE"""),"J")</f>
        <v>J</v>
      </c>
      <c r="F1994" s="124" t="str">
        <f ca="1">IFERROR(__xludf.DUMMYFUNCTION("""COMPUTED_VALUE"""),"I")</f>
        <v>I</v>
      </c>
      <c r="G1994" s="124">
        <f ca="1">IFERROR(__xludf.DUMMYFUNCTION("""COMPUTED_VALUE"""),6)</f>
        <v>6</v>
      </c>
      <c r="H1994" s="124" t="str">
        <f ca="1">IFERROR(__xludf.DUMMYFUNCTION("""COMPUTED_VALUE"""),"T")</f>
        <v>T</v>
      </c>
      <c r="I1994" s="124">
        <f ca="1">IFERROR(__xludf.DUMMYFUNCTION("""COMPUTED_VALUE"""),6)</f>
        <v>6</v>
      </c>
      <c r="J1994" s="124">
        <f ca="1">IFERROR(__xludf.DUMMYFUNCTION("""COMPUTED_VALUE"""),1)</f>
        <v>1</v>
      </c>
      <c r="K1994" s="125"/>
      <c r="L1994" s="121"/>
      <c r="M1994" s="125"/>
      <c r="N1994" s="121"/>
      <c r="O1994" s="125"/>
      <c r="P1994" s="126"/>
      <c r="Q1994" s="127"/>
      <c r="R1994" s="127"/>
      <c r="S1994" s="127"/>
      <c r="T1994" s="127"/>
    </row>
    <row r="1995" spans="1:20" ht="13.8">
      <c r="A1995" s="118" t="str">
        <f ca="1">IFERROR(__xludf.DUMMYFUNCTION("""COMPUTED_VALUE"""),"T")</f>
        <v>T</v>
      </c>
      <c r="B1995" s="119" t="str">
        <f ca="1">IFERROR(__xludf.DUMMYFUNCTION("""COMPUTED_VALUE"""),"Ethan Cahn")</f>
        <v>Ethan Cahn</v>
      </c>
      <c r="C1995" s="118">
        <f ca="1">IFERROR(__xludf.DUMMYFUNCTION("""COMPUTED_VALUE"""),12)</f>
        <v>12</v>
      </c>
      <c r="D1995" s="118" t="str">
        <f ca="1">IFERROR(__xludf.DUMMYFUNCTION("""COMPUTED_VALUE"""),"B")</f>
        <v>B</v>
      </c>
      <c r="E1995" s="118" t="str">
        <f ca="1">IFERROR(__xludf.DUMMYFUNCTION("""COMPUTED_VALUE"""),"J")</f>
        <v>J</v>
      </c>
      <c r="F1995" s="124" t="str">
        <f ca="1">IFERROR(__xludf.DUMMYFUNCTION("""COMPUTED_VALUE"""),"I")</f>
        <v>I</v>
      </c>
      <c r="G1995" s="124">
        <f ca="1">IFERROR(__xludf.DUMMYFUNCTION("""COMPUTED_VALUE"""),6)</f>
        <v>6</v>
      </c>
      <c r="H1995" s="124" t="str">
        <f ca="1">IFERROR(__xludf.DUMMYFUNCTION("""COMPUTED_VALUE"""),"T")</f>
        <v>T</v>
      </c>
      <c r="I1995" s="124">
        <f ca="1">IFERROR(__xludf.DUMMYFUNCTION("""COMPUTED_VALUE"""),7)</f>
        <v>7</v>
      </c>
      <c r="J1995" s="124">
        <f ca="1">IFERROR(__xludf.DUMMYFUNCTION("""COMPUTED_VALUE"""),0)</f>
        <v>0</v>
      </c>
      <c r="K1995" s="125"/>
      <c r="L1995" s="121"/>
      <c r="M1995" s="125"/>
      <c r="N1995" s="121"/>
      <c r="O1995" s="125"/>
      <c r="P1995" s="126"/>
      <c r="Q1995" s="127"/>
      <c r="R1995" s="127"/>
      <c r="S1995" s="127"/>
      <c r="T1995" s="127"/>
    </row>
    <row r="1996" spans="1:20" ht="13.8">
      <c r="A1996" s="118" t="str">
        <f ca="1">IFERROR(__xludf.DUMMYFUNCTION("""COMPUTED_VALUE"""),"T")</f>
        <v>T</v>
      </c>
      <c r="B1996" s="119" t="str">
        <f ca="1">IFERROR(__xludf.DUMMYFUNCTION("""COMPUTED_VALUE"""),"Jameson Miller")</f>
        <v>Jameson Miller</v>
      </c>
      <c r="C1996" s="118">
        <f ca="1">IFERROR(__xludf.DUMMYFUNCTION("""COMPUTED_VALUE"""),11)</f>
        <v>11</v>
      </c>
      <c r="D1996" s="118" t="str">
        <f ca="1">IFERROR(__xludf.DUMMYFUNCTION("""COMPUTED_VALUE"""),"B")</f>
        <v>B</v>
      </c>
      <c r="E1996" s="118" t="str">
        <f ca="1">IFERROR(__xludf.DUMMYFUNCTION("""COMPUTED_VALUE"""),"J")</f>
        <v>J</v>
      </c>
      <c r="F1996" s="124" t="str">
        <f ca="1">IFERROR(__xludf.DUMMYFUNCTION("""COMPUTED_VALUE"""),"I")</f>
        <v>I</v>
      </c>
      <c r="G1996" s="124">
        <f ca="1">IFERROR(__xludf.DUMMYFUNCTION("""COMPUTED_VALUE"""),6)</f>
        <v>6</v>
      </c>
      <c r="H1996" s="124" t="str">
        <f ca="1">IFERROR(__xludf.DUMMYFUNCTION("""COMPUTED_VALUE"""),"T")</f>
        <v>T</v>
      </c>
      <c r="I1996" s="124">
        <f ca="1">IFERROR(__xludf.DUMMYFUNCTION("""COMPUTED_VALUE"""),7)</f>
        <v>7</v>
      </c>
      <c r="J1996" s="124">
        <f ca="1">IFERROR(__xludf.DUMMYFUNCTION("""COMPUTED_VALUE"""),0)</f>
        <v>0</v>
      </c>
      <c r="K1996" s="125"/>
      <c r="L1996" s="121"/>
      <c r="M1996" s="125"/>
      <c r="N1996" s="121"/>
      <c r="O1996" s="125"/>
      <c r="P1996" s="126"/>
      <c r="Q1996" s="127"/>
      <c r="R1996" s="127"/>
      <c r="S1996" s="127"/>
      <c r="T1996" s="127"/>
    </row>
    <row r="1997" spans="1:20" ht="13.8">
      <c r="A1997" s="118" t="str">
        <f ca="1">IFERROR(__xludf.DUMMYFUNCTION("""COMPUTED_VALUE"""),"T")</f>
        <v>T</v>
      </c>
      <c r="B1997" s="119" t="str">
        <f ca="1">IFERROR(__xludf.DUMMYFUNCTION("""COMPUTED_VALUE"""),"Oliver Katz")</f>
        <v>Oliver Katz</v>
      </c>
      <c r="C1997" s="118">
        <f ca="1">IFERROR(__xludf.DUMMYFUNCTION("""COMPUTED_VALUE"""),12)</f>
        <v>12</v>
      </c>
      <c r="D1997" s="118" t="str">
        <f ca="1">IFERROR(__xludf.DUMMYFUNCTION("""COMPUTED_VALUE"""),"B")</f>
        <v>B</v>
      </c>
      <c r="E1997" s="118" t="str">
        <f ca="1">IFERROR(__xludf.DUMMYFUNCTION("""COMPUTED_VALUE"""),"J")</f>
        <v>J</v>
      </c>
      <c r="F1997" s="124" t="str">
        <f ca="1">IFERROR(__xludf.DUMMYFUNCTION("""COMPUTED_VALUE"""),"I")</f>
        <v>I</v>
      </c>
      <c r="G1997" s="124">
        <f ca="1">IFERROR(__xludf.DUMMYFUNCTION("""COMPUTED_VALUE"""),6)</f>
        <v>6</v>
      </c>
      <c r="H1997" s="124" t="str">
        <f ca="1">IFERROR(__xludf.DUMMYFUNCTION("""COMPUTED_VALUE"""),"T")</f>
        <v>T</v>
      </c>
      <c r="I1997" s="124">
        <f ca="1">IFERROR(__xludf.DUMMYFUNCTION("""COMPUTED_VALUE"""),7)</f>
        <v>7</v>
      </c>
      <c r="J1997" s="124">
        <f ca="1">IFERROR(__xludf.DUMMYFUNCTION("""COMPUTED_VALUE"""),0)</f>
        <v>0</v>
      </c>
      <c r="K1997" s="125"/>
      <c r="L1997" s="121"/>
      <c r="M1997" s="125"/>
      <c r="N1997" s="121"/>
      <c r="O1997" s="125"/>
      <c r="P1997" s="126"/>
      <c r="Q1997" s="127"/>
      <c r="R1997" s="127"/>
      <c r="S1997" s="127"/>
      <c r="T1997" s="127"/>
    </row>
    <row r="1998" spans="1:20" ht="13.8">
      <c r="A1998" s="118" t="str">
        <f ca="1">IFERROR(__xludf.DUMMYFUNCTION("""COMPUTED_VALUE"""),"T")</f>
        <v>T</v>
      </c>
      <c r="B1998" s="119" t="str">
        <f ca="1">IFERROR(__xludf.DUMMYFUNCTION("""COMPUTED_VALUE"""),"Owen Glasser")</f>
        <v>Owen Glasser</v>
      </c>
      <c r="C1998" s="118">
        <f ca="1">IFERROR(__xludf.DUMMYFUNCTION("""COMPUTED_VALUE"""),11)</f>
        <v>11</v>
      </c>
      <c r="D1998" s="118" t="str">
        <f ca="1">IFERROR(__xludf.DUMMYFUNCTION("""COMPUTED_VALUE"""),"B")</f>
        <v>B</v>
      </c>
      <c r="E1998" s="118" t="str">
        <f ca="1">IFERROR(__xludf.DUMMYFUNCTION("""COMPUTED_VALUE"""),"J")</f>
        <v>J</v>
      </c>
      <c r="F1998" s="124" t="str">
        <f ca="1">IFERROR(__xludf.DUMMYFUNCTION("""COMPUTED_VALUE"""),"I")</f>
        <v>I</v>
      </c>
      <c r="G1998" s="124">
        <f ca="1">IFERROR(__xludf.DUMMYFUNCTION("""COMPUTED_VALUE"""),6)</f>
        <v>6</v>
      </c>
      <c r="H1998" s="124" t="str">
        <f ca="1">IFERROR(__xludf.DUMMYFUNCTION("""COMPUTED_VALUE"""),"T")</f>
        <v>T</v>
      </c>
      <c r="I1998" s="124">
        <f ca="1">IFERROR(__xludf.DUMMYFUNCTION("""COMPUTED_VALUE"""),7)</f>
        <v>7</v>
      </c>
      <c r="J1998" s="124">
        <f ca="1">IFERROR(__xludf.DUMMYFUNCTION("""COMPUTED_VALUE"""),4)</f>
        <v>4</v>
      </c>
      <c r="K1998" s="125">
        <f ca="1">IFERROR(__xludf.DUMMYFUNCTION("""COMPUTED_VALUE"""),77.95)</f>
        <v>77.95</v>
      </c>
      <c r="L1998" s="121"/>
      <c r="M1998" s="125"/>
      <c r="N1998" s="121"/>
      <c r="O1998" s="125">
        <f ca="1">IFERROR(__xludf.DUMMYFUNCTION("""COMPUTED_VALUE"""),73.35)</f>
        <v>73.349999999999994</v>
      </c>
      <c r="P1998" s="126"/>
      <c r="Q1998" s="127"/>
      <c r="R1998" s="127"/>
      <c r="S1998" s="127"/>
      <c r="T1998" s="127"/>
    </row>
    <row r="1999" spans="1:20" ht="13.8">
      <c r="A1999" s="118" t="str">
        <f ca="1">IFERROR(__xludf.DUMMYFUNCTION("""COMPUTED_VALUE"""),"T")</f>
        <v>T</v>
      </c>
      <c r="B1999" s="119" t="str">
        <f ca="1">IFERROR(__xludf.DUMMYFUNCTION("""COMPUTED_VALUE"""),"Parker Smith")</f>
        <v>Parker Smith</v>
      </c>
      <c r="C1999" s="118">
        <f ca="1">IFERROR(__xludf.DUMMYFUNCTION("""COMPUTED_VALUE"""),12)</f>
        <v>12</v>
      </c>
      <c r="D1999" s="118" t="str">
        <f ca="1">IFERROR(__xludf.DUMMYFUNCTION("""COMPUTED_VALUE"""),"B")</f>
        <v>B</v>
      </c>
      <c r="E1999" s="118" t="str">
        <f ca="1">IFERROR(__xludf.DUMMYFUNCTION("""COMPUTED_VALUE"""),"J")</f>
        <v>J</v>
      </c>
      <c r="F1999" s="124" t="str">
        <f ca="1">IFERROR(__xludf.DUMMYFUNCTION("""COMPUTED_VALUE"""),"I")</f>
        <v>I</v>
      </c>
      <c r="G1999" s="124">
        <f ca="1">IFERROR(__xludf.DUMMYFUNCTION("""COMPUTED_VALUE"""),6)</f>
        <v>6</v>
      </c>
      <c r="H1999" s="124" t="str">
        <f ca="1">IFERROR(__xludf.DUMMYFUNCTION("""COMPUTED_VALUE"""),"T")</f>
        <v>T</v>
      </c>
      <c r="I1999" s="124">
        <f ca="1">IFERROR(__xludf.DUMMYFUNCTION("""COMPUTED_VALUE"""),7)</f>
        <v>7</v>
      </c>
      <c r="J1999" s="124">
        <f ca="1">IFERROR(__xludf.DUMMYFUNCTION("""COMPUTED_VALUE"""),1)</f>
        <v>1</v>
      </c>
      <c r="K1999" s="125"/>
      <c r="L1999" s="121"/>
      <c r="M1999" s="125"/>
      <c r="N1999" s="121"/>
      <c r="O1999" s="125"/>
      <c r="P1999" s="126"/>
      <c r="Q1999" s="127"/>
      <c r="R1999" s="127"/>
      <c r="S1999" s="127"/>
      <c r="T1999" s="127"/>
    </row>
    <row r="2000" spans="1:20" ht="13.8">
      <c r="A2000" s="118" t="str">
        <f ca="1">IFERROR(__xludf.DUMMYFUNCTION("""COMPUTED_VALUE"""),"T")</f>
        <v>T</v>
      </c>
      <c r="B2000" s="119" t="str">
        <f ca="1">IFERROR(__xludf.DUMMYFUNCTION("""COMPUTED_VALUE"""),"Emily Zellers")</f>
        <v>Emily Zellers</v>
      </c>
      <c r="C2000" s="118">
        <f ca="1">IFERROR(__xludf.DUMMYFUNCTION("""COMPUTED_VALUE"""),13)</f>
        <v>13</v>
      </c>
      <c r="D2000" s="118" t="str">
        <f ca="1">IFERROR(__xludf.DUMMYFUNCTION("""COMPUTED_VALUE"""),"G")</f>
        <v>G</v>
      </c>
      <c r="E2000" s="118" t="str">
        <f ca="1">IFERROR(__xludf.DUMMYFUNCTION("""COMPUTED_VALUE"""),"I")</f>
        <v>I</v>
      </c>
      <c r="F2000" s="124" t="str">
        <f ca="1">IFERROR(__xludf.DUMMYFUNCTION("""COMPUTED_VALUE"""),"S")</f>
        <v>S</v>
      </c>
      <c r="G2000" s="124">
        <f ca="1">IFERROR(__xludf.DUMMYFUNCTION("""COMPUTED_VALUE"""),6)</f>
        <v>6</v>
      </c>
      <c r="H2000" s="124" t="str">
        <f ca="1">IFERROR(__xludf.DUMMYFUNCTION("""COMPUTED_VALUE"""),"T")</f>
        <v>T</v>
      </c>
      <c r="I2000" s="124">
        <f ca="1">IFERROR(__xludf.DUMMYFUNCTION("""COMPUTED_VALUE"""),8)</f>
        <v>8</v>
      </c>
      <c r="J2000" s="124">
        <f ca="1">IFERROR(__xludf.DUMMYFUNCTION("""COMPUTED_VALUE"""),5)</f>
        <v>5</v>
      </c>
      <c r="K2000" s="125">
        <f ca="1">IFERROR(__xludf.DUMMYFUNCTION("""COMPUTED_VALUE"""),119.3)</f>
        <v>119.3</v>
      </c>
      <c r="L2000" s="121"/>
      <c r="M2000" s="125">
        <f ca="1">IFERROR(__xludf.DUMMYFUNCTION("""COMPUTED_VALUE"""),119.3)</f>
        <v>119.3</v>
      </c>
      <c r="N2000" s="121"/>
      <c r="O2000" s="125">
        <f ca="1">IFERROR(__xludf.DUMMYFUNCTION("""COMPUTED_VALUE"""),80.9)</f>
        <v>80.900000000000006</v>
      </c>
      <c r="P2000" s="126"/>
      <c r="Q2000" s="127"/>
      <c r="R2000" s="127"/>
      <c r="S2000" s="127"/>
      <c r="T2000" s="127"/>
    </row>
    <row r="2001" spans="1:20" ht="13.8">
      <c r="A2001" s="118" t="str">
        <f ca="1">IFERROR(__xludf.DUMMYFUNCTION("""COMPUTED_VALUE"""),"T")</f>
        <v>T</v>
      </c>
      <c r="B2001" s="119" t="str">
        <f ca="1">IFERROR(__xludf.DUMMYFUNCTION("""COMPUTED_VALUE"""),"Kris Walters")</f>
        <v>Kris Walters</v>
      </c>
      <c r="C2001" s="118">
        <f ca="1">IFERROR(__xludf.DUMMYFUNCTION("""COMPUTED_VALUE"""),14)</f>
        <v>14</v>
      </c>
      <c r="D2001" s="118" t="str">
        <f ca="1">IFERROR(__xludf.DUMMYFUNCTION("""COMPUTED_VALUE"""),"G")</f>
        <v>G</v>
      </c>
      <c r="E2001" s="118" t="str">
        <f ca="1">IFERROR(__xludf.DUMMYFUNCTION("""COMPUTED_VALUE"""),"I")</f>
        <v>I</v>
      </c>
      <c r="F2001" s="124" t="str">
        <f ca="1">IFERROR(__xludf.DUMMYFUNCTION("""COMPUTED_VALUE"""),"S")</f>
        <v>S</v>
      </c>
      <c r="G2001" s="124">
        <f ca="1">IFERROR(__xludf.DUMMYFUNCTION("""COMPUTED_VALUE"""),6)</f>
        <v>6</v>
      </c>
      <c r="H2001" s="124" t="str">
        <f ca="1">IFERROR(__xludf.DUMMYFUNCTION("""COMPUTED_VALUE"""),"T")</f>
        <v>T</v>
      </c>
      <c r="I2001" s="124">
        <f ca="1">IFERROR(__xludf.DUMMYFUNCTION("""COMPUTED_VALUE"""),8)</f>
        <v>8</v>
      </c>
      <c r="J2001" s="124">
        <f ca="1">IFERROR(__xludf.DUMMYFUNCTION("""COMPUTED_VALUE"""),1)</f>
        <v>1</v>
      </c>
      <c r="K2001" s="125">
        <f ca="1">IFERROR(__xludf.DUMMYFUNCTION("""COMPUTED_VALUE"""),91.05)</f>
        <v>91.05</v>
      </c>
      <c r="L2001" s="121"/>
      <c r="M2001" s="125"/>
      <c r="N2001" s="121"/>
      <c r="O2001" s="125"/>
      <c r="P2001" s="126"/>
      <c r="Q2001" s="127"/>
      <c r="R2001" s="127"/>
      <c r="S2001" s="127"/>
      <c r="T2001" s="127"/>
    </row>
    <row r="2002" spans="1:20" ht="13.8">
      <c r="A2002" s="118" t="str">
        <f ca="1">IFERROR(__xludf.DUMMYFUNCTION("""COMPUTED_VALUE"""),"T")</f>
        <v>T</v>
      </c>
      <c r="B2002" s="119" t="str">
        <f ca="1">IFERROR(__xludf.DUMMYFUNCTION("""COMPUTED_VALUE"""),"Nikitha Rajesh")</f>
        <v>Nikitha Rajesh</v>
      </c>
      <c r="C2002" s="118">
        <f ca="1">IFERROR(__xludf.DUMMYFUNCTION("""COMPUTED_VALUE"""),13)</f>
        <v>13</v>
      </c>
      <c r="D2002" s="118" t="str">
        <f ca="1">IFERROR(__xludf.DUMMYFUNCTION("""COMPUTED_VALUE"""),"G")</f>
        <v>G</v>
      </c>
      <c r="E2002" s="118" t="str">
        <f ca="1">IFERROR(__xludf.DUMMYFUNCTION("""COMPUTED_VALUE"""),"I")</f>
        <v>I</v>
      </c>
      <c r="F2002" s="124" t="str">
        <f ca="1">IFERROR(__xludf.DUMMYFUNCTION("""COMPUTED_VALUE"""),"S")</f>
        <v>S</v>
      </c>
      <c r="G2002" s="124">
        <f ca="1">IFERROR(__xludf.DUMMYFUNCTION("""COMPUTED_VALUE"""),6)</f>
        <v>6</v>
      </c>
      <c r="H2002" s="124" t="str">
        <f ca="1">IFERROR(__xludf.DUMMYFUNCTION("""COMPUTED_VALUE"""),"T")</f>
        <v>T</v>
      </c>
      <c r="I2002" s="124">
        <f ca="1">IFERROR(__xludf.DUMMYFUNCTION("""COMPUTED_VALUE"""),8)</f>
        <v>8</v>
      </c>
      <c r="J2002" s="124">
        <f ca="1">IFERROR(__xludf.DUMMYFUNCTION("""COMPUTED_VALUE"""),5)</f>
        <v>5</v>
      </c>
      <c r="K2002" s="125">
        <f ca="1">IFERROR(__xludf.DUMMYFUNCTION("""COMPUTED_VALUE"""),105.3)</f>
        <v>105.3</v>
      </c>
      <c r="L2002" s="121"/>
      <c r="M2002" s="125">
        <f ca="1">IFERROR(__xludf.DUMMYFUNCTION("""COMPUTED_VALUE"""),-141.2)</f>
        <v>-141.19999999999999</v>
      </c>
      <c r="N2002" s="121"/>
      <c r="O2002" s="125">
        <f ca="1">IFERROR(__xludf.DUMMYFUNCTION("""COMPUTED_VALUE"""),96.3)</f>
        <v>96.3</v>
      </c>
      <c r="P2002" s="126"/>
      <c r="Q2002" s="127"/>
      <c r="R2002" s="127"/>
      <c r="S2002" s="127"/>
      <c r="T2002" s="127"/>
    </row>
    <row r="2003" spans="1:20" ht="13.8">
      <c r="A2003" s="118" t="str">
        <f ca="1">IFERROR(__xludf.DUMMYFUNCTION("""COMPUTED_VALUE"""),"T")</f>
        <v>T</v>
      </c>
      <c r="B2003" s="119" t="str">
        <f ca="1">IFERROR(__xludf.DUMMYFUNCTION("""COMPUTED_VALUE"""),"Vicki Waisberg")</f>
        <v>Vicki Waisberg</v>
      </c>
      <c r="C2003" s="118">
        <f ca="1">IFERROR(__xludf.DUMMYFUNCTION("""COMPUTED_VALUE"""),13)</f>
        <v>13</v>
      </c>
      <c r="D2003" s="118" t="str">
        <f ca="1">IFERROR(__xludf.DUMMYFUNCTION("""COMPUTED_VALUE"""),"G")</f>
        <v>G</v>
      </c>
      <c r="E2003" s="118" t="str">
        <f ca="1">IFERROR(__xludf.DUMMYFUNCTION("""COMPUTED_VALUE"""),"I")</f>
        <v>I</v>
      </c>
      <c r="F2003" s="124" t="str">
        <f ca="1">IFERROR(__xludf.DUMMYFUNCTION("""COMPUTED_VALUE"""),"S")</f>
        <v>S</v>
      </c>
      <c r="G2003" s="124">
        <f ca="1">IFERROR(__xludf.DUMMYFUNCTION("""COMPUTED_VALUE"""),6)</f>
        <v>6</v>
      </c>
      <c r="H2003" s="124" t="str">
        <f ca="1">IFERROR(__xludf.DUMMYFUNCTION("""COMPUTED_VALUE"""),"T")</f>
        <v>T</v>
      </c>
      <c r="I2003" s="124">
        <f ca="1">IFERROR(__xludf.DUMMYFUNCTION("""COMPUTED_VALUE"""),8)</f>
        <v>8</v>
      </c>
      <c r="J2003" s="124">
        <f ca="1">IFERROR(__xludf.DUMMYFUNCTION("""COMPUTED_VALUE"""),4)</f>
        <v>4</v>
      </c>
      <c r="K2003" s="125">
        <f ca="1">IFERROR(__xludf.DUMMYFUNCTION("""COMPUTED_VALUE"""),128.95)</f>
        <v>128.94999999999999</v>
      </c>
      <c r="L2003" s="121"/>
      <c r="M2003" s="125">
        <f ca="1">IFERROR(__xludf.DUMMYFUNCTION("""COMPUTED_VALUE"""),128.95)</f>
        <v>128.94999999999999</v>
      </c>
      <c r="N2003" s="121"/>
      <c r="O2003" s="125"/>
      <c r="P2003" s="126"/>
      <c r="Q2003" s="127"/>
      <c r="R2003" s="127"/>
      <c r="S2003" s="127"/>
      <c r="T2003" s="127"/>
    </row>
    <row r="2004" spans="1:20" ht="13.8">
      <c r="A2004" s="118" t="str">
        <f ca="1">IFERROR(__xludf.DUMMYFUNCTION("""COMPUTED_VALUE"""),"T")</f>
        <v>T</v>
      </c>
      <c r="B2004" s="119" t="str">
        <f ca="1">IFERROR(__xludf.DUMMYFUNCTION("""COMPUTED_VALUE"""),"Emmett Coyne")</f>
        <v>Emmett Coyne</v>
      </c>
      <c r="C2004" s="118">
        <f ca="1">IFERROR(__xludf.DUMMYFUNCTION("""COMPUTED_VALUE"""),13)</f>
        <v>13</v>
      </c>
      <c r="D2004" s="118" t="str">
        <f ca="1">IFERROR(__xludf.DUMMYFUNCTION("""COMPUTED_VALUE"""),"B")</f>
        <v>B</v>
      </c>
      <c r="E2004" s="118" t="str">
        <f ca="1">IFERROR(__xludf.DUMMYFUNCTION("""COMPUTED_VALUE"""),"I")</f>
        <v>I</v>
      </c>
      <c r="F2004" s="124" t="str">
        <f ca="1">IFERROR(__xludf.DUMMYFUNCTION("""COMPUTED_VALUE"""),"S")</f>
        <v>S</v>
      </c>
      <c r="G2004" s="124">
        <f ca="1">IFERROR(__xludf.DUMMYFUNCTION("""COMPUTED_VALUE"""),6)</f>
        <v>6</v>
      </c>
      <c r="H2004" s="124" t="str">
        <f ca="1">IFERROR(__xludf.DUMMYFUNCTION("""COMPUTED_VALUE"""),"T")</f>
        <v>T</v>
      </c>
      <c r="I2004" s="124">
        <f ca="1">IFERROR(__xludf.DUMMYFUNCTION("""COMPUTED_VALUE"""),9)</f>
        <v>9</v>
      </c>
      <c r="J2004" s="124">
        <f ca="1">IFERROR(__xludf.DUMMYFUNCTION("""COMPUTED_VALUE"""),0)</f>
        <v>0</v>
      </c>
      <c r="K2004" s="125"/>
      <c r="L2004" s="121"/>
      <c r="M2004" s="125"/>
      <c r="N2004" s="121"/>
      <c r="O2004" s="125"/>
      <c r="P2004" s="126"/>
      <c r="Q2004" s="127"/>
      <c r="R2004" s="127"/>
      <c r="S2004" s="127"/>
      <c r="T2004" s="127"/>
    </row>
    <row r="2005" spans="1:20" ht="13.8">
      <c r="A2005" s="118" t="str">
        <f ca="1">IFERROR(__xludf.DUMMYFUNCTION("""COMPUTED_VALUE"""),"T")</f>
        <v>T</v>
      </c>
      <c r="B2005" s="119" t="str">
        <f ca="1">IFERROR(__xludf.DUMMYFUNCTION("""COMPUTED_VALUE"""),"Isaac Fonner")</f>
        <v>Isaac Fonner</v>
      </c>
      <c r="C2005" s="118">
        <f ca="1">IFERROR(__xludf.DUMMYFUNCTION("""COMPUTED_VALUE"""),13)</f>
        <v>13</v>
      </c>
      <c r="D2005" s="118" t="str">
        <f ca="1">IFERROR(__xludf.DUMMYFUNCTION("""COMPUTED_VALUE"""),"B")</f>
        <v>B</v>
      </c>
      <c r="E2005" s="118" t="str">
        <f ca="1">IFERROR(__xludf.DUMMYFUNCTION("""COMPUTED_VALUE"""),"I")</f>
        <v>I</v>
      </c>
      <c r="F2005" s="124" t="str">
        <f ca="1">IFERROR(__xludf.DUMMYFUNCTION("""COMPUTED_VALUE"""),"S")</f>
        <v>S</v>
      </c>
      <c r="G2005" s="124">
        <f ca="1">IFERROR(__xludf.DUMMYFUNCTION("""COMPUTED_VALUE"""),6)</f>
        <v>6</v>
      </c>
      <c r="H2005" s="124" t="str">
        <f ca="1">IFERROR(__xludf.DUMMYFUNCTION("""COMPUTED_VALUE"""),"T")</f>
        <v>T</v>
      </c>
      <c r="I2005" s="124">
        <f ca="1">IFERROR(__xludf.DUMMYFUNCTION("""COMPUTED_VALUE"""),9)</f>
        <v>9</v>
      </c>
      <c r="J2005" s="124">
        <f ca="1">IFERROR(__xludf.DUMMYFUNCTION("""COMPUTED_VALUE"""),5)</f>
        <v>5</v>
      </c>
      <c r="K2005" s="125">
        <f ca="1">IFERROR(__xludf.DUMMYFUNCTION("""COMPUTED_VALUE"""),117.25)</f>
        <v>117.25</v>
      </c>
      <c r="L2005" s="121"/>
      <c r="M2005" s="125">
        <f ca="1">IFERROR(__xludf.DUMMYFUNCTION("""COMPUTED_VALUE"""),117.25)</f>
        <v>117.25</v>
      </c>
      <c r="N2005" s="121"/>
      <c r="O2005" s="125">
        <f ca="1">IFERROR(__xludf.DUMMYFUNCTION("""COMPUTED_VALUE"""),95.25)</f>
        <v>95.25</v>
      </c>
      <c r="P2005" s="126"/>
      <c r="Q2005" s="127"/>
      <c r="R2005" s="127"/>
      <c r="S2005" s="127"/>
      <c r="T2005" s="127"/>
    </row>
    <row r="2006" spans="1:20" ht="13.8">
      <c r="A2006" s="118" t="str">
        <f ca="1">IFERROR(__xludf.DUMMYFUNCTION("""COMPUTED_VALUE"""),"T")</f>
        <v>T</v>
      </c>
      <c r="B2006" s="119" t="str">
        <f ca="1">IFERROR(__xludf.DUMMYFUNCTION("""COMPUTED_VALUE"""),"Libby Hall")</f>
        <v>Libby Hall</v>
      </c>
      <c r="C2006" s="118">
        <f ca="1">IFERROR(__xludf.DUMMYFUNCTION("""COMPUTED_VALUE"""),17)</f>
        <v>17</v>
      </c>
      <c r="D2006" s="118" t="str">
        <f ca="1">IFERROR(__xludf.DUMMYFUNCTION("""COMPUTED_VALUE"""),"G")</f>
        <v>G</v>
      </c>
      <c r="E2006" s="118" t="str">
        <f ca="1">IFERROR(__xludf.DUMMYFUNCTION("""COMPUTED_VALUE"""),"S")</f>
        <v>S</v>
      </c>
      <c r="F2006" s="124" t="str">
        <f ca="1">IFERROR(__xludf.DUMMYFUNCTION("""COMPUTED_VALUE"""),"S")</f>
        <v>S</v>
      </c>
      <c r="G2006" s="124">
        <f ca="1">IFERROR(__xludf.DUMMYFUNCTION("""COMPUTED_VALUE"""),6)</f>
        <v>6</v>
      </c>
      <c r="H2006" s="124" t="str">
        <f ca="1">IFERROR(__xludf.DUMMYFUNCTION("""COMPUTED_VALUE"""),"T")</f>
        <v>T</v>
      </c>
      <c r="I2006" s="124">
        <f ca="1">IFERROR(__xludf.DUMMYFUNCTION("""COMPUTED_VALUE"""),10)</f>
        <v>10</v>
      </c>
      <c r="J2006" s="124">
        <f ca="1">IFERROR(__xludf.DUMMYFUNCTION("""COMPUTED_VALUE"""),4)</f>
        <v>4</v>
      </c>
      <c r="K2006" s="125">
        <f ca="1">IFERROR(__xludf.DUMMYFUNCTION("""COMPUTED_VALUE"""),164.1)</f>
        <v>164.1</v>
      </c>
      <c r="L2006" s="121"/>
      <c r="M2006" s="125"/>
      <c r="N2006" s="121"/>
      <c r="O2006" s="125">
        <f ca="1">IFERROR(__xludf.DUMMYFUNCTION("""COMPUTED_VALUE"""),146.45)</f>
        <v>146.44999999999999</v>
      </c>
      <c r="P2006" s="126"/>
      <c r="Q2006" s="127"/>
      <c r="R2006" s="127"/>
      <c r="S2006" s="127"/>
      <c r="T2006" s="127"/>
    </row>
    <row r="2007" spans="1:20" ht="13.8">
      <c r="A2007" s="118" t="str">
        <f ca="1">IFERROR(__xludf.DUMMYFUNCTION("""COMPUTED_VALUE"""),"T")</f>
        <v>T</v>
      </c>
      <c r="B2007" s="119" t="str">
        <f ca="1">IFERROR(__xludf.DUMMYFUNCTION("""COMPUTED_VALUE"""),"Lucy Silverstein")</f>
        <v>Lucy Silverstein</v>
      </c>
      <c r="C2007" s="118">
        <f ca="1">IFERROR(__xludf.DUMMYFUNCTION("""COMPUTED_VALUE"""),18)</f>
        <v>18</v>
      </c>
      <c r="D2007" s="118" t="str">
        <f ca="1">IFERROR(__xludf.DUMMYFUNCTION("""COMPUTED_VALUE"""),"G")</f>
        <v>G</v>
      </c>
      <c r="E2007" s="118" t="str">
        <f ca="1">IFERROR(__xludf.DUMMYFUNCTION("""COMPUTED_VALUE"""),"S")</f>
        <v>S</v>
      </c>
      <c r="F2007" s="124" t="str">
        <f ca="1">IFERROR(__xludf.DUMMYFUNCTION("""COMPUTED_VALUE"""),"S")</f>
        <v>S</v>
      </c>
      <c r="G2007" s="124">
        <f ca="1">IFERROR(__xludf.DUMMYFUNCTION("""COMPUTED_VALUE"""),6)</f>
        <v>6</v>
      </c>
      <c r="H2007" s="124" t="str">
        <f ca="1">IFERROR(__xludf.DUMMYFUNCTION("""COMPUTED_VALUE"""),"T")</f>
        <v>T</v>
      </c>
      <c r="I2007" s="124">
        <f ca="1">IFERROR(__xludf.DUMMYFUNCTION("""COMPUTED_VALUE"""),10)</f>
        <v>10</v>
      </c>
      <c r="J2007" s="124">
        <f ca="1">IFERROR(__xludf.DUMMYFUNCTION("""COMPUTED_VALUE"""),3)</f>
        <v>3</v>
      </c>
      <c r="K2007" s="125">
        <f ca="1">IFERROR(__xludf.DUMMYFUNCTION("""COMPUTED_VALUE"""),180)</f>
        <v>180</v>
      </c>
      <c r="L2007" s="121"/>
      <c r="M2007" s="125"/>
      <c r="N2007" s="121"/>
      <c r="O2007" s="125"/>
      <c r="P2007" s="126"/>
      <c r="Q2007" s="127"/>
      <c r="R2007" s="127"/>
      <c r="S2007" s="127"/>
      <c r="T2007" s="127"/>
    </row>
    <row r="2008" spans="1:20" ht="13.8">
      <c r="A2008" s="118" t="str">
        <f ca="1">IFERROR(__xludf.DUMMYFUNCTION("""COMPUTED_VALUE"""),"T")</f>
        <v>T</v>
      </c>
      <c r="B2008" s="119" t="str">
        <f ca="1">IFERROR(__xludf.DUMMYFUNCTION("""COMPUTED_VALUE"""),"Maura Leonard")</f>
        <v>Maura Leonard</v>
      </c>
      <c r="C2008" s="118">
        <f ca="1">IFERROR(__xludf.DUMMYFUNCTION("""COMPUTED_VALUE"""),16)</f>
        <v>16</v>
      </c>
      <c r="D2008" s="118" t="str">
        <f ca="1">IFERROR(__xludf.DUMMYFUNCTION("""COMPUTED_VALUE"""),"G")</f>
        <v>G</v>
      </c>
      <c r="E2008" s="118" t="str">
        <f ca="1">IFERROR(__xludf.DUMMYFUNCTION("""COMPUTED_VALUE"""),"S")</f>
        <v>S</v>
      </c>
      <c r="F2008" s="124" t="str">
        <f ca="1">IFERROR(__xludf.DUMMYFUNCTION("""COMPUTED_VALUE"""),"S")</f>
        <v>S</v>
      </c>
      <c r="G2008" s="124">
        <f ca="1">IFERROR(__xludf.DUMMYFUNCTION("""COMPUTED_VALUE"""),6)</f>
        <v>6</v>
      </c>
      <c r="H2008" s="124" t="str">
        <f ca="1">IFERROR(__xludf.DUMMYFUNCTION("""COMPUTED_VALUE"""),"T")</f>
        <v>T</v>
      </c>
      <c r="I2008" s="124">
        <f ca="1">IFERROR(__xludf.DUMMYFUNCTION("""COMPUTED_VALUE"""),10)</f>
        <v>10</v>
      </c>
      <c r="J2008" s="124">
        <f ca="1">IFERROR(__xludf.DUMMYFUNCTION("""COMPUTED_VALUE"""),3)</f>
        <v>3</v>
      </c>
      <c r="K2008" s="125">
        <f ca="1">IFERROR(__xludf.DUMMYFUNCTION("""COMPUTED_VALUE"""),174.15)</f>
        <v>174.15</v>
      </c>
      <c r="L2008" s="121"/>
      <c r="M2008" s="125"/>
      <c r="N2008" s="121"/>
      <c r="O2008" s="125"/>
      <c r="P2008" s="126"/>
      <c r="Q2008" s="127"/>
      <c r="R2008" s="127"/>
      <c r="S2008" s="127"/>
      <c r="T2008" s="127"/>
    </row>
    <row r="2009" spans="1:20" ht="13.8">
      <c r="A2009" s="118" t="str">
        <f ca="1">IFERROR(__xludf.DUMMYFUNCTION("""COMPUTED_VALUE"""),"T")</f>
        <v>T</v>
      </c>
      <c r="B2009" s="119" t="str">
        <f ca="1">IFERROR(__xludf.DUMMYFUNCTION("""COMPUTED_VALUE"""),"Connor Tweddle")</f>
        <v>Connor Tweddle</v>
      </c>
      <c r="C2009" s="118">
        <f ca="1">IFERROR(__xludf.DUMMYFUNCTION("""COMPUTED_VALUE"""),17)</f>
        <v>17</v>
      </c>
      <c r="D2009" s="118" t="str">
        <f ca="1">IFERROR(__xludf.DUMMYFUNCTION("""COMPUTED_VALUE"""),"B")</f>
        <v>B</v>
      </c>
      <c r="E2009" s="118" t="str">
        <f ca="1">IFERROR(__xludf.DUMMYFUNCTION("""COMPUTED_VALUE"""),"S")</f>
        <v>S</v>
      </c>
      <c r="F2009" s="124" t="str">
        <f ca="1">IFERROR(__xludf.DUMMYFUNCTION("""COMPUTED_VALUE"""),"S")</f>
        <v>S</v>
      </c>
      <c r="G2009" s="124">
        <f ca="1">IFERROR(__xludf.DUMMYFUNCTION("""COMPUTED_VALUE"""),6)</f>
        <v>6</v>
      </c>
      <c r="H2009" s="124" t="str">
        <f ca="1">IFERROR(__xludf.DUMMYFUNCTION("""COMPUTED_VALUE"""),"T")</f>
        <v>T</v>
      </c>
      <c r="I2009" s="124">
        <f ca="1">IFERROR(__xludf.DUMMYFUNCTION("""COMPUTED_VALUE"""),11)</f>
        <v>11</v>
      </c>
      <c r="J2009" s="124">
        <f ca="1">IFERROR(__xludf.DUMMYFUNCTION("""COMPUTED_VALUE"""),4)</f>
        <v>4</v>
      </c>
      <c r="K2009" s="125">
        <f ca="1">IFERROR(__xludf.DUMMYFUNCTION("""COMPUTED_VALUE"""),228.7)</f>
        <v>228.7</v>
      </c>
      <c r="L2009" s="121"/>
      <c r="M2009" s="125"/>
      <c r="N2009" s="121"/>
      <c r="O2009" s="125">
        <f ca="1">IFERROR(__xludf.DUMMYFUNCTION("""COMPUTED_VALUE"""),186.25)</f>
        <v>186.25</v>
      </c>
      <c r="P2009" s="126"/>
      <c r="Q2009" s="127"/>
      <c r="R2009" s="127"/>
      <c r="S2009" s="127"/>
      <c r="T2009" s="127"/>
    </row>
    <row r="2010" spans="1:20" ht="13.8">
      <c r="A2010" s="118" t="str">
        <f ca="1">IFERROR(__xludf.DUMMYFUNCTION("""COMPUTED_VALUE"""),"THA")</f>
        <v>THA</v>
      </c>
      <c r="B2010" s="119" t="str">
        <f ca="1">IFERROR(__xludf.DUMMYFUNCTION("""COMPUTED_VALUE"""),"Emilie Glass")</f>
        <v>Emilie Glass</v>
      </c>
      <c r="C2010" s="118">
        <f ca="1">IFERROR(__xludf.DUMMYFUNCTION("""COMPUTED_VALUE"""),10)</f>
        <v>10</v>
      </c>
      <c r="D2010" s="118" t="str">
        <f ca="1">IFERROR(__xludf.DUMMYFUNCTION("""COMPUTED_VALUE"""),"G")</f>
        <v>G</v>
      </c>
      <c r="E2010" s="118" t="str">
        <f ca="1">IFERROR(__xludf.DUMMYFUNCTION("""COMPUTED_VALUE"""),"F")</f>
        <v>F</v>
      </c>
      <c r="F2010" s="124" t="str">
        <f ca="1">IFERROR(__xludf.DUMMYFUNCTION("""COMPUTED_VALUE"""),"J")</f>
        <v>J</v>
      </c>
      <c r="G2010" s="124">
        <f ca="1">IFERROR(__xludf.DUMMYFUNCTION("""COMPUTED_VALUE"""),4)</f>
        <v>4</v>
      </c>
      <c r="H2010" s="124" t="str">
        <f ca="1">IFERROR(__xludf.DUMMYFUNCTION("""COMPUTED_VALUE"""),"THA")</f>
        <v>THA</v>
      </c>
      <c r="I2010" s="124">
        <f ca="1">IFERROR(__xludf.DUMMYFUNCTION("""COMPUTED_VALUE"""),4)</f>
        <v>4</v>
      </c>
      <c r="J2010" s="124">
        <f ca="1">IFERROR(__xludf.DUMMYFUNCTION("""COMPUTED_VALUE"""),5)</f>
        <v>5</v>
      </c>
      <c r="K2010" s="125">
        <f ca="1">IFERROR(__xludf.DUMMYFUNCTION("""COMPUTED_VALUE"""),49.55)</f>
        <v>49.55</v>
      </c>
      <c r="L2010" s="121"/>
      <c r="M2010" s="125">
        <f ca="1">IFERROR(__xludf.DUMMYFUNCTION("""COMPUTED_VALUE"""),32)</f>
        <v>32</v>
      </c>
      <c r="N2010" s="121"/>
      <c r="O2010" s="125">
        <f ca="1">IFERROR(__xludf.DUMMYFUNCTION("""COMPUTED_VALUE"""),49.55)</f>
        <v>49.55</v>
      </c>
      <c r="P2010" s="126"/>
      <c r="Q2010" s="127"/>
      <c r="R2010" s="127"/>
      <c r="S2010" s="127"/>
      <c r="T2010" s="127"/>
    </row>
    <row r="2011" spans="1:20" ht="13.8">
      <c r="A2011" s="118" t="str">
        <f ca="1">IFERROR(__xludf.DUMMYFUNCTION("""COMPUTED_VALUE"""),"THA")</f>
        <v>THA</v>
      </c>
      <c r="B2011" s="119" t="str">
        <f ca="1">IFERROR(__xludf.DUMMYFUNCTION("""COMPUTED_VALUE"""),"Felicity Hanlon")</f>
        <v>Felicity Hanlon</v>
      </c>
      <c r="C2011" s="118">
        <f ca="1">IFERROR(__xludf.DUMMYFUNCTION("""COMPUTED_VALUE"""),9)</f>
        <v>9</v>
      </c>
      <c r="D2011" s="118" t="str">
        <f ca="1">IFERROR(__xludf.DUMMYFUNCTION("""COMPUTED_VALUE"""),"G")</f>
        <v>G</v>
      </c>
      <c r="E2011" s="118" t="str">
        <f ca="1">IFERROR(__xludf.DUMMYFUNCTION("""COMPUTED_VALUE"""),"F")</f>
        <v>F</v>
      </c>
      <c r="F2011" s="124" t="str">
        <f ca="1">IFERROR(__xludf.DUMMYFUNCTION("""COMPUTED_VALUE"""),"J")</f>
        <v>J</v>
      </c>
      <c r="G2011" s="124">
        <f ca="1">IFERROR(__xludf.DUMMYFUNCTION("""COMPUTED_VALUE"""),4)</f>
        <v>4</v>
      </c>
      <c r="H2011" s="124" t="str">
        <f ca="1">IFERROR(__xludf.DUMMYFUNCTION("""COMPUTED_VALUE"""),"THA")</f>
        <v>THA</v>
      </c>
      <c r="I2011" s="124">
        <f ca="1">IFERROR(__xludf.DUMMYFUNCTION("""COMPUTED_VALUE"""),4)</f>
        <v>4</v>
      </c>
      <c r="J2011" s="124">
        <f ca="1">IFERROR(__xludf.DUMMYFUNCTION("""COMPUTED_VALUE"""),3)</f>
        <v>3</v>
      </c>
      <c r="K2011" s="125">
        <f ca="1">IFERROR(__xludf.DUMMYFUNCTION("""COMPUTED_VALUE"""),44.25)</f>
        <v>44.25</v>
      </c>
      <c r="L2011" s="121"/>
      <c r="M2011" s="125"/>
      <c r="N2011" s="121"/>
      <c r="O2011" s="125">
        <f ca="1">IFERROR(__xludf.DUMMYFUNCTION("""COMPUTED_VALUE"""),44.25)</f>
        <v>44.25</v>
      </c>
      <c r="P2011" s="126"/>
      <c r="Q2011" s="127"/>
      <c r="R2011" s="127"/>
      <c r="S2011" s="127"/>
      <c r="T2011" s="127"/>
    </row>
    <row r="2012" spans="1:20" ht="13.8">
      <c r="A2012" s="118" t="str">
        <f ca="1">IFERROR(__xludf.DUMMYFUNCTION("""COMPUTED_VALUE"""),"THA")</f>
        <v>THA</v>
      </c>
      <c r="B2012" s="119" t="str">
        <f ca="1">IFERROR(__xludf.DUMMYFUNCTION("""COMPUTED_VALUE"""),"Gabrielle Hanlon")</f>
        <v>Gabrielle Hanlon</v>
      </c>
      <c r="C2012" s="118">
        <f ca="1">IFERROR(__xludf.DUMMYFUNCTION("""COMPUTED_VALUE"""),9)</f>
        <v>9</v>
      </c>
      <c r="D2012" s="118" t="str">
        <f ca="1">IFERROR(__xludf.DUMMYFUNCTION("""COMPUTED_VALUE"""),"G")</f>
        <v>G</v>
      </c>
      <c r="E2012" s="118" t="str">
        <f ca="1">IFERROR(__xludf.DUMMYFUNCTION("""COMPUTED_VALUE"""),"F")</f>
        <v>F</v>
      </c>
      <c r="F2012" s="124" t="str">
        <f ca="1">IFERROR(__xludf.DUMMYFUNCTION("""COMPUTED_VALUE"""),"J")</f>
        <v>J</v>
      </c>
      <c r="G2012" s="124">
        <f ca="1">IFERROR(__xludf.DUMMYFUNCTION("""COMPUTED_VALUE"""),4)</f>
        <v>4</v>
      </c>
      <c r="H2012" s="124" t="str">
        <f ca="1">IFERROR(__xludf.DUMMYFUNCTION("""COMPUTED_VALUE"""),"THA")</f>
        <v>THA</v>
      </c>
      <c r="I2012" s="124">
        <f ca="1">IFERROR(__xludf.DUMMYFUNCTION("""COMPUTED_VALUE"""),4)</f>
        <v>4</v>
      </c>
      <c r="J2012" s="124">
        <f ca="1">IFERROR(__xludf.DUMMYFUNCTION("""COMPUTED_VALUE"""),1)</f>
        <v>1</v>
      </c>
      <c r="K2012" s="125">
        <f ca="1">IFERROR(__xludf.DUMMYFUNCTION("""COMPUTED_VALUE"""),31.7)</f>
        <v>31.7</v>
      </c>
      <c r="L2012" s="121"/>
      <c r="M2012" s="125"/>
      <c r="N2012" s="121"/>
      <c r="O2012" s="125"/>
      <c r="P2012" s="126"/>
      <c r="Q2012" s="127"/>
      <c r="R2012" s="127"/>
      <c r="S2012" s="127"/>
      <c r="T2012" s="127"/>
    </row>
    <row r="2013" spans="1:20" ht="13.8">
      <c r="A2013" s="118" t="str">
        <f ca="1">IFERROR(__xludf.DUMMYFUNCTION("""COMPUTED_VALUE"""),"THA")</f>
        <v>THA</v>
      </c>
      <c r="B2013" s="119" t="str">
        <f ca="1">IFERROR(__xludf.DUMMYFUNCTION("""COMPUTED_VALUE"""),"Gincy Zapf")</f>
        <v>Gincy Zapf</v>
      </c>
      <c r="C2013" s="118">
        <f ca="1">IFERROR(__xludf.DUMMYFUNCTION("""COMPUTED_VALUE"""),9)</f>
        <v>9</v>
      </c>
      <c r="D2013" s="118" t="str">
        <f ca="1">IFERROR(__xludf.DUMMYFUNCTION("""COMPUTED_VALUE"""),"G")</f>
        <v>G</v>
      </c>
      <c r="E2013" s="118" t="str">
        <f ca="1">IFERROR(__xludf.DUMMYFUNCTION("""COMPUTED_VALUE"""),"F")</f>
        <v>F</v>
      </c>
      <c r="F2013" s="124" t="str">
        <f ca="1">IFERROR(__xludf.DUMMYFUNCTION("""COMPUTED_VALUE"""),"J")</f>
        <v>J</v>
      </c>
      <c r="G2013" s="124">
        <f ca="1">IFERROR(__xludf.DUMMYFUNCTION("""COMPUTED_VALUE"""),4)</f>
        <v>4</v>
      </c>
      <c r="H2013" s="124" t="str">
        <f ca="1">IFERROR(__xludf.DUMMYFUNCTION("""COMPUTED_VALUE"""),"THA")</f>
        <v>THA</v>
      </c>
      <c r="I2013" s="124">
        <f ca="1">IFERROR(__xludf.DUMMYFUNCTION("""COMPUTED_VALUE"""),4)</f>
        <v>4</v>
      </c>
      <c r="J2013" s="124">
        <f ca="1">IFERROR(__xludf.DUMMYFUNCTION("""COMPUTED_VALUE"""),3)</f>
        <v>3</v>
      </c>
      <c r="K2013" s="125">
        <f ca="1">IFERROR(__xludf.DUMMYFUNCTION("""COMPUTED_VALUE"""),32.05)</f>
        <v>32.049999999999997</v>
      </c>
      <c r="L2013" s="121"/>
      <c r="M2013" s="125"/>
      <c r="N2013" s="121"/>
      <c r="O2013" s="125">
        <f ca="1">IFERROR(__xludf.DUMMYFUNCTION("""COMPUTED_VALUE"""),25.9)</f>
        <v>25.9</v>
      </c>
      <c r="P2013" s="126"/>
      <c r="Q2013" s="127"/>
      <c r="R2013" s="127"/>
      <c r="S2013" s="127"/>
      <c r="T2013" s="127"/>
    </row>
    <row r="2014" spans="1:20" ht="13.8">
      <c r="A2014" s="118" t="str">
        <f ca="1">IFERROR(__xludf.DUMMYFUNCTION("""COMPUTED_VALUE"""),"THA")</f>
        <v>THA</v>
      </c>
      <c r="B2014" s="119" t="str">
        <f ca="1">IFERROR(__xludf.DUMMYFUNCTION("""COMPUTED_VALUE"""),"Halley Hughes")</f>
        <v>Halley Hughes</v>
      </c>
      <c r="C2014" s="118">
        <f ca="1">IFERROR(__xludf.DUMMYFUNCTION("""COMPUTED_VALUE"""),8)</f>
        <v>8</v>
      </c>
      <c r="D2014" s="118" t="str">
        <f ca="1">IFERROR(__xludf.DUMMYFUNCTION("""COMPUTED_VALUE"""),"G")</f>
        <v>G</v>
      </c>
      <c r="E2014" s="118" t="str">
        <f ca="1">IFERROR(__xludf.DUMMYFUNCTION("""COMPUTED_VALUE"""),"F")</f>
        <v>F</v>
      </c>
      <c r="F2014" s="124" t="str">
        <f ca="1">IFERROR(__xludf.DUMMYFUNCTION("""COMPUTED_VALUE"""),"J")</f>
        <v>J</v>
      </c>
      <c r="G2014" s="124">
        <f ca="1">IFERROR(__xludf.DUMMYFUNCTION("""COMPUTED_VALUE"""),4)</f>
        <v>4</v>
      </c>
      <c r="H2014" s="124" t="str">
        <f ca="1">IFERROR(__xludf.DUMMYFUNCTION("""COMPUTED_VALUE"""),"THA")</f>
        <v>THA</v>
      </c>
      <c r="I2014" s="124">
        <f ca="1">IFERROR(__xludf.DUMMYFUNCTION("""COMPUTED_VALUE"""),4)</f>
        <v>4</v>
      </c>
      <c r="J2014" s="124">
        <f ca="1">IFERROR(__xludf.DUMMYFUNCTION("""COMPUTED_VALUE"""),0)</f>
        <v>0</v>
      </c>
      <c r="K2014" s="125"/>
      <c r="L2014" s="121"/>
      <c r="M2014" s="125"/>
      <c r="N2014" s="121"/>
      <c r="O2014" s="125"/>
      <c r="P2014" s="126"/>
      <c r="Q2014" s="127"/>
      <c r="R2014" s="127"/>
      <c r="S2014" s="127"/>
      <c r="T2014" s="127"/>
    </row>
    <row r="2015" spans="1:20" ht="13.8">
      <c r="A2015" s="118" t="str">
        <f ca="1">IFERROR(__xludf.DUMMYFUNCTION("""COMPUTED_VALUE"""),"THA")</f>
        <v>THA</v>
      </c>
      <c r="B2015" s="119" t="str">
        <f ca="1">IFERROR(__xludf.DUMMYFUNCTION("""COMPUTED_VALUE"""),"Lauren Myers")</f>
        <v>Lauren Myers</v>
      </c>
      <c r="C2015" s="118">
        <f ca="1">IFERROR(__xludf.DUMMYFUNCTION("""COMPUTED_VALUE"""),8)</f>
        <v>8</v>
      </c>
      <c r="D2015" s="118" t="str">
        <f ca="1">IFERROR(__xludf.DUMMYFUNCTION("""COMPUTED_VALUE"""),"G")</f>
        <v>G</v>
      </c>
      <c r="E2015" s="118" t="str">
        <f ca="1">IFERROR(__xludf.DUMMYFUNCTION("""COMPUTED_VALUE"""),"F")</f>
        <v>F</v>
      </c>
      <c r="F2015" s="124" t="str">
        <f ca="1">IFERROR(__xludf.DUMMYFUNCTION("""COMPUTED_VALUE"""),"J")</f>
        <v>J</v>
      </c>
      <c r="G2015" s="124">
        <f ca="1">IFERROR(__xludf.DUMMYFUNCTION("""COMPUTED_VALUE"""),4)</f>
        <v>4</v>
      </c>
      <c r="H2015" s="124" t="str">
        <f ca="1">IFERROR(__xludf.DUMMYFUNCTION("""COMPUTED_VALUE"""),"THA")</f>
        <v>THA</v>
      </c>
      <c r="I2015" s="124">
        <f ca="1">IFERROR(__xludf.DUMMYFUNCTION("""COMPUTED_VALUE"""),4)</f>
        <v>4</v>
      </c>
      <c r="J2015" s="124">
        <f ca="1">IFERROR(__xludf.DUMMYFUNCTION("""COMPUTED_VALUE"""),2)</f>
        <v>2</v>
      </c>
      <c r="K2015" s="125">
        <f ca="1">IFERROR(__xludf.DUMMYFUNCTION("""COMPUTED_VALUE"""),23.5)</f>
        <v>23.5</v>
      </c>
      <c r="L2015" s="121"/>
      <c r="M2015" s="125"/>
      <c r="N2015" s="121"/>
      <c r="O2015" s="125">
        <f ca="1">IFERROR(__xludf.DUMMYFUNCTION("""COMPUTED_VALUE"""),12.4)</f>
        <v>12.4</v>
      </c>
      <c r="P2015" s="126"/>
      <c r="Q2015" s="127"/>
      <c r="R2015" s="127"/>
      <c r="S2015" s="127"/>
      <c r="T2015" s="127"/>
    </row>
    <row r="2016" spans="1:20" ht="13.8">
      <c r="A2016" s="118" t="str">
        <f ca="1">IFERROR(__xludf.DUMMYFUNCTION("""COMPUTED_VALUE"""),"THA")</f>
        <v>THA</v>
      </c>
      <c r="B2016" s="119" t="str">
        <f ca="1">IFERROR(__xludf.DUMMYFUNCTION("""COMPUTED_VALUE"""),"Lydia Kieffer")</f>
        <v>Lydia Kieffer</v>
      </c>
      <c r="C2016" s="118">
        <f ca="1">IFERROR(__xludf.DUMMYFUNCTION("""COMPUTED_VALUE"""),8)</f>
        <v>8</v>
      </c>
      <c r="D2016" s="118" t="str">
        <f ca="1">IFERROR(__xludf.DUMMYFUNCTION("""COMPUTED_VALUE"""),"G")</f>
        <v>G</v>
      </c>
      <c r="E2016" s="118" t="str">
        <f ca="1">IFERROR(__xludf.DUMMYFUNCTION("""COMPUTED_VALUE"""),"F")</f>
        <v>F</v>
      </c>
      <c r="F2016" s="124" t="str">
        <f ca="1">IFERROR(__xludf.DUMMYFUNCTION("""COMPUTED_VALUE"""),"J")</f>
        <v>J</v>
      </c>
      <c r="G2016" s="124">
        <f ca="1">IFERROR(__xludf.DUMMYFUNCTION("""COMPUTED_VALUE"""),4)</f>
        <v>4</v>
      </c>
      <c r="H2016" s="124" t="str">
        <f ca="1">IFERROR(__xludf.DUMMYFUNCTION("""COMPUTED_VALUE"""),"THA")</f>
        <v>THA</v>
      </c>
      <c r="I2016" s="124">
        <f ca="1">IFERROR(__xludf.DUMMYFUNCTION("""COMPUTED_VALUE"""),4)</f>
        <v>4</v>
      </c>
      <c r="J2016" s="124">
        <f ca="1">IFERROR(__xludf.DUMMYFUNCTION("""COMPUTED_VALUE"""),0)</f>
        <v>0</v>
      </c>
      <c r="K2016" s="125"/>
      <c r="L2016" s="121"/>
      <c r="M2016" s="125"/>
      <c r="N2016" s="121"/>
      <c r="O2016" s="125"/>
      <c r="P2016" s="126"/>
      <c r="Q2016" s="127"/>
      <c r="R2016" s="127"/>
      <c r="S2016" s="127"/>
      <c r="T2016" s="127"/>
    </row>
    <row r="2017" spans="1:20" ht="13.8">
      <c r="A2017" s="118" t="str">
        <f ca="1">IFERROR(__xludf.DUMMYFUNCTION("""COMPUTED_VALUE"""),"THA")</f>
        <v>THA</v>
      </c>
      <c r="B2017" s="119" t="str">
        <f ca="1">IFERROR(__xludf.DUMMYFUNCTION("""COMPUTED_VALUE"""),"Nathalie Lord")</f>
        <v>Nathalie Lord</v>
      </c>
      <c r="C2017" s="118">
        <f ca="1">IFERROR(__xludf.DUMMYFUNCTION("""COMPUTED_VALUE"""),9)</f>
        <v>9</v>
      </c>
      <c r="D2017" s="118" t="str">
        <f ca="1">IFERROR(__xludf.DUMMYFUNCTION("""COMPUTED_VALUE"""),"G")</f>
        <v>G</v>
      </c>
      <c r="E2017" s="118" t="str">
        <f ca="1">IFERROR(__xludf.DUMMYFUNCTION("""COMPUTED_VALUE"""),"F")</f>
        <v>F</v>
      </c>
      <c r="F2017" s="124" t="str">
        <f ca="1">IFERROR(__xludf.DUMMYFUNCTION("""COMPUTED_VALUE"""),"J")</f>
        <v>J</v>
      </c>
      <c r="G2017" s="124">
        <f ca="1">IFERROR(__xludf.DUMMYFUNCTION("""COMPUTED_VALUE"""),4)</f>
        <v>4</v>
      </c>
      <c r="H2017" s="124" t="str">
        <f ca="1">IFERROR(__xludf.DUMMYFUNCTION("""COMPUTED_VALUE"""),"THA")</f>
        <v>THA</v>
      </c>
      <c r="I2017" s="124">
        <f ca="1">IFERROR(__xludf.DUMMYFUNCTION("""COMPUTED_VALUE"""),4)</f>
        <v>4</v>
      </c>
      <c r="J2017" s="124">
        <f ca="1">IFERROR(__xludf.DUMMYFUNCTION("""COMPUTED_VALUE"""),0)</f>
        <v>0</v>
      </c>
      <c r="K2017" s="125"/>
      <c r="L2017" s="121"/>
      <c r="M2017" s="125"/>
      <c r="N2017" s="121"/>
      <c r="O2017" s="125"/>
      <c r="P2017" s="126"/>
      <c r="Q2017" s="127"/>
      <c r="R2017" s="127"/>
      <c r="S2017" s="127"/>
      <c r="T2017" s="127"/>
    </row>
    <row r="2018" spans="1:20" ht="13.8">
      <c r="A2018" s="118" t="str">
        <f ca="1">IFERROR(__xludf.DUMMYFUNCTION("""COMPUTED_VALUE"""),"THA")</f>
        <v>THA</v>
      </c>
      <c r="B2018" s="119" t="str">
        <f ca="1">IFERROR(__xludf.DUMMYFUNCTION("""COMPUTED_VALUE"""),"Sofia Dalilaltojari")</f>
        <v>Sofia Dalilaltojari</v>
      </c>
      <c r="C2018" s="118">
        <f ca="1">IFERROR(__xludf.DUMMYFUNCTION("""COMPUTED_VALUE"""),10)</f>
        <v>10</v>
      </c>
      <c r="D2018" s="118" t="str">
        <f ca="1">IFERROR(__xludf.DUMMYFUNCTION("""COMPUTED_VALUE"""),"G")</f>
        <v>G</v>
      </c>
      <c r="E2018" s="118" t="str">
        <f ca="1">IFERROR(__xludf.DUMMYFUNCTION("""COMPUTED_VALUE"""),"F")</f>
        <v>F</v>
      </c>
      <c r="F2018" s="124" t="str">
        <f ca="1">IFERROR(__xludf.DUMMYFUNCTION("""COMPUTED_VALUE"""),"J")</f>
        <v>J</v>
      </c>
      <c r="G2018" s="124">
        <f ca="1">IFERROR(__xludf.DUMMYFUNCTION("""COMPUTED_VALUE"""),4)</f>
        <v>4</v>
      </c>
      <c r="H2018" s="124" t="str">
        <f ca="1">IFERROR(__xludf.DUMMYFUNCTION("""COMPUTED_VALUE"""),"THA")</f>
        <v>THA</v>
      </c>
      <c r="I2018" s="124">
        <f ca="1">IFERROR(__xludf.DUMMYFUNCTION("""COMPUTED_VALUE"""),4)</f>
        <v>4</v>
      </c>
      <c r="J2018" s="124">
        <f ca="1">IFERROR(__xludf.DUMMYFUNCTION("""COMPUTED_VALUE"""),5)</f>
        <v>5</v>
      </c>
      <c r="K2018" s="125">
        <f ca="1">IFERROR(__xludf.DUMMYFUNCTION("""COMPUTED_VALUE"""),48.85)</f>
        <v>48.85</v>
      </c>
      <c r="L2018" s="121"/>
      <c r="M2018" s="125">
        <f ca="1">IFERROR(__xludf.DUMMYFUNCTION("""COMPUTED_VALUE"""),41.2)</f>
        <v>41.2</v>
      </c>
      <c r="N2018" s="121"/>
      <c r="O2018" s="125">
        <f ca="1">IFERROR(__xludf.DUMMYFUNCTION("""COMPUTED_VALUE"""),38.05)</f>
        <v>38.049999999999997</v>
      </c>
      <c r="P2018" s="126"/>
      <c r="Q2018" s="127"/>
      <c r="R2018" s="127"/>
      <c r="S2018" s="127"/>
      <c r="T2018" s="127"/>
    </row>
    <row r="2019" spans="1:20" ht="13.8">
      <c r="A2019" s="118" t="str">
        <f ca="1">IFERROR(__xludf.DUMMYFUNCTION("""COMPUTED_VALUE"""),"THA")</f>
        <v>THA</v>
      </c>
      <c r="B2019" s="119" t="str">
        <f ca="1">IFERROR(__xludf.DUMMYFUNCTION("""COMPUTED_VALUE"""),"Sophia Herbert")</f>
        <v>Sophia Herbert</v>
      </c>
      <c r="C2019" s="118">
        <f ca="1">IFERROR(__xludf.DUMMYFUNCTION("""COMPUTED_VALUE"""),10)</f>
        <v>10</v>
      </c>
      <c r="D2019" s="118" t="str">
        <f ca="1">IFERROR(__xludf.DUMMYFUNCTION("""COMPUTED_VALUE"""),"G")</f>
        <v>G</v>
      </c>
      <c r="E2019" s="118" t="str">
        <f ca="1">IFERROR(__xludf.DUMMYFUNCTION("""COMPUTED_VALUE"""),"F")</f>
        <v>F</v>
      </c>
      <c r="F2019" s="124" t="str">
        <f ca="1">IFERROR(__xludf.DUMMYFUNCTION("""COMPUTED_VALUE"""),"J")</f>
        <v>J</v>
      </c>
      <c r="G2019" s="124">
        <f ca="1">IFERROR(__xludf.DUMMYFUNCTION("""COMPUTED_VALUE"""),4)</f>
        <v>4</v>
      </c>
      <c r="H2019" s="124" t="str">
        <f ca="1">IFERROR(__xludf.DUMMYFUNCTION("""COMPUTED_VALUE"""),"THA")</f>
        <v>THA</v>
      </c>
      <c r="I2019" s="124">
        <f ca="1">IFERROR(__xludf.DUMMYFUNCTION("""COMPUTED_VALUE"""),4)</f>
        <v>4</v>
      </c>
      <c r="J2019" s="124">
        <f ca="1">IFERROR(__xludf.DUMMYFUNCTION("""COMPUTED_VALUE"""),1)</f>
        <v>1</v>
      </c>
      <c r="K2019" s="125">
        <f ca="1">IFERROR(__xludf.DUMMYFUNCTION("""COMPUTED_VALUE"""),-39.3)</f>
        <v>-39.299999999999997</v>
      </c>
      <c r="L2019" s="121"/>
      <c r="M2019" s="125"/>
      <c r="N2019" s="121"/>
      <c r="O2019" s="125"/>
      <c r="P2019" s="126"/>
      <c r="Q2019" s="127"/>
      <c r="R2019" s="127"/>
      <c r="S2019" s="127"/>
      <c r="T2019" s="127"/>
    </row>
    <row r="2020" spans="1:20" ht="13.8">
      <c r="A2020" s="118" t="str">
        <f ca="1">IFERROR(__xludf.DUMMYFUNCTION("""COMPUTED_VALUE"""),"THA")</f>
        <v>THA</v>
      </c>
      <c r="B2020" s="119" t="str">
        <f ca="1">IFERROR(__xludf.DUMMYFUNCTION("""COMPUTED_VALUE"""),"Andrew Baldovich")</f>
        <v>Andrew Baldovich</v>
      </c>
      <c r="C2020" s="118">
        <f ca="1">IFERROR(__xludf.DUMMYFUNCTION("""COMPUTED_VALUE"""),6)</f>
        <v>6</v>
      </c>
      <c r="D2020" s="118" t="str">
        <f ca="1">IFERROR(__xludf.DUMMYFUNCTION("""COMPUTED_VALUE"""),"B")</f>
        <v>B</v>
      </c>
      <c r="E2020" s="118" t="str">
        <f ca="1">IFERROR(__xludf.DUMMYFUNCTION("""COMPUTED_VALUE"""),"F")</f>
        <v>F</v>
      </c>
      <c r="F2020" s="124" t="str">
        <f ca="1">IFERROR(__xludf.DUMMYFUNCTION("""COMPUTED_VALUE"""),"J")</f>
        <v>J</v>
      </c>
      <c r="G2020" s="124">
        <f ca="1">IFERROR(__xludf.DUMMYFUNCTION("""COMPUTED_VALUE"""),4)</f>
        <v>4</v>
      </c>
      <c r="H2020" s="124" t="str">
        <f ca="1">IFERROR(__xludf.DUMMYFUNCTION("""COMPUTED_VALUE"""),"THA")</f>
        <v>THA</v>
      </c>
      <c r="I2020" s="124">
        <f ca="1">IFERROR(__xludf.DUMMYFUNCTION("""COMPUTED_VALUE"""),5)</f>
        <v>5</v>
      </c>
      <c r="J2020" s="124">
        <f ca="1">IFERROR(__xludf.DUMMYFUNCTION("""COMPUTED_VALUE"""),0)</f>
        <v>0</v>
      </c>
      <c r="K2020" s="125"/>
      <c r="L2020" s="121"/>
      <c r="M2020" s="125"/>
      <c r="N2020" s="121"/>
      <c r="O2020" s="125"/>
      <c r="P2020" s="126"/>
      <c r="Q2020" s="127"/>
      <c r="R2020" s="127"/>
      <c r="S2020" s="127"/>
      <c r="T2020" s="127"/>
    </row>
    <row r="2021" spans="1:20" ht="13.8">
      <c r="A2021" s="118" t="str">
        <f ca="1">IFERROR(__xludf.DUMMYFUNCTION("""COMPUTED_VALUE"""),"THA")</f>
        <v>THA</v>
      </c>
      <c r="B2021" s="119" t="str">
        <f ca="1">IFERROR(__xludf.DUMMYFUNCTION("""COMPUTED_VALUE"""),"Atticus Lee")</f>
        <v>Atticus Lee</v>
      </c>
      <c r="C2021" s="118">
        <f ca="1">IFERROR(__xludf.DUMMYFUNCTION("""COMPUTED_VALUE"""),10)</f>
        <v>10</v>
      </c>
      <c r="D2021" s="118" t="str">
        <f ca="1">IFERROR(__xludf.DUMMYFUNCTION("""COMPUTED_VALUE"""),"B")</f>
        <v>B</v>
      </c>
      <c r="E2021" s="118" t="str">
        <f ca="1">IFERROR(__xludf.DUMMYFUNCTION("""COMPUTED_VALUE"""),"F")</f>
        <v>F</v>
      </c>
      <c r="F2021" s="124" t="str">
        <f ca="1">IFERROR(__xludf.DUMMYFUNCTION("""COMPUTED_VALUE"""),"J")</f>
        <v>J</v>
      </c>
      <c r="G2021" s="124">
        <f ca="1">IFERROR(__xludf.DUMMYFUNCTION("""COMPUTED_VALUE"""),4)</f>
        <v>4</v>
      </c>
      <c r="H2021" s="124" t="str">
        <f ca="1">IFERROR(__xludf.DUMMYFUNCTION("""COMPUTED_VALUE"""),"THA")</f>
        <v>THA</v>
      </c>
      <c r="I2021" s="124">
        <f ca="1">IFERROR(__xludf.DUMMYFUNCTION("""COMPUTED_VALUE"""),5)</f>
        <v>5</v>
      </c>
      <c r="J2021" s="124">
        <f ca="1">IFERROR(__xludf.DUMMYFUNCTION("""COMPUTED_VALUE"""),1)</f>
        <v>1</v>
      </c>
      <c r="K2021" s="125">
        <f ca="1">IFERROR(__xludf.DUMMYFUNCTION("""COMPUTED_VALUE"""),46.7)</f>
        <v>46.7</v>
      </c>
      <c r="L2021" s="121"/>
      <c r="M2021" s="125"/>
      <c r="N2021" s="121"/>
      <c r="O2021" s="125">
        <f ca="1">IFERROR(__xludf.DUMMYFUNCTION("""COMPUTED_VALUE"""),46.7)</f>
        <v>46.7</v>
      </c>
      <c r="P2021" s="126"/>
      <c r="Q2021" s="127"/>
      <c r="R2021" s="127"/>
      <c r="S2021" s="127"/>
      <c r="T2021" s="127"/>
    </row>
    <row r="2022" spans="1:20" ht="13.8">
      <c r="A2022" s="118" t="str">
        <f ca="1">IFERROR(__xludf.DUMMYFUNCTION("""COMPUTED_VALUE"""),"THA")</f>
        <v>THA</v>
      </c>
      <c r="B2022" s="119" t="str">
        <f ca="1">IFERROR(__xludf.DUMMYFUNCTION("""COMPUTED_VALUE"""),"Callum Pitera")</f>
        <v>Callum Pitera</v>
      </c>
      <c r="C2022" s="118">
        <f ca="1">IFERROR(__xludf.DUMMYFUNCTION("""COMPUTED_VALUE"""),10)</f>
        <v>10</v>
      </c>
      <c r="D2022" s="118" t="str">
        <f ca="1">IFERROR(__xludf.DUMMYFUNCTION("""COMPUTED_VALUE"""),"B")</f>
        <v>B</v>
      </c>
      <c r="E2022" s="118" t="str">
        <f ca="1">IFERROR(__xludf.DUMMYFUNCTION("""COMPUTED_VALUE"""),"F")</f>
        <v>F</v>
      </c>
      <c r="F2022" s="124" t="str">
        <f ca="1">IFERROR(__xludf.DUMMYFUNCTION("""COMPUTED_VALUE"""),"J")</f>
        <v>J</v>
      </c>
      <c r="G2022" s="124">
        <f ca="1">IFERROR(__xludf.DUMMYFUNCTION("""COMPUTED_VALUE"""),4)</f>
        <v>4</v>
      </c>
      <c r="H2022" s="124" t="str">
        <f ca="1">IFERROR(__xludf.DUMMYFUNCTION("""COMPUTED_VALUE"""),"THA")</f>
        <v>THA</v>
      </c>
      <c r="I2022" s="124">
        <f ca="1">IFERROR(__xludf.DUMMYFUNCTION("""COMPUTED_VALUE"""),5)</f>
        <v>5</v>
      </c>
      <c r="J2022" s="124">
        <f ca="1">IFERROR(__xludf.DUMMYFUNCTION("""COMPUTED_VALUE"""),5)</f>
        <v>5</v>
      </c>
      <c r="K2022" s="125">
        <f ca="1">IFERROR(__xludf.DUMMYFUNCTION("""COMPUTED_VALUE"""),72.55)</f>
        <v>72.55</v>
      </c>
      <c r="L2022" s="121"/>
      <c r="M2022" s="125">
        <f ca="1">IFERROR(__xludf.DUMMYFUNCTION("""COMPUTED_VALUE"""),56.3)</f>
        <v>56.3</v>
      </c>
      <c r="N2022" s="121"/>
      <c r="O2022" s="125">
        <f ca="1">IFERROR(__xludf.DUMMYFUNCTION("""COMPUTED_VALUE"""),72.55)</f>
        <v>72.55</v>
      </c>
      <c r="P2022" s="126"/>
      <c r="Q2022" s="127"/>
      <c r="R2022" s="127"/>
      <c r="S2022" s="127"/>
      <c r="T2022" s="127"/>
    </row>
    <row r="2023" spans="1:20" ht="13.8">
      <c r="A2023" s="118" t="str">
        <f ca="1">IFERROR(__xludf.DUMMYFUNCTION("""COMPUTED_VALUE"""),"THA")</f>
        <v>THA</v>
      </c>
      <c r="B2023" s="119" t="str">
        <f ca="1">IFERROR(__xludf.DUMMYFUNCTION("""COMPUTED_VALUE"""),"David Myers")</f>
        <v>David Myers</v>
      </c>
      <c r="C2023" s="118">
        <f ca="1">IFERROR(__xludf.DUMMYFUNCTION("""COMPUTED_VALUE"""),10)</f>
        <v>10</v>
      </c>
      <c r="D2023" s="118" t="str">
        <f ca="1">IFERROR(__xludf.DUMMYFUNCTION("""COMPUTED_VALUE"""),"B")</f>
        <v>B</v>
      </c>
      <c r="E2023" s="118" t="str">
        <f ca="1">IFERROR(__xludf.DUMMYFUNCTION("""COMPUTED_VALUE"""),"F")</f>
        <v>F</v>
      </c>
      <c r="F2023" s="124" t="str">
        <f ca="1">IFERROR(__xludf.DUMMYFUNCTION("""COMPUTED_VALUE"""),"J")</f>
        <v>J</v>
      </c>
      <c r="G2023" s="124">
        <f ca="1">IFERROR(__xludf.DUMMYFUNCTION("""COMPUTED_VALUE"""),4)</f>
        <v>4</v>
      </c>
      <c r="H2023" s="124" t="str">
        <f ca="1">IFERROR(__xludf.DUMMYFUNCTION("""COMPUTED_VALUE"""),"THA")</f>
        <v>THA</v>
      </c>
      <c r="I2023" s="124">
        <f ca="1">IFERROR(__xludf.DUMMYFUNCTION("""COMPUTED_VALUE"""),5)</f>
        <v>5</v>
      </c>
      <c r="J2023" s="124">
        <f ca="1">IFERROR(__xludf.DUMMYFUNCTION("""COMPUTED_VALUE"""),0)</f>
        <v>0</v>
      </c>
      <c r="K2023" s="125"/>
      <c r="L2023" s="121"/>
      <c r="M2023" s="125"/>
      <c r="N2023" s="121"/>
      <c r="O2023" s="125"/>
      <c r="P2023" s="126"/>
      <c r="Q2023" s="127"/>
      <c r="R2023" s="127"/>
      <c r="S2023" s="127"/>
      <c r="T2023" s="127"/>
    </row>
    <row r="2024" spans="1:20" ht="13.8">
      <c r="A2024" s="118" t="str">
        <f ca="1">IFERROR(__xludf.DUMMYFUNCTION("""COMPUTED_VALUE"""),"THA")</f>
        <v>THA</v>
      </c>
      <c r="B2024" s="119" t="str">
        <f ca="1">IFERROR(__xludf.DUMMYFUNCTION("""COMPUTED_VALUE"""),"Elliot Lee")</f>
        <v>Elliot Lee</v>
      </c>
      <c r="C2024" s="118">
        <f ca="1">IFERROR(__xludf.DUMMYFUNCTION("""COMPUTED_VALUE"""),7)</f>
        <v>7</v>
      </c>
      <c r="D2024" s="118" t="str">
        <f ca="1">IFERROR(__xludf.DUMMYFUNCTION("""COMPUTED_VALUE"""),"B")</f>
        <v>B</v>
      </c>
      <c r="E2024" s="118" t="str">
        <f ca="1">IFERROR(__xludf.DUMMYFUNCTION("""COMPUTED_VALUE"""),"F")</f>
        <v>F</v>
      </c>
      <c r="F2024" s="124" t="str">
        <f ca="1">IFERROR(__xludf.DUMMYFUNCTION("""COMPUTED_VALUE"""),"J")</f>
        <v>J</v>
      </c>
      <c r="G2024" s="124">
        <f ca="1">IFERROR(__xludf.DUMMYFUNCTION("""COMPUTED_VALUE"""),4)</f>
        <v>4</v>
      </c>
      <c r="H2024" s="124" t="str">
        <f ca="1">IFERROR(__xludf.DUMMYFUNCTION("""COMPUTED_VALUE"""),"THA")</f>
        <v>THA</v>
      </c>
      <c r="I2024" s="124">
        <f ca="1">IFERROR(__xludf.DUMMYFUNCTION("""COMPUTED_VALUE"""),5)</f>
        <v>5</v>
      </c>
      <c r="J2024" s="124">
        <f ca="1">IFERROR(__xludf.DUMMYFUNCTION("""COMPUTED_VALUE"""),0)</f>
        <v>0</v>
      </c>
      <c r="K2024" s="125"/>
      <c r="L2024" s="121"/>
      <c r="M2024" s="125"/>
      <c r="N2024" s="121"/>
      <c r="O2024" s="125"/>
      <c r="P2024" s="126"/>
      <c r="Q2024" s="127"/>
      <c r="R2024" s="127"/>
      <c r="S2024" s="127"/>
      <c r="T2024" s="127"/>
    </row>
    <row r="2025" spans="1:20" ht="13.8">
      <c r="A2025" s="118" t="str">
        <f ca="1">IFERROR(__xludf.DUMMYFUNCTION("""COMPUTED_VALUE"""),"THA")</f>
        <v>THA</v>
      </c>
      <c r="B2025" s="119" t="str">
        <f ca="1">IFERROR(__xludf.DUMMYFUNCTION("""COMPUTED_VALUE"""),"Ender Skelton")</f>
        <v>Ender Skelton</v>
      </c>
      <c r="C2025" s="118">
        <f ca="1">IFERROR(__xludf.DUMMYFUNCTION("""COMPUTED_VALUE"""),9)</f>
        <v>9</v>
      </c>
      <c r="D2025" s="118" t="str">
        <f ca="1">IFERROR(__xludf.DUMMYFUNCTION("""COMPUTED_VALUE"""),"B")</f>
        <v>B</v>
      </c>
      <c r="E2025" s="118" t="str">
        <f ca="1">IFERROR(__xludf.DUMMYFUNCTION("""COMPUTED_VALUE"""),"F")</f>
        <v>F</v>
      </c>
      <c r="F2025" s="124" t="str">
        <f ca="1">IFERROR(__xludf.DUMMYFUNCTION("""COMPUTED_VALUE"""),"J")</f>
        <v>J</v>
      </c>
      <c r="G2025" s="124">
        <f ca="1">IFERROR(__xludf.DUMMYFUNCTION("""COMPUTED_VALUE"""),4)</f>
        <v>4</v>
      </c>
      <c r="H2025" s="124" t="str">
        <f ca="1">IFERROR(__xludf.DUMMYFUNCTION("""COMPUTED_VALUE"""),"THA")</f>
        <v>THA</v>
      </c>
      <c r="I2025" s="124">
        <f ca="1">IFERROR(__xludf.DUMMYFUNCTION("""COMPUTED_VALUE"""),5)</f>
        <v>5</v>
      </c>
      <c r="J2025" s="124">
        <f ca="1">IFERROR(__xludf.DUMMYFUNCTION("""COMPUTED_VALUE"""),0)</f>
        <v>0</v>
      </c>
      <c r="K2025" s="125"/>
      <c r="L2025" s="121"/>
      <c r="M2025" s="125"/>
      <c r="N2025" s="121"/>
      <c r="O2025" s="125"/>
      <c r="P2025" s="126"/>
      <c r="Q2025" s="127"/>
      <c r="R2025" s="127"/>
      <c r="S2025" s="127"/>
      <c r="T2025" s="127"/>
    </row>
    <row r="2026" spans="1:20" ht="13.8">
      <c r="A2026" s="118" t="str">
        <f ca="1">IFERROR(__xludf.DUMMYFUNCTION("""COMPUTED_VALUE"""),"THA")</f>
        <v>THA</v>
      </c>
      <c r="B2026" s="119" t="str">
        <f ca="1">IFERROR(__xludf.DUMMYFUNCTION("""COMPUTED_VALUE"""),"Oliver Long")</f>
        <v>Oliver Long</v>
      </c>
      <c r="C2026" s="118">
        <f ca="1">IFERROR(__xludf.DUMMYFUNCTION("""COMPUTED_VALUE"""),9)</f>
        <v>9</v>
      </c>
      <c r="D2026" s="118" t="str">
        <f ca="1">IFERROR(__xludf.DUMMYFUNCTION("""COMPUTED_VALUE"""),"B")</f>
        <v>B</v>
      </c>
      <c r="E2026" s="118" t="str">
        <f ca="1">IFERROR(__xludf.DUMMYFUNCTION("""COMPUTED_VALUE"""),"F")</f>
        <v>F</v>
      </c>
      <c r="F2026" s="124" t="str">
        <f ca="1">IFERROR(__xludf.DUMMYFUNCTION("""COMPUTED_VALUE"""),"J")</f>
        <v>J</v>
      </c>
      <c r="G2026" s="124">
        <f ca="1">IFERROR(__xludf.DUMMYFUNCTION("""COMPUTED_VALUE"""),4)</f>
        <v>4</v>
      </c>
      <c r="H2026" s="124" t="str">
        <f ca="1">IFERROR(__xludf.DUMMYFUNCTION("""COMPUTED_VALUE"""),"THA")</f>
        <v>THA</v>
      </c>
      <c r="I2026" s="124">
        <f ca="1">IFERROR(__xludf.DUMMYFUNCTION("""COMPUTED_VALUE"""),5)</f>
        <v>5</v>
      </c>
      <c r="J2026" s="124">
        <f ca="1">IFERROR(__xludf.DUMMYFUNCTION("""COMPUTED_VALUE"""),0)</f>
        <v>0</v>
      </c>
      <c r="K2026" s="125"/>
      <c r="L2026" s="121"/>
      <c r="M2026" s="125"/>
      <c r="N2026" s="121"/>
      <c r="O2026" s="125"/>
      <c r="P2026" s="126"/>
      <c r="Q2026" s="127"/>
      <c r="R2026" s="127"/>
      <c r="S2026" s="127"/>
      <c r="T2026" s="127"/>
    </row>
    <row r="2027" spans="1:20" ht="13.8">
      <c r="A2027" s="118" t="str">
        <f ca="1">IFERROR(__xludf.DUMMYFUNCTION("""COMPUTED_VALUE"""),"THA")</f>
        <v>THA</v>
      </c>
      <c r="B2027" s="119" t="str">
        <f ca="1">IFERROR(__xludf.DUMMYFUNCTION("""COMPUTED_VALUE"""),"Oscar Turatbekov")</f>
        <v>Oscar Turatbekov</v>
      </c>
      <c r="C2027" s="118">
        <f ca="1">IFERROR(__xludf.DUMMYFUNCTION("""COMPUTED_VALUE"""),7)</f>
        <v>7</v>
      </c>
      <c r="D2027" s="118" t="str">
        <f ca="1">IFERROR(__xludf.DUMMYFUNCTION("""COMPUTED_VALUE"""),"B")</f>
        <v>B</v>
      </c>
      <c r="E2027" s="118" t="str">
        <f ca="1">IFERROR(__xludf.DUMMYFUNCTION("""COMPUTED_VALUE"""),"F")</f>
        <v>F</v>
      </c>
      <c r="F2027" s="124" t="str">
        <f ca="1">IFERROR(__xludf.DUMMYFUNCTION("""COMPUTED_VALUE"""),"J")</f>
        <v>J</v>
      </c>
      <c r="G2027" s="124">
        <f ca="1">IFERROR(__xludf.DUMMYFUNCTION("""COMPUTED_VALUE"""),4)</f>
        <v>4</v>
      </c>
      <c r="H2027" s="124" t="str">
        <f ca="1">IFERROR(__xludf.DUMMYFUNCTION("""COMPUTED_VALUE"""),"THA")</f>
        <v>THA</v>
      </c>
      <c r="I2027" s="124">
        <f ca="1">IFERROR(__xludf.DUMMYFUNCTION("""COMPUTED_VALUE"""),5)</f>
        <v>5</v>
      </c>
      <c r="J2027" s="124">
        <f ca="1">IFERROR(__xludf.DUMMYFUNCTION("""COMPUTED_VALUE"""),1)</f>
        <v>1</v>
      </c>
      <c r="K2027" s="125">
        <f ca="1">IFERROR(__xludf.DUMMYFUNCTION("""COMPUTED_VALUE"""),26.35)</f>
        <v>26.35</v>
      </c>
      <c r="L2027" s="121"/>
      <c r="M2027" s="125"/>
      <c r="N2027" s="121"/>
      <c r="O2027" s="125"/>
      <c r="P2027" s="126"/>
      <c r="Q2027" s="127"/>
      <c r="R2027" s="127"/>
      <c r="S2027" s="127"/>
      <c r="T2027" s="127"/>
    </row>
    <row r="2028" spans="1:20" ht="13.8">
      <c r="A2028" s="118" t="str">
        <f ca="1">IFERROR(__xludf.DUMMYFUNCTION("""COMPUTED_VALUE"""),"THA")</f>
        <v>THA</v>
      </c>
      <c r="B2028" s="119" t="str">
        <f ca="1">IFERROR(__xludf.DUMMYFUNCTION("""COMPUTED_VALUE"""),"Owen Herbert")</f>
        <v>Owen Herbert</v>
      </c>
      <c r="C2028" s="118">
        <f ca="1">IFERROR(__xludf.DUMMYFUNCTION("""COMPUTED_VALUE"""),8)</f>
        <v>8</v>
      </c>
      <c r="D2028" s="118" t="str">
        <f ca="1">IFERROR(__xludf.DUMMYFUNCTION("""COMPUTED_VALUE"""),"B")</f>
        <v>B</v>
      </c>
      <c r="E2028" s="118" t="str">
        <f ca="1">IFERROR(__xludf.DUMMYFUNCTION("""COMPUTED_VALUE"""),"F")</f>
        <v>F</v>
      </c>
      <c r="F2028" s="124" t="str">
        <f ca="1">IFERROR(__xludf.DUMMYFUNCTION("""COMPUTED_VALUE"""),"J")</f>
        <v>J</v>
      </c>
      <c r="G2028" s="124">
        <f ca="1">IFERROR(__xludf.DUMMYFUNCTION("""COMPUTED_VALUE"""),4)</f>
        <v>4</v>
      </c>
      <c r="H2028" s="124" t="str">
        <f ca="1">IFERROR(__xludf.DUMMYFUNCTION("""COMPUTED_VALUE"""),"THA")</f>
        <v>THA</v>
      </c>
      <c r="I2028" s="124">
        <f ca="1">IFERROR(__xludf.DUMMYFUNCTION("""COMPUTED_VALUE"""),5)</f>
        <v>5</v>
      </c>
      <c r="J2028" s="124">
        <f ca="1">IFERROR(__xludf.DUMMYFUNCTION("""COMPUTED_VALUE"""),0)</f>
        <v>0</v>
      </c>
      <c r="K2028" s="125"/>
      <c r="L2028" s="121"/>
      <c r="M2028" s="125"/>
      <c r="N2028" s="121"/>
      <c r="O2028" s="125"/>
      <c r="P2028" s="126"/>
      <c r="Q2028" s="127"/>
      <c r="R2028" s="127"/>
      <c r="S2028" s="127"/>
      <c r="T2028" s="127"/>
    </row>
    <row r="2029" spans="1:20" ht="13.8">
      <c r="A2029" s="118" t="str">
        <f ca="1">IFERROR(__xludf.DUMMYFUNCTION("""COMPUTED_VALUE"""),"THA")</f>
        <v>THA</v>
      </c>
      <c r="B2029" s="119" t="str">
        <f ca="1">IFERROR(__xludf.DUMMYFUNCTION("""COMPUTED_VALUE"""),"Shayan Dalilaltojari")</f>
        <v>Shayan Dalilaltojari</v>
      </c>
      <c r="C2029" s="118">
        <f ca="1">IFERROR(__xludf.DUMMYFUNCTION("""COMPUTED_VALUE"""),6)</f>
        <v>6</v>
      </c>
      <c r="D2029" s="118" t="str">
        <f ca="1">IFERROR(__xludf.DUMMYFUNCTION("""COMPUTED_VALUE"""),"B")</f>
        <v>B</v>
      </c>
      <c r="E2029" s="118" t="str">
        <f ca="1">IFERROR(__xludf.DUMMYFUNCTION("""COMPUTED_VALUE"""),"F")</f>
        <v>F</v>
      </c>
      <c r="F2029" s="124" t="str">
        <f ca="1">IFERROR(__xludf.DUMMYFUNCTION("""COMPUTED_VALUE"""),"J")</f>
        <v>J</v>
      </c>
      <c r="G2029" s="124">
        <f ca="1">IFERROR(__xludf.DUMMYFUNCTION("""COMPUTED_VALUE"""),4)</f>
        <v>4</v>
      </c>
      <c r="H2029" s="124" t="str">
        <f ca="1">IFERROR(__xludf.DUMMYFUNCTION("""COMPUTED_VALUE"""),"THA")</f>
        <v>THA</v>
      </c>
      <c r="I2029" s="124">
        <f ca="1">IFERROR(__xludf.DUMMYFUNCTION("""COMPUTED_VALUE"""),5)</f>
        <v>5</v>
      </c>
      <c r="J2029" s="124">
        <f ca="1">IFERROR(__xludf.DUMMYFUNCTION("""COMPUTED_VALUE"""),0)</f>
        <v>0</v>
      </c>
      <c r="K2029" s="125"/>
      <c r="L2029" s="121"/>
      <c r="M2029" s="125"/>
      <c r="N2029" s="121"/>
      <c r="O2029" s="125"/>
      <c r="P2029" s="126"/>
      <c r="Q2029" s="127"/>
      <c r="R2029" s="127"/>
      <c r="S2029" s="127"/>
      <c r="T2029" s="127"/>
    </row>
    <row r="2030" spans="1:20" ht="13.8">
      <c r="A2030" s="118" t="str">
        <f ca="1">IFERROR(__xludf.DUMMYFUNCTION("""COMPUTED_VALUE"""),"THA")</f>
        <v>THA</v>
      </c>
      <c r="B2030" s="119" t="str">
        <f ca="1">IFERROR(__xludf.DUMMYFUNCTION("""COMPUTED_VALUE"""),"Cameron Pitera")</f>
        <v>Cameron Pitera</v>
      </c>
      <c r="C2030" s="118">
        <f ca="1">IFERROR(__xludf.DUMMYFUNCTION("""COMPUTED_VALUE"""),11)</f>
        <v>11</v>
      </c>
      <c r="D2030" s="118" t="str">
        <f ca="1">IFERROR(__xludf.DUMMYFUNCTION("""COMPUTED_VALUE"""),"B")</f>
        <v>B</v>
      </c>
      <c r="E2030" s="118" t="str">
        <f ca="1">IFERROR(__xludf.DUMMYFUNCTION("""COMPUTED_VALUE"""),"J")</f>
        <v>J</v>
      </c>
      <c r="F2030" s="124" t="str">
        <f ca="1">IFERROR(__xludf.DUMMYFUNCTION("""COMPUTED_VALUE"""),"I")</f>
        <v>I</v>
      </c>
      <c r="G2030" s="124">
        <f ca="1">IFERROR(__xludf.DUMMYFUNCTION("""COMPUTED_VALUE"""),4)</f>
        <v>4</v>
      </c>
      <c r="H2030" s="124" t="str">
        <f ca="1">IFERROR(__xludf.DUMMYFUNCTION("""COMPUTED_VALUE"""),"THA")</f>
        <v>THA</v>
      </c>
      <c r="I2030" s="124">
        <f ca="1">IFERROR(__xludf.DUMMYFUNCTION("""COMPUTED_VALUE"""),7)</f>
        <v>7</v>
      </c>
      <c r="J2030" s="124">
        <f ca="1">IFERROR(__xludf.DUMMYFUNCTION("""COMPUTED_VALUE"""),0)</f>
        <v>0</v>
      </c>
      <c r="K2030" s="125"/>
      <c r="L2030" s="121"/>
      <c r="M2030" s="125"/>
      <c r="N2030" s="121"/>
      <c r="O2030" s="125"/>
      <c r="P2030" s="126"/>
      <c r="Q2030" s="127"/>
      <c r="R2030" s="127"/>
      <c r="S2030" s="127"/>
      <c r="T2030" s="127"/>
    </row>
    <row r="2031" spans="1:20" ht="13.8">
      <c r="A2031" s="118" t="str">
        <f ca="1">IFERROR(__xludf.DUMMYFUNCTION("""COMPUTED_VALUE"""),"THA")</f>
        <v>THA</v>
      </c>
      <c r="B2031" s="119" t="str">
        <f ca="1">IFERROR(__xludf.DUMMYFUNCTION("""COMPUTED_VALUE"""),"Ewan Girard")</f>
        <v>Ewan Girard</v>
      </c>
      <c r="C2031" s="118">
        <f ca="1">IFERROR(__xludf.DUMMYFUNCTION("""COMPUTED_VALUE"""),11)</f>
        <v>11</v>
      </c>
      <c r="D2031" s="118" t="str">
        <f ca="1">IFERROR(__xludf.DUMMYFUNCTION("""COMPUTED_VALUE"""),"B")</f>
        <v>B</v>
      </c>
      <c r="E2031" s="118" t="str">
        <f ca="1">IFERROR(__xludf.DUMMYFUNCTION("""COMPUTED_VALUE"""),"J")</f>
        <v>J</v>
      </c>
      <c r="F2031" s="124" t="str">
        <f ca="1">IFERROR(__xludf.DUMMYFUNCTION("""COMPUTED_VALUE"""),"I")</f>
        <v>I</v>
      </c>
      <c r="G2031" s="124">
        <f ca="1">IFERROR(__xludf.DUMMYFUNCTION("""COMPUTED_VALUE"""),4)</f>
        <v>4</v>
      </c>
      <c r="H2031" s="124" t="str">
        <f ca="1">IFERROR(__xludf.DUMMYFUNCTION("""COMPUTED_VALUE"""),"THA")</f>
        <v>THA</v>
      </c>
      <c r="I2031" s="124">
        <f ca="1">IFERROR(__xludf.DUMMYFUNCTION("""COMPUTED_VALUE"""),7)</f>
        <v>7</v>
      </c>
      <c r="J2031" s="124">
        <f ca="1">IFERROR(__xludf.DUMMYFUNCTION("""COMPUTED_VALUE"""),5)</f>
        <v>5</v>
      </c>
      <c r="K2031" s="125">
        <f ca="1">IFERROR(__xludf.DUMMYFUNCTION("""COMPUTED_VALUE"""),89.1)</f>
        <v>89.1</v>
      </c>
      <c r="L2031" s="121"/>
      <c r="M2031" s="125">
        <f ca="1">IFERROR(__xludf.DUMMYFUNCTION("""COMPUTED_VALUE"""),89.1)</f>
        <v>89.1</v>
      </c>
      <c r="N2031" s="121"/>
      <c r="O2031" s="125">
        <f ca="1">IFERROR(__xludf.DUMMYFUNCTION("""COMPUTED_VALUE"""),46)</f>
        <v>46</v>
      </c>
      <c r="P2031" s="126"/>
      <c r="Q2031" s="127"/>
      <c r="R2031" s="127"/>
      <c r="S2031" s="127"/>
      <c r="T2031" s="127"/>
    </row>
    <row r="2032" spans="1:20" ht="13.8">
      <c r="A2032" s="118" t="str">
        <f ca="1">IFERROR(__xludf.DUMMYFUNCTION("""COMPUTED_VALUE"""),"THA")</f>
        <v>THA</v>
      </c>
      <c r="B2032" s="119" t="str">
        <f ca="1">IFERROR(__xludf.DUMMYFUNCTION("""COMPUTED_VALUE"""),"Ian Long")</f>
        <v>Ian Long</v>
      </c>
      <c r="C2032" s="118">
        <f ca="1">IFERROR(__xludf.DUMMYFUNCTION("""COMPUTED_VALUE"""),11)</f>
        <v>11</v>
      </c>
      <c r="D2032" s="118" t="str">
        <f ca="1">IFERROR(__xludf.DUMMYFUNCTION("""COMPUTED_VALUE"""),"B")</f>
        <v>B</v>
      </c>
      <c r="E2032" s="118" t="str">
        <f ca="1">IFERROR(__xludf.DUMMYFUNCTION("""COMPUTED_VALUE"""),"J")</f>
        <v>J</v>
      </c>
      <c r="F2032" s="124" t="str">
        <f ca="1">IFERROR(__xludf.DUMMYFUNCTION("""COMPUTED_VALUE"""),"I")</f>
        <v>I</v>
      </c>
      <c r="G2032" s="124">
        <f ca="1">IFERROR(__xludf.DUMMYFUNCTION("""COMPUTED_VALUE"""),4)</f>
        <v>4</v>
      </c>
      <c r="H2032" s="124" t="str">
        <f ca="1">IFERROR(__xludf.DUMMYFUNCTION("""COMPUTED_VALUE"""),"THA")</f>
        <v>THA</v>
      </c>
      <c r="I2032" s="124">
        <f ca="1">IFERROR(__xludf.DUMMYFUNCTION("""COMPUTED_VALUE"""),7)</f>
        <v>7</v>
      </c>
      <c r="J2032" s="124">
        <f ca="1">IFERROR(__xludf.DUMMYFUNCTION("""COMPUTED_VALUE"""),0)</f>
        <v>0</v>
      </c>
      <c r="K2032" s="125"/>
      <c r="L2032" s="121"/>
      <c r="M2032" s="125"/>
      <c r="N2032" s="121"/>
      <c r="O2032" s="125"/>
      <c r="P2032" s="126"/>
      <c r="Q2032" s="127"/>
      <c r="R2032" s="127"/>
      <c r="S2032" s="127"/>
      <c r="T2032" s="127"/>
    </row>
    <row r="2033" spans="1:20" ht="13.8">
      <c r="A2033" s="118" t="str">
        <f ca="1">IFERROR(__xludf.DUMMYFUNCTION("""COMPUTED_VALUE"""),"THA")</f>
        <v>THA</v>
      </c>
      <c r="B2033" s="119" t="str">
        <f ca="1">IFERROR(__xludf.DUMMYFUNCTION("""COMPUTED_VALUE"""),"Luke Kieffer")</f>
        <v>Luke Kieffer</v>
      </c>
      <c r="C2033" s="118">
        <f ca="1">IFERROR(__xludf.DUMMYFUNCTION("""COMPUTED_VALUE"""),11)</f>
        <v>11</v>
      </c>
      <c r="D2033" s="118" t="str">
        <f ca="1">IFERROR(__xludf.DUMMYFUNCTION("""COMPUTED_VALUE"""),"B")</f>
        <v>B</v>
      </c>
      <c r="E2033" s="118" t="str">
        <f ca="1">IFERROR(__xludf.DUMMYFUNCTION("""COMPUTED_VALUE"""),"J")</f>
        <v>J</v>
      </c>
      <c r="F2033" s="124" t="str">
        <f ca="1">IFERROR(__xludf.DUMMYFUNCTION("""COMPUTED_VALUE"""),"I")</f>
        <v>I</v>
      </c>
      <c r="G2033" s="124">
        <f ca="1">IFERROR(__xludf.DUMMYFUNCTION("""COMPUTED_VALUE"""),4)</f>
        <v>4</v>
      </c>
      <c r="H2033" s="124" t="str">
        <f ca="1">IFERROR(__xludf.DUMMYFUNCTION("""COMPUTED_VALUE"""),"THA")</f>
        <v>THA</v>
      </c>
      <c r="I2033" s="124">
        <f ca="1">IFERROR(__xludf.DUMMYFUNCTION("""COMPUTED_VALUE"""),7)</f>
        <v>7</v>
      </c>
      <c r="J2033" s="124">
        <f ca="1">IFERROR(__xludf.DUMMYFUNCTION("""COMPUTED_VALUE"""),5)</f>
        <v>5</v>
      </c>
      <c r="K2033" s="125">
        <f ca="1">IFERROR(__xludf.DUMMYFUNCTION("""COMPUTED_VALUE"""),96.2)</f>
        <v>96.2</v>
      </c>
      <c r="L2033" s="121"/>
      <c r="M2033" s="125">
        <f ca="1">IFERROR(__xludf.DUMMYFUNCTION("""COMPUTED_VALUE"""),92.6)</f>
        <v>92.6</v>
      </c>
      <c r="N2033" s="121"/>
      <c r="O2033" s="125">
        <f ca="1">IFERROR(__xludf.DUMMYFUNCTION("""COMPUTED_VALUE"""),73.1)</f>
        <v>73.099999999999994</v>
      </c>
      <c r="P2033" s="126"/>
      <c r="Q2033" s="127"/>
      <c r="R2033" s="127"/>
      <c r="S2033" s="127"/>
      <c r="T2033" s="127"/>
    </row>
    <row r="2034" spans="1:20" ht="13.8">
      <c r="A2034" s="118" t="str">
        <f ca="1">IFERROR(__xludf.DUMMYFUNCTION("""COMPUTED_VALUE"""),"THA")</f>
        <v>THA</v>
      </c>
      <c r="B2034" s="119" t="str">
        <f ca="1">IFERROR(__xludf.DUMMYFUNCTION("""COMPUTED_VALUE"""),"Ainslee Girard")</f>
        <v>Ainslee Girard</v>
      </c>
      <c r="C2034" s="118">
        <f ca="1">IFERROR(__xludf.DUMMYFUNCTION("""COMPUTED_VALUE"""),13)</f>
        <v>13</v>
      </c>
      <c r="D2034" s="118" t="str">
        <f ca="1">IFERROR(__xludf.DUMMYFUNCTION("""COMPUTED_VALUE"""),"G")</f>
        <v>G</v>
      </c>
      <c r="E2034" s="118" t="str">
        <f ca="1">IFERROR(__xludf.DUMMYFUNCTION("""COMPUTED_VALUE"""),"I")</f>
        <v>I</v>
      </c>
      <c r="F2034" s="124" t="str">
        <f ca="1">IFERROR(__xludf.DUMMYFUNCTION("""COMPUTED_VALUE"""),"S")</f>
        <v>S</v>
      </c>
      <c r="G2034" s="124">
        <f ca="1">IFERROR(__xludf.DUMMYFUNCTION("""COMPUTED_VALUE"""),4)</f>
        <v>4</v>
      </c>
      <c r="H2034" s="124" t="str">
        <f ca="1">IFERROR(__xludf.DUMMYFUNCTION("""COMPUTED_VALUE"""),"THA")</f>
        <v>THA</v>
      </c>
      <c r="I2034" s="124">
        <f ca="1">IFERROR(__xludf.DUMMYFUNCTION("""COMPUTED_VALUE"""),8)</f>
        <v>8</v>
      </c>
      <c r="J2034" s="124">
        <f ca="1">IFERROR(__xludf.DUMMYFUNCTION("""COMPUTED_VALUE"""),5)</f>
        <v>5</v>
      </c>
      <c r="K2034" s="125">
        <f ca="1">IFERROR(__xludf.DUMMYFUNCTION("""COMPUTED_VALUE"""),98.85)</f>
        <v>98.85</v>
      </c>
      <c r="L2034" s="121"/>
      <c r="M2034" s="125">
        <f ca="1">IFERROR(__xludf.DUMMYFUNCTION("""COMPUTED_VALUE"""),93.35)</f>
        <v>93.35</v>
      </c>
      <c r="N2034" s="121"/>
      <c r="O2034" s="125">
        <f ca="1">IFERROR(__xludf.DUMMYFUNCTION("""COMPUTED_VALUE"""),85.6)</f>
        <v>85.6</v>
      </c>
      <c r="P2034" s="126"/>
      <c r="Q2034" s="127"/>
      <c r="R2034" s="127"/>
      <c r="S2034" s="127"/>
      <c r="T2034" s="127"/>
    </row>
    <row r="2035" spans="1:20" ht="13.8">
      <c r="A2035" s="118" t="str">
        <f ca="1">IFERROR(__xludf.DUMMYFUNCTION("""COMPUTED_VALUE"""),"THA")</f>
        <v>THA</v>
      </c>
      <c r="B2035" s="119" t="str">
        <f ca="1">IFERROR(__xludf.DUMMYFUNCTION("""COMPUTED_VALUE"""),"Jasper Eng")</f>
        <v>Jasper Eng</v>
      </c>
      <c r="C2035" s="118">
        <f ca="1">IFERROR(__xludf.DUMMYFUNCTION("""COMPUTED_VALUE"""),13)</f>
        <v>13</v>
      </c>
      <c r="D2035" s="118" t="str">
        <f ca="1">IFERROR(__xludf.DUMMYFUNCTION("""COMPUTED_VALUE"""),"B")</f>
        <v>B</v>
      </c>
      <c r="E2035" s="118" t="str">
        <f ca="1">IFERROR(__xludf.DUMMYFUNCTION("""COMPUTED_VALUE"""),"I")</f>
        <v>I</v>
      </c>
      <c r="F2035" s="124" t="str">
        <f ca="1">IFERROR(__xludf.DUMMYFUNCTION("""COMPUTED_VALUE"""),"S")</f>
        <v>S</v>
      </c>
      <c r="G2035" s="124">
        <f ca="1">IFERROR(__xludf.DUMMYFUNCTION("""COMPUTED_VALUE"""),4)</f>
        <v>4</v>
      </c>
      <c r="H2035" s="124" t="str">
        <f ca="1">IFERROR(__xludf.DUMMYFUNCTION("""COMPUTED_VALUE"""),"THA")</f>
        <v>THA</v>
      </c>
      <c r="I2035" s="124">
        <f ca="1">IFERROR(__xludf.DUMMYFUNCTION("""COMPUTED_VALUE"""),9)</f>
        <v>9</v>
      </c>
      <c r="J2035" s="124">
        <f ca="1">IFERROR(__xludf.DUMMYFUNCTION("""COMPUTED_VALUE"""),5)</f>
        <v>5</v>
      </c>
      <c r="K2035" s="125">
        <f ca="1">IFERROR(__xludf.DUMMYFUNCTION("""COMPUTED_VALUE"""),135.15)</f>
        <v>135.15</v>
      </c>
      <c r="L2035" s="121"/>
      <c r="M2035" s="125">
        <f ca="1">IFERROR(__xludf.DUMMYFUNCTION("""COMPUTED_VALUE"""),128)</f>
        <v>128</v>
      </c>
      <c r="N2035" s="121"/>
      <c r="O2035" s="125">
        <f ca="1">IFERROR(__xludf.DUMMYFUNCTION("""COMPUTED_VALUE"""),123.75)</f>
        <v>123.75</v>
      </c>
      <c r="P2035" s="126"/>
      <c r="Q2035" s="127"/>
      <c r="R2035" s="127"/>
      <c r="S2035" s="127"/>
      <c r="T2035" s="127"/>
    </row>
    <row r="2036" spans="1:20" ht="13.8">
      <c r="A2036" s="118" t="str">
        <f ca="1">IFERROR(__xludf.DUMMYFUNCTION("""COMPUTED_VALUE"""),"THA")</f>
        <v>THA</v>
      </c>
      <c r="B2036" s="119" t="str">
        <f ca="1">IFERROR(__xludf.DUMMYFUNCTION("""COMPUTED_VALUE"""),"Madison Worthington")</f>
        <v>Madison Worthington</v>
      </c>
      <c r="C2036" s="118">
        <f ca="1">IFERROR(__xludf.DUMMYFUNCTION("""COMPUTED_VALUE"""),14)</f>
        <v>14</v>
      </c>
      <c r="D2036" s="118" t="str">
        <f ca="1">IFERROR(__xludf.DUMMYFUNCTION("""COMPUTED_VALUE"""),"B")</f>
        <v>B</v>
      </c>
      <c r="E2036" s="118" t="str">
        <f ca="1">IFERROR(__xludf.DUMMYFUNCTION("""COMPUTED_VALUE"""),"I")</f>
        <v>I</v>
      </c>
      <c r="F2036" s="124" t="str">
        <f ca="1">IFERROR(__xludf.DUMMYFUNCTION("""COMPUTED_VALUE"""),"S")</f>
        <v>S</v>
      </c>
      <c r="G2036" s="124">
        <f ca="1">IFERROR(__xludf.DUMMYFUNCTION("""COMPUTED_VALUE"""),4)</f>
        <v>4</v>
      </c>
      <c r="H2036" s="124" t="str">
        <f ca="1">IFERROR(__xludf.DUMMYFUNCTION("""COMPUTED_VALUE"""),"THA")</f>
        <v>THA</v>
      </c>
      <c r="I2036" s="124">
        <f ca="1">IFERROR(__xludf.DUMMYFUNCTION("""COMPUTED_VALUE"""),9)</f>
        <v>9</v>
      </c>
      <c r="J2036" s="124">
        <f ca="1">IFERROR(__xludf.DUMMYFUNCTION("""COMPUTED_VALUE"""),0)</f>
        <v>0</v>
      </c>
      <c r="K2036" s="125"/>
      <c r="L2036" s="121"/>
      <c r="M2036" s="125"/>
      <c r="N2036" s="121"/>
      <c r="O2036" s="125"/>
      <c r="P2036" s="126"/>
      <c r="Q2036" s="127"/>
      <c r="R2036" s="127"/>
      <c r="S2036" s="127"/>
      <c r="T2036" s="127"/>
    </row>
    <row r="2037" spans="1:20" ht="13.8">
      <c r="A2037" s="118" t="str">
        <f ca="1">IFERROR(__xludf.DUMMYFUNCTION("""COMPUTED_VALUE"""),"THA")</f>
        <v>THA</v>
      </c>
      <c r="B2037" s="119" t="str">
        <f ca="1">IFERROR(__xludf.DUMMYFUNCTION("""COMPUTED_VALUE"""),"Peter Lucado")</f>
        <v>Peter Lucado</v>
      </c>
      <c r="C2037" s="118">
        <f ca="1">IFERROR(__xludf.DUMMYFUNCTION("""COMPUTED_VALUE"""),13)</f>
        <v>13</v>
      </c>
      <c r="D2037" s="118" t="str">
        <f ca="1">IFERROR(__xludf.DUMMYFUNCTION("""COMPUTED_VALUE"""),"B")</f>
        <v>B</v>
      </c>
      <c r="E2037" s="118" t="str">
        <f ca="1">IFERROR(__xludf.DUMMYFUNCTION("""COMPUTED_VALUE"""),"I")</f>
        <v>I</v>
      </c>
      <c r="F2037" s="124" t="str">
        <f ca="1">IFERROR(__xludf.DUMMYFUNCTION("""COMPUTED_VALUE"""),"S")</f>
        <v>S</v>
      </c>
      <c r="G2037" s="124">
        <f ca="1">IFERROR(__xludf.DUMMYFUNCTION("""COMPUTED_VALUE"""),4)</f>
        <v>4</v>
      </c>
      <c r="H2037" s="124" t="str">
        <f ca="1">IFERROR(__xludf.DUMMYFUNCTION("""COMPUTED_VALUE"""),"THA")</f>
        <v>THA</v>
      </c>
      <c r="I2037" s="124">
        <f ca="1">IFERROR(__xludf.DUMMYFUNCTION("""COMPUTED_VALUE"""),9)</f>
        <v>9</v>
      </c>
      <c r="J2037" s="124">
        <f ca="1">IFERROR(__xludf.DUMMYFUNCTION("""COMPUTED_VALUE"""),5)</f>
        <v>5</v>
      </c>
      <c r="K2037" s="125">
        <f ca="1">IFERROR(__xludf.DUMMYFUNCTION("""COMPUTED_VALUE"""),123.95)</f>
        <v>123.95</v>
      </c>
      <c r="L2037" s="121"/>
      <c r="M2037" s="125">
        <f ca="1">IFERROR(__xludf.DUMMYFUNCTION("""COMPUTED_VALUE"""),123.85)</f>
        <v>123.85</v>
      </c>
      <c r="N2037" s="121"/>
      <c r="O2037" s="125">
        <f ca="1">IFERROR(__xludf.DUMMYFUNCTION("""COMPUTED_VALUE"""),122.9)</f>
        <v>122.9</v>
      </c>
      <c r="P2037" s="126"/>
      <c r="Q2037" s="127"/>
      <c r="R2037" s="127"/>
      <c r="S2037" s="127"/>
      <c r="T2037" s="127"/>
    </row>
    <row r="2038" spans="1:20" ht="13.8">
      <c r="A2038" s="118" t="str">
        <f ca="1">IFERROR(__xludf.DUMMYFUNCTION("""COMPUTED_VALUE"""),"THA")</f>
        <v>THA</v>
      </c>
      <c r="B2038" s="119" t="str">
        <f ca="1">IFERROR(__xludf.DUMMYFUNCTION("""COMPUTED_VALUE"""),"Celeste Lucado")</f>
        <v>Celeste Lucado</v>
      </c>
      <c r="C2038" s="118">
        <f ca="1">IFERROR(__xludf.DUMMYFUNCTION("""COMPUTED_VALUE"""),15)</f>
        <v>15</v>
      </c>
      <c r="D2038" s="118" t="str">
        <f ca="1">IFERROR(__xludf.DUMMYFUNCTION("""COMPUTED_VALUE"""),"G")</f>
        <v>G</v>
      </c>
      <c r="E2038" s="118" t="str">
        <f ca="1">IFERROR(__xludf.DUMMYFUNCTION("""COMPUTED_VALUE"""),"S")</f>
        <v>S</v>
      </c>
      <c r="F2038" s="124" t="str">
        <f ca="1">IFERROR(__xludf.DUMMYFUNCTION("""COMPUTED_VALUE"""),"S")</f>
        <v>S</v>
      </c>
      <c r="G2038" s="124">
        <f ca="1">IFERROR(__xludf.DUMMYFUNCTION("""COMPUTED_VALUE"""),4)</f>
        <v>4</v>
      </c>
      <c r="H2038" s="124" t="str">
        <f ca="1">IFERROR(__xludf.DUMMYFUNCTION("""COMPUTED_VALUE"""),"THA")</f>
        <v>THA</v>
      </c>
      <c r="I2038" s="124">
        <f ca="1">IFERROR(__xludf.DUMMYFUNCTION("""COMPUTED_VALUE"""),10)</f>
        <v>10</v>
      </c>
      <c r="J2038" s="124">
        <f ca="1">IFERROR(__xludf.DUMMYFUNCTION("""COMPUTED_VALUE"""),4)</f>
        <v>4</v>
      </c>
      <c r="K2038" s="125">
        <f ca="1">IFERROR(__xludf.DUMMYFUNCTION("""COMPUTED_VALUE"""),123.5)</f>
        <v>123.5</v>
      </c>
      <c r="L2038" s="121"/>
      <c r="M2038" s="125">
        <f ca="1">IFERROR(__xludf.DUMMYFUNCTION("""COMPUTED_VALUE"""),123.5)</f>
        <v>123.5</v>
      </c>
      <c r="N2038" s="121"/>
      <c r="O2038" s="125">
        <f ca="1">IFERROR(__xludf.DUMMYFUNCTION("""COMPUTED_VALUE"""),92)</f>
        <v>92</v>
      </c>
      <c r="P2038" s="126"/>
      <c r="Q2038" s="127"/>
      <c r="R2038" s="127"/>
      <c r="S2038" s="127"/>
      <c r="T2038" s="127"/>
    </row>
    <row r="2039" spans="1:20" ht="13.8">
      <c r="A2039" s="118" t="str">
        <f ca="1">IFERROR(__xludf.DUMMYFUNCTION("""COMPUTED_VALUE"""),"THA")</f>
        <v>THA</v>
      </c>
      <c r="B2039" s="119" t="str">
        <f ca="1">IFERROR(__xludf.DUMMYFUNCTION("""COMPUTED_VALUE"""),"Batyr Turatbekov")</f>
        <v>Batyr Turatbekov</v>
      </c>
      <c r="C2039" s="118">
        <f ca="1">IFERROR(__xludf.DUMMYFUNCTION("""COMPUTED_VALUE"""),18)</f>
        <v>18</v>
      </c>
      <c r="D2039" s="118" t="str">
        <f ca="1">IFERROR(__xludf.DUMMYFUNCTION("""COMPUTED_VALUE"""),"B")</f>
        <v>B</v>
      </c>
      <c r="E2039" s="118" t="str">
        <f ca="1">IFERROR(__xludf.DUMMYFUNCTION("""COMPUTED_VALUE"""),"S")</f>
        <v>S</v>
      </c>
      <c r="F2039" s="124" t="str">
        <f ca="1">IFERROR(__xludf.DUMMYFUNCTION("""COMPUTED_VALUE"""),"S")</f>
        <v>S</v>
      </c>
      <c r="G2039" s="124">
        <f ca="1">IFERROR(__xludf.DUMMYFUNCTION("""COMPUTED_VALUE"""),4)</f>
        <v>4</v>
      </c>
      <c r="H2039" s="124" t="str">
        <f ca="1">IFERROR(__xludf.DUMMYFUNCTION("""COMPUTED_VALUE"""),"THA")</f>
        <v>THA</v>
      </c>
      <c r="I2039" s="124">
        <f ca="1">IFERROR(__xludf.DUMMYFUNCTION("""COMPUTED_VALUE"""),11)</f>
        <v>11</v>
      </c>
      <c r="J2039" s="124">
        <f ca="1">IFERROR(__xludf.DUMMYFUNCTION("""COMPUTED_VALUE"""),4)</f>
        <v>4</v>
      </c>
      <c r="K2039" s="125">
        <f ca="1">IFERROR(__xludf.DUMMYFUNCTION("""COMPUTED_VALUE"""),175.05)</f>
        <v>175.05</v>
      </c>
      <c r="L2039" s="121"/>
      <c r="M2039" s="125">
        <f ca="1">IFERROR(__xludf.DUMMYFUNCTION("""COMPUTED_VALUE"""),168.35)</f>
        <v>168.35</v>
      </c>
      <c r="N2039" s="121"/>
      <c r="O2039" s="125"/>
      <c r="P2039" s="126"/>
      <c r="Q2039" s="127"/>
      <c r="R2039" s="127"/>
      <c r="S2039" s="127"/>
      <c r="T2039" s="127"/>
    </row>
    <row r="2040" spans="1:20" ht="13.8">
      <c r="A2040" s="118" t="str">
        <f ca="1">IFERROR(__xludf.DUMMYFUNCTION("""COMPUTED_VALUE"""),"VW")</f>
        <v>VW</v>
      </c>
      <c r="B2040" s="119" t="str">
        <f ca="1">IFERROR(__xludf.DUMMYFUNCTION("""COMPUTED_VALUE"""),"Aliza Cohen")</f>
        <v>Aliza Cohen</v>
      </c>
      <c r="C2040" s="118">
        <f ca="1">IFERROR(__xludf.DUMMYFUNCTION("""COMPUTED_VALUE"""),9)</f>
        <v>9</v>
      </c>
      <c r="D2040" s="118" t="str">
        <f ca="1">IFERROR(__xludf.DUMMYFUNCTION("""COMPUTED_VALUE"""),"G")</f>
        <v>G</v>
      </c>
      <c r="E2040" s="118" t="str">
        <f ca="1">IFERROR(__xludf.DUMMYFUNCTION("""COMPUTED_VALUE"""),"F")</f>
        <v>F</v>
      </c>
      <c r="F2040" s="124" t="str">
        <f ca="1">IFERROR(__xludf.DUMMYFUNCTION("""COMPUTED_VALUE"""),"J")</f>
        <v>J</v>
      </c>
      <c r="G2040" s="124">
        <f ca="1">IFERROR(__xludf.DUMMYFUNCTION("""COMPUTED_VALUE"""),1)</f>
        <v>1</v>
      </c>
      <c r="H2040" s="124" t="str">
        <f ca="1">IFERROR(__xludf.DUMMYFUNCTION("""COMPUTED_VALUE"""),"VW")</f>
        <v>VW</v>
      </c>
      <c r="I2040" s="124">
        <f ca="1">IFERROR(__xludf.DUMMYFUNCTION("""COMPUTED_VALUE"""),4)</f>
        <v>4</v>
      </c>
      <c r="J2040" s="124">
        <f ca="1">IFERROR(__xludf.DUMMYFUNCTION("""COMPUTED_VALUE"""),0)</f>
        <v>0</v>
      </c>
      <c r="K2040" s="125"/>
      <c r="L2040" s="121"/>
      <c r="M2040" s="125"/>
      <c r="N2040" s="121"/>
      <c r="O2040" s="125"/>
      <c r="P2040" s="126"/>
      <c r="Q2040" s="127"/>
      <c r="R2040" s="127"/>
      <c r="S2040" s="127"/>
      <c r="T2040" s="127"/>
    </row>
    <row r="2041" spans="1:20" ht="13.8">
      <c r="A2041" s="118" t="str">
        <f ca="1">IFERROR(__xludf.DUMMYFUNCTION("""COMPUTED_VALUE"""),"VW")</f>
        <v>VW</v>
      </c>
      <c r="B2041" s="119" t="str">
        <f ca="1">IFERROR(__xludf.DUMMYFUNCTION("""COMPUTED_VALUE"""),"Camilla Kettig")</f>
        <v>Camilla Kettig</v>
      </c>
      <c r="C2041" s="118">
        <f ca="1">IFERROR(__xludf.DUMMYFUNCTION("""COMPUTED_VALUE"""),7)</f>
        <v>7</v>
      </c>
      <c r="D2041" s="118" t="str">
        <f ca="1">IFERROR(__xludf.DUMMYFUNCTION("""COMPUTED_VALUE"""),"G")</f>
        <v>G</v>
      </c>
      <c r="E2041" s="118" t="str">
        <f ca="1">IFERROR(__xludf.DUMMYFUNCTION("""COMPUTED_VALUE"""),"F")</f>
        <v>F</v>
      </c>
      <c r="F2041" s="124" t="str">
        <f ca="1">IFERROR(__xludf.DUMMYFUNCTION("""COMPUTED_VALUE"""),"J")</f>
        <v>J</v>
      </c>
      <c r="G2041" s="124">
        <f ca="1">IFERROR(__xludf.DUMMYFUNCTION("""COMPUTED_VALUE"""),1)</f>
        <v>1</v>
      </c>
      <c r="H2041" s="124" t="str">
        <f ca="1">IFERROR(__xludf.DUMMYFUNCTION("""COMPUTED_VALUE"""),"VW")</f>
        <v>VW</v>
      </c>
      <c r="I2041" s="124">
        <f ca="1">IFERROR(__xludf.DUMMYFUNCTION("""COMPUTED_VALUE"""),4)</f>
        <v>4</v>
      </c>
      <c r="J2041" s="124">
        <f ca="1">IFERROR(__xludf.DUMMYFUNCTION("""COMPUTED_VALUE"""),2)</f>
        <v>2</v>
      </c>
      <c r="K2041" s="125">
        <f ca="1">IFERROR(__xludf.DUMMYFUNCTION("""COMPUTED_VALUE"""),49.4)</f>
        <v>49.4</v>
      </c>
      <c r="L2041" s="121"/>
      <c r="M2041" s="125"/>
      <c r="N2041" s="121"/>
      <c r="O2041" s="125"/>
      <c r="P2041" s="126"/>
      <c r="Q2041" s="127"/>
      <c r="R2041" s="127"/>
      <c r="S2041" s="127"/>
      <c r="T2041" s="127"/>
    </row>
    <row r="2042" spans="1:20" ht="13.8">
      <c r="A2042" s="118" t="str">
        <f ca="1">IFERROR(__xludf.DUMMYFUNCTION("""COMPUTED_VALUE"""),"VW")</f>
        <v>VW</v>
      </c>
      <c r="B2042" s="119" t="str">
        <f ca="1">IFERROR(__xludf.DUMMYFUNCTION("""COMPUTED_VALUE"""),"Charlotte Pechulis")</f>
        <v>Charlotte Pechulis</v>
      </c>
      <c r="C2042" s="118">
        <f ca="1">IFERROR(__xludf.DUMMYFUNCTION("""COMPUTED_VALUE"""),8)</f>
        <v>8</v>
      </c>
      <c r="D2042" s="118" t="str">
        <f ca="1">IFERROR(__xludf.DUMMYFUNCTION("""COMPUTED_VALUE"""),"G")</f>
        <v>G</v>
      </c>
      <c r="E2042" s="118" t="str">
        <f ca="1">IFERROR(__xludf.DUMMYFUNCTION("""COMPUTED_VALUE"""),"F")</f>
        <v>F</v>
      </c>
      <c r="F2042" s="124" t="str">
        <f ca="1">IFERROR(__xludf.DUMMYFUNCTION("""COMPUTED_VALUE"""),"J")</f>
        <v>J</v>
      </c>
      <c r="G2042" s="124">
        <f ca="1">IFERROR(__xludf.DUMMYFUNCTION("""COMPUTED_VALUE"""),1)</f>
        <v>1</v>
      </c>
      <c r="H2042" s="124" t="str">
        <f ca="1">IFERROR(__xludf.DUMMYFUNCTION("""COMPUTED_VALUE"""),"VW")</f>
        <v>VW</v>
      </c>
      <c r="I2042" s="124">
        <f ca="1">IFERROR(__xludf.DUMMYFUNCTION("""COMPUTED_VALUE"""),4)</f>
        <v>4</v>
      </c>
      <c r="J2042" s="124">
        <f ca="1">IFERROR(__xludf.DUMMYFUNCTION("""COMPUTED_VALUE"""),1)</f>
        <v>1</v>
      </c>
      <c r="K2042" s="125"/>
      <c r="L2042" s="121"/>
      <c r="M2042" s="125"/>
      <c r="N2042" s="121"/>
      <c r="O2042" s="125"/>
      <c r="P2042" s="126"/>
      <c r="Q2042" s="127"/>
      <c r="R2042" s="127"/>
      <c r="S2042" s="127"/>
      <c r="T2042" s="127"/>
    </row>
    <row r="2043" spans="1:20" ht="13.8">
      <c r="A2043" s="118" t="str">
        <f ca="1">IFERROR(__xludf.DUMMYFUNCTION("""COMPUTED_VALUE"""),"VW")</f>
        <v>VW</v>
      </c>
      <c r="B2043" s="119" t="str">
        <f ca="1">IFERROR(__xludf.DUMMYFUNCTION("""COMPUTED_VALUE"""),"Hana LaCroix")</f>
        <v>Hana LaCroix</v>
      </c>
      <c r="C2043" s="118">
        <f ca="1">IFERROR(__xludf.DUMMYFUNCTION("""COMPUTED_VALUE"""),9)</f>
        <v>9</v>
      </c>
      <c r="D2043" s="118" t="str">
        <f ca="1">IFERROR(__xludf.DUMMYFUNCTION("""COMPUTED_VALUE"""),"G")</f>
        <v>G</v>
      </c>
      <c r="E2043" s="118" t="str">
        <f ca="1">IFERROR(__xludf.DUMMYFUNCTION("""COMPUTED_VALUE"""),"F")</f>
        <v>F</v>
      </c>
      <c r="F2043" s="124" t="str">
        <f ca="1">IFERROR(__xludf.DUMMYFUNCTION("""COMPUTED_VALUE"""),"J")</f>
        <v>J</v>
      </c>
      <c r="G2043" s="124">
        <f ca="1">IFERROR(__xludf.DUMMYFUNCTION("""COMPUTED_VALUE"""),1)</f>
        <v>1</v>
      </c>
      <c r="H2043" s="124" t="str">
        <f ca="1">IFERROR(__xludf.DUMMYFUNCTION("""COMPUTED_VALUE"""),"VW")</f>
        <v>VW</v>
      </c>
      <c r="I2043" s="124">
        <f ca="1">IFERROR(__xludf.DUMMYFUNCTION("""COMPUTED_VALUE"""),4)</f>
        <v>4</v>
      </c>
      <c r="J2043" s="124">
        <f ca="1">IFERROR(__xludf.DUMMYFUNCTION("""COMPUTED_VALUE"""),0)</f>
        <v>0</v>
      </c>
      <c r="K2043" s="125"/>
      <c r="L2043" s="121"/>
      <c r="M2043" s="125"/>
      <c r="N2043" s="121"/>
      <c r="O2043" s="125"/>
      <c r="P2043" s="126"/>
      <c r="Q2043" s="127"/>
      <c r="R2043" s="127"/>
      <c r="S2043" s="127"/>
      <c r="T2043" s="127"/>
    </row>
    <row r="2044" spans="1:20" ht="13.8">
      <c r="A2044" s="118" t="str">
        <f ca="1">IFERROR(__xludf.DUMMYFUNCTION("""COMPUTED_VALUE"""),"VW")</f>
        <v>VW</v>
      </c>
      <c r="B2044" s="119" t="str">
        <f ca="1">IFERROR(__xludf.DUMMYFUNCTION("""COMPUTED_VALUE"""),"Isabelle Willett")</f>
        <v>Isabelle Willett</v>
      </c>
      <c r="C2044" s="118">
        <f ca="1">IFERROR(__xludf.DUMMYFUNCTION("""COMPUTED_VALUE"""),9)</f>
        <v>9</v>
      </c>
      <c r="D2044" s="118" t="str">
        <f ca="1">IFERROR(__xludf.DUMMYFUNCTION("""COMPUTED_VALUE"""),"G")</f>
        <v>G</v>
      </c>
      <c r="E2044" s="118" t="str">
        <f ca="1">IFERROR(__xludf.DUMMYFUNCTION("""COMPUTED_VALUE"""),"F")</f>
        <v>F</v>
      </c>
      <c r="F2044" s="124" t="str">
        <f ca="1">IFERROR(__xludf.DUMMYFUNCTION("""COMPUTED_VALUE"""),"J")</f>
        <v>J</v>
      </c>
      <c r="G2044" s="124">
        <f ca="1">IFERROR(__xludf.DUMMYFUNCTION("""COMPUTED_VALUE"""),1)</f>
        <v>1</v>
      </c>
      <c r="H2044" s="124" t="str">
        <f ca="1">IFERROR(__xludf.DUMMYFUNCTION("""COMPUTED_VALUE"""),"VW")</f>
        <v>VW</v>
      </c>
      <c r="I2044" s="124">
        <f ca="1">IFERROR(__xludf.DUMMYFUNCTION("""COMPUTED_VALUE"""),4)</f>
        <v>4</v>
      </c>
      <c r="J2044" s="124">
        <f ca="1">IFERROR(__xludf.DUMMYFUNCTION("""COMPUTED_VALUE"""),0)</f>
        <v>0</v>
      </c>
      <c r="K2044" s="125"/>
      <c r="L2044" s="121"/>
      <c r="M2044" s="125"/>
      <c r="N2044" s="121"/>
      <c r="O2044" s="125"/>
      <c r="P2044" s="126"/>
      <c r="Q2044" s="127"/>
      <c r="R2044" s="127"/>
      <c r="S2044" s="127"/>
      <c r="T2044" s="127"/>
    </row>
    <row r="2045" spans="1:20" ht="13.8">
      <c r="A2045" s="118" t="str">
        <f ca="1">IFERROR(__xludf.DUMMYFUNCTION("""COMPUTED_VALUE"""),"VW")</f>
        <v>VW</v>
      </c>
      <c r="B2045" s="119" t="str">
        <f ca="1">IFERROR(__xludf.DUMMYFUNCTION("""COMPUTED_VALUE"""),"Joseph Deaton")</f>
        <v>Joseph Deaton</v>
      </c>
      <c r="C2045" s="118">
        <f ca="1">IFERROR(__xludf.DUMMYFUNCTION("""COMPUTED_VALUE"""),10)</f>
        <v>10</v>
      </c>
      <c r="D2045" s="118" t="str">
        <f ca="1">IFERROR(__xludf.DUMMYFUNCTION("""COMPUTED_VALUE"""),"G")</f>
        <v>G</v>
      </c>
      <c r="E2045" s="118" t="str">
        <f ca="1">IFERROR(__xludf.DUMMYFUNCTION("""COMPUTED_VALUE"""),"F")</f>
        <v>F</v>
      </c>
      <c r="F2045" s="124" t="str">
        <f ca="1">IFERROR(__xludf.DUMMYFUNCTION("""COMPUTED_VALUE"""),"J")</f>
        <v>J</v>
      </c>
      <c r="G2045" s="124">
        <f ca="1">IFERROR(__xludf.DUMMYFUNCTION("""COMPUTED_VALUE"""),1)</f>
        <v>1</v>
      </c>
      <c r="H2045" s="124" t="str">
        <f ca="1">IFERROR(__xludf.DUMMYFUNCTION("""COMPUTED_VALUE"""),"VW")</f>
        <v>VW</v>
      </c>
      <c r="I2045" s="124">
        <f ca="1">IFERROR(__xludf.DUMMYFUNCTION("""COMPUTED_VALUE"""),4)</f>
        <v>4</v>
      </c>
      <c r="J2045" s="124">
        <f ca="1">IFERROR(__xludf.DUMMYFUNCTION("""COMPUTED_VALUE"""),0)</f>
        <v>0</v>
      </c>
      <c r="K2045" s="125"/>
      <c r="L2045" s="121"/>
      <c r="M2045" s="125"/>
      <c r="N2045" s="121"/>
      <c r="O2045" s="125"/>
      <c r="P2045" s="126"/>
      <c r="Q2045" s="127"/>
      <c r="R2045" s="127"/>
      <c r="S2045" s="127"/>
      <c r="T2045" s="127"/>
    </row>
    <row r="2046" spans="1:20" ht="13.8">
      <c r="A2046" s="118" t="str">
        <f ca="1">IFERROR(__xludf.DUMMYFUNCTION("""COMPUTED_VALUE"""),"VW")</f>
        <v>VW</v>
      </c>
      <c r="B2046" s="119" t="str">
        <f ca="1">IFERROR(__xludf.DUMMYFUNCTION("""COMPUTED_VALUE"""),"Kate Blinstrub")</f>
        <v>Kate Blinstrub</v>
      </c>
      <c r="C2046" s="118">
        <f ca="1">IFERROR(__xludf.DUMMYFUNCTION("""COMPUTED_VALUE"""),7)</f>
        <v>7</v>
      </c>
      <c r="D2046" s="118" t="str">
        <f ca="1">IFERROR(__xludf.DUMMYFUNCTION("""COMPUTED_VALUE"""),"G")</f>
        <v>G</v>
      </c>
      <c r="E2046" s="118" t="str">
        <f ca="1">IFERROR(__xludf.DUMMYFUNCTION("""COMPUTED_VALUE"""),"F")</f>
        <v>F</v>
      </c>
      <c r="F2046" s="124" t="str">
        <f ca="1">IFERROR(__xludf.DUMMYFUNCTION("""COMPUTED_VALUE"""),"J")</f>
        <v>J</v>
      </c>
      <c r="G2046" s="124">
        <f ca="1">IFERROR(__xludf.DUMMYFUNCTION("""COMPUTED_VALUE"""),1)</f>
        <v>1</v>
      </c>
      <c r="H2046" s="124" t="str">
        <f ca="1">IFERROR(__xludf.DUMMYFUNCTION("""COMPUTED_VALUE"""),"VW")</f>
        <v>VW</v>
      </c>
      <c r="I2046" s="124">
        <f ca="1">IFERROR(__xludf.DUMMYFUNCTION("""COMPUTED_VALUE"""),4)</f>
        <v>4</v>
      </c>
      <c r="J2046" s="124">
        <f ca="1">IFERROR(__xludf.DUMMYFUNCTION("""COMPUTED_VALUE"""),0)</f>
        <v>0</v>
      </c>
      <c r="K2046" s="125"/>
      <c r="L2046" s="121"/>
      <c r="M2046" s="125"/>
      <c r="N2046" s="121"/>
      <c r="O2046" s="125"/>
      <c r="P2046" s="126"/>
      <c r="Q2046" s="127"/>
      <c r="R2046" s="127"/>
      <c r="S2046" s="127"/>
      <c r="T2046" s="127"/>
    </row>
    <row r="2047" spans="1:20" ht="13.8">
      <c r="A2047" s="118" t="str">
        <f ca="1">IFERROR(__xludf.DUMMYFUNCTION("""COMPUTED_VALUE"""),"VW")</f>
        <v>VW</v>
      </c>
      <c r="B2047" s="119" t="str">
        <f ca="1">IFERROR(__xludf.DUMMYFUNCTION("""COMPUTED_VALUE"""),"Keira Chaney")</f>
        <v>Keira Chaney</v>
      </c>
      <c r="C2047" s="118">
        <f ca="1">IFERROR(__xludf.DUMMYFUNCTION("""COMPUTED_VALUE"""),9)</f>
        <v>9</v>
      </c>
      <c r="D2047" s="118" t="str">
        <f ca="1">IFERROR(__xludf.DUMMYFUNCTION("""COMPUTED_VALUE"""),"G")</f>
        <v>G</v>
      </c>
      <c r="E2047" s="118" t="str">
        <f ca="1">IFERROR(__xludf.DUMMYFUNCTION("""COMPUTED_VALUE"""),"F")</f>
        <v>F</v>
      </c>
      <c r="F2047" s="124" t="str">
        <f ca="1">IFERROR(__xludf.DUMMYFUNCTION("""COMPUTED_VALUE"""),"J")</f>
        <v>J</v>
      </c>
      <c r="G2047" s="124">
        <f ca="1">IFERROR(__xludf.DUMMYFUNCTION("""COMPUTED_VALUE"""),1)</f>
        <v>1</v>
      </c>
      <c r="H2047" s="124" t="str">
        <f ca="1">IFERROR(__xludf.DUMMYFUNCTION("""COMPUTED_VALUE"""),"VW")</f>
        <v>VW</v>
      </c>
      <c r="I2047" s="124">
        <f ca="1">IFERROR(__xludf.DUMMYFUNCTION("""COMPUTED_VALUE"""),4)</f>
        <v>4</v>
      </c>
      <c r="J2047" s="124">
        <f ca="1">IFERROR(__xludf.DUMMYFUNCTION("""COMPUTED_VALUE"""),0)</f>
        <v>0</v>
      </c>
      <c r="K2047" s="125"/>
      <c r="L2047" s="121"/>
      <c r="M2047" s="125"/>
      <c r="N2047" s="121"/>
      <c r="O2047" s="125"/>
      <c r="P2047" s="126"/>
      <c r="Q2047" s="127"/>
      <c r="R2047" s="127"/>
      <c r="S2047" s="127"/>
      <c r="T2047" s="127"/>
    </row>
    <row r="2048" spans="1:20" ht="13.8">
      <c r="A2048" s="118" t="str">
        <f ca="1">IFERROR(__xludf.DUMMYFUNCTION("""COMPUTED_VALUE"""),"VW")</f>
        <v>VW</v>
      </c>
      <c r="B2048" s="119" t="str">
        <f ca="1">IFERROR(__xludf.DUMMYFUNCTION("""COMPUTED_VALUE"""),"Kylie O'Brien")</f>
        <v>Kylie O'Brien</v>
      </c>
      <c r="C2048" s="118">
        <f ca="1">IFERROR(__xludf.DUMMYFUNCTION("""COMPUTED_VALUE"""),8)</f>
        <v>8</v>
      </c>
      <c r="D2048" s="118" t="str">
        <f ca="1">IFERROR(__xludf.DUMMYFUNCTION("""COMPUTED_VALUE"""),"G")</f>
        <v>G</v>
      </c>
      <c r="E2048" s="118" t="str">
        <f ca="1">IFERROR(__xludf.DUMMYFUNCTION("""COMPUTED_VALUE"""),"F")</f>
        <v>F</v>
      </c>
      <c r="F2048" s="124" t="str">
        <f ca="1">IFERROR(__xludf.DUMMYFUNCTION("""COMPUTED_VALUE"""),"J")</f>
        <v>J</v>
      </c>
      <c r="G2048" s="124">
        <f ca="1">IFERROR(__xludf.DUMMYFUNCTION("""COMPUTED_VALUE"""),1)</f>
        <v>1</v>
      </c>
      <c r="H2048" s="124" t="str">
        <f ca="1">IFERROR(__xludf.DUMMYFUNCTION("""COMPUTED_VALUE"""),"VW")</f>
        <v>VW</v>
      </c>
      <c r="I2048" s="124">
        <f ca="1">IFERROR(__xludf.DUMMYFUNCTION("""COMPUTED_VALUE"""),4)</f>
        <v>4</v>
      </c>
      <c r="J2048" s="124">
        <f ca="1">IFERROR(__xludf.DUMMYFUNCTION("""COMPUTED_VALUE"""),5)</f>
        <v>5</v>
      </c>
      <c r="K2048" s="125">
        <f ca="1">IFERROR(__xludf.DUMMYFUNCTION("""COMPUTED_VALUE"""),65.1)</f>
        <v>65.099999999999994</v>
      </c>
      <c r="L2048" s="121"/>
      <c r="M2048" s="125">
        <f ca="1">IFERROR(__xludf.DUMMYFUNCTION("""COMPUTED_VALUE"""),54.7)</f>
        <v>54.7</v>
      </c>
      <c r="N2048" s="121"/>
      <c r="O2048" s="125">
        <f ca="1">IFERROR(__xludf.DUMMYFUNCTION("""COMPUTED_VALUE"""),65)</f>
        <v>65</v>
      </c>
      <c r="P2048" s="126"/>
      <c r="Q2048" s="127"/>
      <c r="R2048" s="127"/>
      <c r="S2048" s="127"/>
      <c r="T2048" s="127"/>
    </row>
    <row r="2049" spans="1:20" ht="13.8">
      <c r="A2049" s="118" t="str">
        <f ca="1">IFERROR(__xludf.DUMMYFUNCTION("""COMPUTED_VALUE"""),"VW")</f>
        <v>VW</v>
      </c>
      <c r="B2049" s="119" t="str">
        <f ca="1">IFERROR(__xludf.DUMMYFUNCTION("""COMPUTED_VALUE"""),"Lillian Morschauser")</f>
        <v>Lillian Morschauser</v>
      </c>
      <c r="C2049" s="118">
        <f ca="1">IFERROR(__xludf.DUMMYFUNCTION("""COMPUTED_VALUE"""),10)</f>
        <v>10</v>
      </c>
      <c r="D2049" s="118" t="str">
        <f ca="1">IFERROR(__xludf.DUMMYFUNCTION("""COMPUTED_VALUE"""),"G")</f>
        <v>G</v>
      </c>
      <c r="E2049" s="118" t="str">
        <f ca="1">IFERROR(__xludf.DUMMYFUNCTION("""COMPUTED_VALUE"""),"F")</f>
        <v>F</v>
      </c>
      <c r="F2049" s="124" t="str">
        <f ca="1">IFERROR(__xludf.DUMMYFUNCTION("""COMPUTED_VALUE"""),"J")</f>
        <v>J</v>
      </c>
      <c r="G2049" s="124">
        <f ca="1">IFERROR(__xludf.DUMMYFUNCTION("""COMPUTED_VALUE"""),1)</f>
        <v>1</v>
      </c>
      <c r="H2049" s="124" t="str">
        <f ca="1">IFERROR(__xludf.DUMMYFUNCTION("""COMPUTED_VALUE"""),"VW")</f>
        <v>VW</v>
      </c>
      <c r="I2049" s="124">
        <f ca="1">IFERROR(__xludf.DUMMYFUNCTION("""COMPUTED_VALUE"""),4)</f>
        <v>4</v>
      </c>
      <c r="J2049" s="124">
        <f ca="1">IFERROR(__xludf.DUMMYFUNCTION("""COMPUTED_VALUE"""),5)</f>
        <v>5</v>
      </c>
      <c r="K2049" s="125">
        <f ca="1">IFERROR(__xludf.DUMMYFUNCTION("""COMPUTED_VALUE"""),55.15)</f>
        <v>55.15</v>
      </c>
      <c r="L2049" s="121"/>
      <c r="M2049" s="125">
        <f ca="1">IFERROR(__xludf.DUMMYFUNCTION("""COMPUTED_VALUE"""),50.5)</f>
        <v>50.5</v>
      </c>
      <c r="N2049" s="121"/>
      <c r="O2049" s="125">
        <f ca="1">IFERROR(__xludf.DUMMYFUNCTION("""COMPUTED_VALUE"""),43.75)</f>
        <v>43.75</v>
      </c>
      <c r="P2049" s="126"/>
      <c r="Q2049" s="127"/>
      <c r="R2049" s="127"/>
      <c r="S2049" s="127"/>
      <c r="T2049" s="127"/>
    </row>
    <row r="2050" spans="1:20" ht="13.8">
      <c r="A2050" s="118" t="str">
        <f ca="1">IFERROR(__xludf.DUMMYFUNCTION("""COMPUTED_VALUE"""),"VW")</f>
        <v>VW</v>
      </c>
      <c r="B2050" s="119" t="str">
        <f ca="1">IFERROR(__xludf.DUMMYFUNCTION("""COMPUTED_VALUE"""),"Lydia Fernandez")</f>
        <v>Lydia Fernandez</v>
      </c>
      <c r="C2050" s="118">
        <f ca="1">IFERROR(__xludf.DUMMYFUNCTION("""COMPUTED_VALUE"""),10)</f>
        <v>10</v>
      </c>
      <c r="D2050" s="118" t="str">
        <f ca="1">IFERROR(__xludf.DUMMYFUNCTION("""COMPUTED_VALUE"""),"G")</f>
        <v>G</v>
      </c>
      <c r="E2050" s="118" t="str">
        <f ca="1">IFERROR(__xludf.DUMMYFUNCTION("""COMPUTED_VALUE"""),"F")</f>
        <v>F</v>
      </c>
      <c r="F2050" s="124" t="str">
        <f ca="1">IFERROR(__xludf.DUMMYFUNCTION("""COMPUTED_VALUE"""),"J")</f>
        <v>J</v>
      </c>
      <c r="G2050" s="124">
        <f ca="1">IFERROR(__xludf.DUMMYFUNCTION("""COMPUTED_VALUE"""),1)</f>
        <v>1</v>
      </c>
      <c r="H2050" s="124" t="str">
        <f ca="1">IFERROR(__xludf.DUMMYFUNCTION("""COMPUTED_VALUE"""),"VW")</f>
        <v>VW</v>
      </c>
      <c r="I2050" s="124">
        <f ca="1">IFERROR(__xludf.DUMMYFUNCTION("""COMPUTED_VALUE"""),4)</f>
        <v>4</v>
      </c>
      <c r="J2050" s="124">
        <f ca="1">IFERROR(__xludf.DUMMYFUNCTION("""COMPUTED_VALUE"""),0)</f>
        <v>0</v>
      </c>
      <c r="K2050" s="125"/>
      <c r="L2050" s="121"/>
      <c r="M2050" s="125"/>
      <c r="N2050" s="121"/>
      <c r="O2050" s="125"/>
      <c r="P2050" s="126"/>
      <c r="Q2050" s="127"/>
      <c r="R2050" s="127"/>
      <c r="S2050" s="127"/>
      <c r="T2050" s="127"/>
    </row>
    <row r="2051" spans="1:20" ht="13.8">
      <c r="A2051" s="118" t="str">
        <f ca="1">IFERROR(__xludf.DUMMYFUNCTION("""COMPUTED_VALUE"""),"VW")</f>
        <v>VW</v>
      </c>
      <c r="B2051" s="119" t="str">
        <f ca="1">IFERROR(__xludf.DUMMYFUNCTION("""COMPUTED_VALUE"""),"Savannah Barry")</f>
        <v>Savannah Barry</v>
      </c>
      <c r="C2051" s="118">
        <f ca="1">IFERROR(__xludf.DUMMYFUNCTION("""COMPUTED_VALUE"""),10)</f>
        <v>10</v>
      </c>
      <c r="D2051" s="118" t="str">
        <f ca="1">IFERROR(__xludf.DUMMYFUNCTION("""COMPUTED_VALUE"""),"G")</f>
        <v>G</v>
      </c>
      <c r="E2051" s="118" t="str">
        <f ca="1">IFERROR(__xludf.DUMMYFUNCTION("""COMPUTED_VALUE"""),"F")</f>
        <v>F</v>
      </c>
      <c r="F2051" s="124" t="str">
        <f ca="1">IFERROR(__xludf.DUMMYFUNCTION("""COMPUTED_VALUE"""),"J")</f>
        <v>J</v>
      </c>
      <c r="G2051" s="124">
        <f ca="1">IFERROR(__xludf.DUMMYFUNCTION("""COMPUTED_VALUE"""),1)</f>
        <v>1</v>
      </c>
      <c r="H2051" s="124" t="str">
        <f ca="1">IFERROR(__xludf.DUMMYFUNCTION("""COMPUTED_VALUE"""),"VW")</f>
        <v>VW</v>
      </c>
      <c r="I2051" s="124">
        <f ca="1">IFERROR(__xludf.DUMMYFUNCTION("""COMPUTED_VALUE"""),4)</f>
        <v>4</v>
      </c>
      <c r="J2051" s="124">
        <f ca="1">IFERROR(__xludf.DUMMYFUNCTION("""COMPUTED_VALUE"""),4)</f>
        <v>4</v>
      </c>
      <c r="K2051" s="125">
        <f ca="1">IFERROR(__xludf.DUMMYFUNCTION("""COMPUTED_VALUE"""),82.35)</f>
        <v>82.35</v>
      </c>
      <c r="L2051" s="121"/>
      <c r="M2051" s="125">
        <f ca="1">IFERROR(__xludf.DUMMYFUNCTION("""COMPUTED_VALUE"""),75.8)</f>
        <v>75.8</v>
      </c>
      <c r="N2051" s="121"/>
      <c r="O2051" s="125">
        <f ca="1">IFERROR(__xludf.DUMMYFUNCTION("""COMPUTED_VALUE"""),82.35)</f>
        <v>82.35</v>
      </c>
      <c r="P2051" s="126"/>
      <c r="Q2051" s="127"/>
      <c r="R2051" s="127"/>
      <c r="S2051" s="127"/>
      <c r="T2051" s="127"/>
    </row>
    <row r="2052" spans="1:20" ht="13.8">
      <c r="A2052" s="118" t="str">
        <f ca="1">IFERROR(__xludf.DUMMYFUNCTION("""COMPUTED_VALUE"""),"VW")</f>
        <v>VW</v>
      </c>
      <c r="B2052" s="119" t="str">
        <f ca="1">IFERROR(__xludf.DUMMYFUNCTION("""COMPUTED_VALUE"""),"Vivian Beck")</f>
        <v>Vivian Beck</v>
      </c>
      <c r="C2052" s="118">
        <f ca="1">IFERROR(__xludf.DUMMYFUNCTION("""COMPUTED_VALUE"""),9)</f>
        <v>9</v>
      </c>
      <c r="D2052" s="118" t="str">
        <f ca="1">IFERROR(__xludf.DUMMYFUNCTION("""COMPUTED_VALUE"""),"G")</f>
        <v>G</v>
      </c>
      <c r="E2052" s="118" t="str">
        <f ca="1">IFERROR(__xludf.DUMMYFUNCTION("""COMPUTED_VALUE"""),"F")</f>
        <v>F</v>
      </c>
      <c r="F2052" s="124" t="str">
        <f ca="1">IFERROR(__xludf.DUMMYFUNCTION("""COMPUTED_VALUE"""),"J")</f>
        <v>J</v>
      </c>
      <c r="G2052" s="124">
        <f ca="1">IFERROR(__xludf.DUMMYFUNCTION("""COMPUTED_VALUE"""),1)</f>
        <v>1</v>
      </c>
      <c r="H2052" s="124" t="str">
        <f ca="1">IFERROR(__xludf.DUMMYFUNCTION("""COMPUTED_VALUE"""),"VW")</f>
        <v>VW</v>
      </c>
      <c r="I2052" s="124">
        <f ca="1">IFERROR(__xludf.DUMMYFUNCTION("""COMPUTED_VALUE"""),4)</f>
        <v>4</v>
      </c>
      <c r="J2052" s="124">
        <f ca="1">IFERROR(__xludf.DUMMYFUNCTION("""COMPUTED_VALUE"""),0)</f>
        <v>0</v>
      </c>
      <c r="K2052" s="125"/>
      <c r="L2052" s="121"/>
      <c r="M2052" s="125"/>
      <c r="N2052" s="121"/>
      <c r="O2052" s="125"/>
      <c r="P2052" s="126"/>
      <c r="Q2052" s="127"/>
      <c r="R2052" s="127"/>
      <c r="S2052" s="127"/>
      <c r="T2052" s="127"/>
    </row>
    <row r="2053" spans="1:20" ht="13.8">
      <c r="A2053" s="118" t="str">
        <f ca="1">IFERROR(__xludf.DUMMYFUNCTION("""COMPUTED_VALUE"""),"VW")</f>
        <v>VW</v>
      </c>
      <c r="B2053" s="119" t="str">
        <f ca="1">IFERROR(__xludf.DUMMYFUNCTION("""COMPUTED_VALUE"""),"Blaise Hawley")</f>
        <v>Blaise Hawley</v>
      </c>
      <c r="C2053" s="118">
        <f ca="1">IFERROR(__xludf.DUMMYFUNCTION("""COMPUTED_VALUE"""),9)</f>
        <v>9</v>
      </c>
      <c r="D2053" s="118" t="str">
        <f ca="1">IFERROR(__xludf.DUMMYFUNCTION("""COMPUTED_VALUE"""),"B")</f>
        <v>B</v>
      </c>
      <c r="E2053" s="118" t="str">
        <f ca="1">IFERROR(__xludf.DUMMYFUNCTION("""COMPUTED_VALUE"""),"F")</f>
        <v>F</v>
      </c>
      <c r="F2053" s="124" t="str">
        <f ca="1">IFERROR(__xludf.DUMMYFUNCTION("""COMPUTED_VALUE"""),"J")</f>
        <v>J</v>
      </c>
      <c r="G2053" s="124">
        <f ca="1">IFERROR(__xludf.DUMMYFUNCTION("""COMPUTED_VALUE"""),1)</f>
        <v>1</v>
      </c>
      <c r="H2053" s="124" t="str">
        <f ca="1">IFERROR(__xludf.DUMMYFUNCTION("""COMPUTED_VALUE"""),"VW")</f>
        <v>VW</v>
      </c>
      <c r="I2053" s="124">
        <f ca="1">IFERROR(__xludf.DUMMYFUNCTION("""COMPUTED_VALUE"""),5)</f>
        <v>5</v>
      </c>
      <c r="J2053" s="124">
        <f ca="1">IFERROR(__xludf.DUMMYFUNCTION("""COMPUTED_VALUE"""),3)</f>
        <v>3</v>
      </c>
      <c r="K2053" s="125">
        <f ca="1">IFERROR(__xludf.DUMMYFUNCTION("""COMPUTED_VALUE"""),48.4)</f>
        <v>48.4</v>
      </c>
      <c r="L2053" s="121"/>
      <c r="M2053" s="125">
        <f ca="1">IFERROR(__xludf.DUMMYFUNCTION("""COMPUTED_VALUE"""),48.4)</f>
        <v>48.4</v>
      </c>
      <c r="N2053" s="121"/>
      <c r="O2053" s="125">
        <f ca="1">IFERROR(__xludf.DUMMYFUNCTION("""COMPUTED_VALUE"""),41.6)</f>
        <v>41.6</v>
      </c>
      <c r="P2053" s="126"/>
      <c r="Q2053" s="127"/>
      <c r="R2053" s="127"/>
      <c r="S2053" s="127"/>
      <c r="T2053" s="127"/>
    </row>
    <row r="2054" spans="1:20" ht="13.8">
      <c r="A2054" s="118" t="str">
        <f ca="1">IFERROR(__xludf.DUMMYFUNCTION("""COMPUTED_VALUE"""),"VW")</f>
        <v>VW</v>
      </c>
      <c r="B2054" s="119" t="str">
        <f ca="1">IFERROR(__xludf.DUMMYFUNCTION("""COMPUTED_VALUE"""),"Cooper Morschauser")</f>
        <v>Cooper Morschauser</v>
      </c>
      <c r="C2054" s="118">
        <f ca="1">IFERROR(__xludf.DUMMYFUNCTION("""COMPUTED_VALUE"""),8)</f>
        <v>8</v>
      </c>
      <c r="D2054" s="118" t="str">
        <f ca="1">IFERROR(__xludf.DUMMYFUNCTION("""COMPUTED_VALUE"""),"B")</f>
        <v>B</v>
      </c>
      <c r="E2054" s="118" t="str">
        <f ca="1">IFERROR(__xludf.DUMMYFUNCTION("""COMPUTED_VALUE"""),"F")</f>
        <v>F</v>
      </c>
      <c r="F2054" s="124" t="str">
        <f ca="1">IFERROR(__xludf.DUMMYFUNCTION("""COMPUTED_VALUE"""),"J")</f>
        <v>J</v>
      </c>
      <c r="G2054" s="124">
        <f ca="1">IFERROR(__xludf.DUMMYFUNCTION("""COMPUTED_VALUE"""),1)</f>
        <v>1</v>
      </c>
      <c r="H2054" s="124" t="str">
        <f ca="1">IFERROR(__xludf.DUMMYFUNCTION("""COMPUTED_VALUE"""),"VW")</f>
        <v>VW</v>
      </c>
      <c r="I2054" s="124">
        <f ca="1">IFERROR(__xludf.DUMMYFUNCTION("""COMPUTED_VALUE"""),5)</f>
        <v>5</v>
      </c>
      <c r="J2054" s="124">
        <f ca="1">IFERROR(__xludf.DUMMYFUNCTION("""COMPUTED_VALUE"""),5)</f>
        <v>5</v>
      </c>
      <c r="K2054" s="125">
        <f ca="1">IFERROR(__xludf.DUMMYFUNCTION("""COMPUTED_VALUE"""),55.3)</f>
        <v>55.3</v>
      </c>
      <c r="L2054" s="121"/>
      <c r="M2054" s="125">
        <f ca="1">IFERROR(__xludf.DUMMYFUNCTION("""COMPUTED_VALUE"""),55.3)</f>
        <v>55.3</v>
      </c>
      <c r="N2054" s="121"/>
      <c r="O2054" s="125">
        <f ca="1">IFERROR(__xludf.DUMMYFUNCTION("""COMPUTED_VALUE"""),44.9)</f>
        <v>44.9</v>
      </c>
      <c r="P2054" s="126"/>
      <c r="Q2054" s="127"/>
      <c r="R2054" s="127"/>
      <c r="S2054" s="127"/>
      <c r="T2054" s="127"/>
    </row>
    <row r="2055" spans="1:20" ht="13.8">
      <c r="A2055" s="118" t="str">
        <f ca="1">IFERROR(__xludf.DUMMYFUNCTION("""COMPUTED_VALUE"""),"VW")</f>
        <v>VW</v>
      </c>
      <c r="B2055" s="119" t="str">
        <f ca="1">IFERROR(__xludf.DUMMYFUNCTION("""COMPUTED_VALUE"""),"Easton Miller")</f>
        <v>Easton Miller</v>
      </c>
      <c r="C2055" s="118">
        <f ca="1">IFERROR(__xludf.DUMMYFUNCTION("""COMPUTED_VALUE"""),8)</f>
        <v>8</v>
      </c>
      <c r="D2055" s="118" t="str">
        <f ca="1">IFERROR(__xludf.DUMMYFUNCTION("""COMPUTED_VALUE"""),"B")</f>
        <v>B</v>
      </c>
      <c r="E2055" s="118" t="str">
        <f ca="1">IFERROR(__xludf.DUMMYFUNCTION("""COMPUTED_VALUE"""),"F")</f>
        <v>F</v>
      </c>
      <c r="F2055" s="124" t="str">
        <f ca="1">IFERROR(__xludf.DUMMYFUNCTION("""COMPUTED_VALUE"""),"J")</f>
        <v>J</v>
      </c>
      <c r="G2055" s="124">
        <f ca="1">IFERROR(__xludf.DUMMYFUNCTION("""COMPUTED_VALUE"""),1)</f>
        <v>1</v>
      </c>
      <c r="H2055" s="124" t="str">
        <f ca="1">IFERROR(__xludf.DUMMYFUNCTION("""COMPUTED_VALUE"""),"VW")</f>
        <v>VW</v>
      </c>
      <c r="I2055" s="124">
        <f ca="1">IFERROR(__xludf.DUMMYFUNCTION("""COMPUTED_VALUE"""),5)</f>
        <v>5</v>
      </c>
      <c r="J2055" s="124">
        <f ca="1">IFERROR(__xludf.DUMMYFUNCTION("""COMPUTED_VALUE"""),0)</f>
        <v>0</v>
      </c>
      <c r="K2055" s="125"/>
      <c r="L2055" s="121"/>
      <c r="M2055" s="125"/>
      <c r="N2055" s="121"/>
      <c r="O2055" s="125"/>
      <c r="P2055" s="126"/>
      <c r="Q2055" s="127"/>
      <c r="R2055" s="127"/>
      <c r="S2055" s="127"/>
      <c r="T2055" s="127"/>
    </row>
    <row r="2056" spans="1:20" ht="13.8">
      <c r="A2056" s="118" t="str">
        <f ca="1">IFERROR(__xludf.DUMMYFUNCTION("""COMPUTED_VALUE"""),"VW")</f>
        <v>VW</v>
      </c>
      <c r="B2056" s="119" t="str">
        <f ca="1">IFERROR(__xludf.DUMMYFUNCTION("""COMPUTED_VALUE"""),"Henry Hall")</f>
        <v>Henry Hall</v>
      </c>
      <c r="C2056" s="118">
        <f ca="1">IFERROR(__xludf.DUMMYFUNCTION("""COMPUTED_VALUE"""),9)</f>
        <v>9</v>
      </c>
      <c r="D2056" s="118" t="str">
        <f ca="1">IFERROR(__xludf.DUMMYFUNCTION("""COMPUTED_VALUE"""),"B")</f>
        <v>B</v>
      </c>
      <c r="E2056" s="118" t="str">
        <f ca="1">IFERROR(__xludf.DUMMYFUNCTION("""COMPUTED_VALUE"""),"F")</f>
        <v>F</v>
      </c>
      <c r="F2056" s="124" t="str">
        <f ca="1">IFERROR(__xludf.DUMMYFUNCTION("""COMPUTED_VALUE"""),"J")</f>
        <v>J</v>
      </c>
      <c r="G2056" s="124">
        <f ca="1">IFERROR(__xludf.DUMMYFUNCTION("""COMPUTED_VALUE"""),1)</f>
        <v>1</v>
      </c>
      <c r="H2056" s="124" t="str">
        <f ca="1">IFERROR(__xludf.DUMMYFUNCTION("""COMPUTED_VALUE"""),"VW")</f>
        <v>VW</v>
      </c>
      <c r="I2056" s="124">
        <f ca="1">IFERROR(__xludf.DUMMYFUNCTION("""COMPUTED_VALUE"""),5)</f>
        <v>5</v>
      </c>
      <c r="J2056" s="124">
        <f ca="1">IFERROR(__xludf.DUMMYFUNCTION("""COMPUTED_VALUE"""),3)</f>
        <v>3</v>
      </c>
      <c r="K2056" s="125">
        <f ca="1">IFERROR(__xludf.DUMMYFUNCTION("""COMPUTED_VALUE"""),43.45)</f>
        <v>43.45</v>
      </c>
      <c r="L2056" s="121"/>
      <c r="M2056" s="125"/>
      <c r="N2056" s="121"/>
      <c r="O2056" s="125"/>
      <c r="P2056" s="126"/>
      <c r="Q2056" s="127"/>
      <c r="R2056" s="127"/>
      <c r="S2056" s="127"/>
      <c r="T2056" s="127"/>
    </row>
    <row r="2057" spans="1:20" ht="13.8">
      <c r="A2057" s="118" t="str">
        <f ca="1">IFERROR(__xludf.DUMMYFUNCTION("""COMPUTED_VALUE"""),"VW")</f>
        <v>VW</v>
      </c>
      <c r="B2057" s="119" t="str">
        <f ca="1">IFERROR(__xludf.DUMMYFUNCTION("""COMPUTED_VALUE"""),"Parker Joshi")</f>
        <v>Parker Joshi</v>
      </c>
      <c r="C2057" s="118">
        <f ca="1">IFERROR(__xludf.DUMMYFUNCTION("""COMPUTED_VALUE"""),6)</f>
        <v>6</v>
      </c>
      <c r="D2057" s="118" t="str">
        <f ca="1">IFERROR(__xludf.DUMMYFUNCTION("""COMPUTED_VALUE"""),"B")</f>
        <v>B</v>
      </c>
      <c r="E2057" s="118" t="str">
        <f ca="1">IFERROR(__xludf.DUMMYFUNCTION("""COMPUTED_VALUE"""),"F")</f>
        <v>F</v>
      </c>
      <c r="F2057" s="124" t="str">
        <f ca="1">IFERROR(__xludf.DUMMYFUNCTION("""COMPUTED_VALUE"""),"J")</f>
        <v>J</v>
      </c>
      <c r="G2057" s="124">
        <f ca="1">IFERROR(__xludf.DUMMYFUNCTION("""COMPUTED_VALUE"""),1)</f>
        <v>1</v>
      </c>
      <c r="H2057" s="124" t="str">
        <f ca="1">IFERROR(__xludf.DUMMYFUNCTION("""COMPUTED_VALUE"""),"VW")</f>
        <v>VW</v>
      </c>
      <c r="I2057" s="124">
        <f ca="1">IFERROR(__xludf.DUMMYFUNCTION("""COMPUTED_VALUE"""),5)</f>
        <v>5</v>
      </c>
      <c r="J2057" s="124">
        <f ca="1">IFERROR(__xludf.DUMMYFUNCTION("""COMPUTED_VALUE"""),0)</f>
        <v>0</v>
      </c>
      <c r="K2057" s="125"/>
      <c r="L2057" s="121"/>
      <c r="M2057" s="125"/>
      <c r="N2057" s="121"/>
      <c r="O2057" s="125"/>
      <c r="P2057" s="126"/>
      <c r="Q2057" s="127"/>
      <c r="R2057" s="127"/>
      <c r="S2057" s="127"/>
      <c r="T2057" s="127"/>
    </row>
    <row r="2058" spans="1:20" ht="13.8">
      <c r="A2058" s="118" t="str">
        <f ca="1">IFERROR(__xludf.DUMMYFUNCTION("""COMPUTED_VALUE"""),"VW")</f>
        <v>VW</v>
      </c>
      <c r="B2058" s="119" t="str">
        <f ca="1">IFERROR(__xludf.DUMMYFUNCTION("""COMPUTED_VALUE"""),"Sawyer Cohen")</f>
        <v>Sawyer Cohen</v>
      </c>
      <c r="C2058" s="118">
        <f ca="1">IFERROR(__xludf.DUMMYFUNCTION("""COMPUTED_VALUE"""),8)</f>
        <v>8</v>
      </c>
      <c r="D2058" s="118" t="str">
        <f ca="1">IFERROR(__xludf.DUMMYFUNCTION("""COMPUTED_VALUE"""),"B")</f>
        <v>B</v>
      </c>
      <c r="E2058" s="118" t="str">
        <f ca="1">IFERROR(__xludf.DUMMYFUNCTION("""COMPUTED_VALUE"""),"F")</f>
        <v>F</v>
      </c>
      <c r="F2058" s="124" t="str">
        <f ca="1">IFERROR(__xludf.DUMMYFUNCTION("""COMPUTED_VALUE"""),"J")</f>
        <v>J</v>
      </c>
      <c r="G2058" s="124">
        <f ca="1">IFERROR(__xludf.DUMMYFUNCTION("""COMPUTED_VALUE"""),1)</f>
        <v>1</v>
      </c>
      <c r="H2058" s="124" t="str">
        <f ca="1">IFERROR(__xludf.DUMMYFUNCTION("""COMPUTED_VALUE"""),"VW")</f>
        <v>VW</v>
      </c>
      <c r="I2058" s="124">
        <f ca="1">IFERROR(__xludf.DUMMYFUNCTION("""COMPUTED_VALUE"""),5)</f>
        <v>5</v>
      </c>
      <c r="J2058" s="124">
        <f ca="1">IFERROR(__xludf.DUMMYFUNCTION("""COMPUTED_VALUE"""),0)</f>
        <v>0</v>
      </c>
      <c r="K2058" s="125"/>
      <c r="L2058" s="121"/>
      <c r="M2058" s="125"/>
      <c r="N2058" s="121"/>
      <c r="O2058" s="125"/>
      <c r="P2058" s="126"/>
      <c r="Q2058" s="127"/>
      <c r="R2058" s="127"/>
      <c r="S2058" s="127"/>
      <c r="T2058" s="127"/>
    </row>
    <row r="2059" spans="1:20" ht="13.8">
      <c r="A2059" s="118" t="str">
        <f ca="1">IFERROR(__xludf.DUMMYFUNCTION("""COMPUTED_VALUE"""),"VW")</f>
        <v>VW</v>
      </c>
      <c r="B2059" s="119" t="str">
        <f ca="1">IFERROR(__xludf.DUMMYFUNCTION("""COMPUTED_VALUE"""),"Avery O'Brien")</f>
        <v>Avery O'Brien</v>
      </c>
      <c r="C2059" s="118">
        <f ca="1">IFERROR(__xludf.DUMMYFUNCTION("""COMPUTED_VALUE"""),12)</f>
        <v>12</v>
      </c>
      <c r="D2059" s="118" t="str">
        <f ca="1">IFERROR(__xludf.DUMMYFUNCTION("""COMPUTED_VALUE"""),"G")</f>
        <v>G</v>
      </c>
      <c r="E2059" s="118" t="str">
        <f ca="1">IFERROR(__xludf.DUMMYFUNCTION("""COMPUTED_VALUE"""),"J")</f>
        <v>J</v>
      </c>
      <c r="F2059" s="124" t="str">
        <f ca="1">IFERROR(__xludf.DUMMYFUNCTION("""COMPUTED_VALUE"""),"I")</f>
        <v>I</v>
      </c>
      <c r="G2059" s="124">
        <f ca="1">IFERROR(__xludf.DUMMYFUNCTION("""COMPUTED_VALUE"""),1)</f>
        <v>1</v>
      </c>
      <c r="H2059" s="124" t="str">
        <f ca="1">IFERROR(__xludf.DUMMYFUNCTION("""COMPUTED_VALUE"""),"VW")</f>
        <v>VW</v>
      </c>
      <c r="I2059" s="124">
        <f ca="1">IFERROR(__xludf.DUMMYFUNCTION("""COMPUTED_VALUE"""),6)</f>
        <v>6</v>
      </c>
      <c r="J2059" s="124">
        <f ca="1">IFERROR(__xludf.DUMMYFUNCTION("""COMPUTED_VALUE"""),2)</f>
        <v>2</v>
      </c>
      <c r="K2059" s="125">
        <f ca="1">IFERROR(__xludf.DUMMYFUNCTION("""COMPUTED_VALUE"""),80.15)</f>
        <v>80.150000000000006</v>
      </c>
      <c r="L2059" s="121"/>
      <c r="M2059" s="125"/>
      <c r="N2059" s="121"/>
      <c r="O2059" s="125">
        <f ca="1">IFERROR(__xludf.DUMMYFUNCTION("""COMPUTED_VALUE"""),80.15)</f>
        <v>80.150000000000006</v>
      </c>
      <c r="P2059" s="126"/>
      <c r="Q2059" s="127"/>
      <c r="R2059" s="127"/>
      <c r="S2059" s="127"/>
      <c r="T2059" s="127"/>
    </row>
    <row r="2060" spans="1:20" ht="13.8">
      <c r="A2060" s="118" t="str">
        <f ca="1">IFERROR(__xludf.DUMMYFUNCTION("""COMPUTED_VALUE"""),"VW")</f>
        <v>VW</v>
      </c>
      <c r="B2060" s="119" t="str">
        <f ca="1">IFERROR(__xludf.DUMMYFUNCTION("""COMPUTED_VALUE"""),"Bodhi Tam")</f>
        <v>Bodhi Tam</v>
      </c>
      <c r="C2060" s="118">
        <f ca="1">IFERROR(__xludf.DUMMYFUNCTION("""COMPUTED_VALUE"""),11)</f>
        <v>11</v>
      </c>
      <c r="D2060" s="118" t="str">
        <f ca="1">IFERROR(__xludf.DUMMYFUNCTION("""COMPUTED_VALUE"""),"G")</f>
        <v>G</v>
      </c>
      <c r="E2060" s="118" t="str">
        <f ca="1">IFERROR(__xludf.DUMMYFUNCTION("""COMPUTED_VALUE"""),"J")</f>
        <v>J</v>
      </c>
      <c r="F2060" s="124" t="str">
        <f ca="1">IFERROR(__xludf.DUMMYFUNCTION("""COMPUTED_VALUE"""),"I")</f>
        <v>I</v>
      </c>
      <c r="G2060" s="124">
        <f ca="1">IFERROR(__xludf.DUMMYFUNCTION("""COMPUTED_VALUE"""),1)</f>
        <v>1</v>
      </c>
      <c r="H2060" s="124" t="str">
        <f ca="1">IFERROR(__xludf.DUMMYFUNCTION("""COMPUTED_VALUE"""),"VW")</f>
        <v>VW</v>
      </c>
      <c r="I2060" s="124">
        <f ca="1">IFERROR(__xludf.DUMMYFUNCTION("""COMPUTED_VALUE"""),6)</f>
        <v>6</v>
      </c>
      <c r="J2060" s="124">
        <f ca="1">IFERROR(__xludf.DUMMYFUNCTION("""COMPUTED_VALUE"""),4)</f>
        <v>4</v>
      </c>
      <c r="K2060" s="125">
        <f ca="1">IFERROR(__xludf.DUMMYFUNCTION("""COMPUTED_VALUE"""),83.75)</f>
        <v>83.75</v>
      </c>
      <c r="L2060" s="121"/>
      <c r="M2060" s="125">
        <f ca="1">IFERROR(__xludf.DUMMYFUNCTION("""COMPUTED_VALUE"""),60.6)</f>
        <v>60.6</v>
      </c>
      <c r="N2060" s="121"/>
      <c r="O2060" s="125">
        <f ca="1">IFERROR(__xludf.DUMMYFUNCTION("""COMPUTED_VALUE"""),83.75)</f>
        <v>83.75</v>
      </c>
      <c r="P2060" s="126"/>
      <c r="Q2060" s="127"/>
      <c r="R2060" s="127"/>
      <c r="S2060" s="127"/>
      <c r="T2060" s="127"/>
    </row>
    <row r="2061" spans="1:20" ht="13.8">
      <c r="A2061" s="118" t="str">
        <f ca="1">IFERROR(__xludf.DUMMYFUNCTION("""COMPUTED_VALUE"""),"VW")</f>
        <v>VW</v>
      </c>
      <c r="B2061" s="119" t="str">
        <f ca="1">IFERROR(__xludf.DUMMYFUNCTION("""COMPUTED_VALUE"""),"Claire Keating")</f>
        <v>Claire Keating</v>
      </c>
      <c r="C2061" s="118">
        <f ca="1">IFERROR(__xludf.DUMMYFUNCTION("""COMPUTED_VALUE"""),11)</f>
        <v>11</v>
      </c>
      <c r="D2061" s="118" t="str">
        <f ca="1">IFERROR(__xludf.DUMMYFUNCTION("""COMPUTED_VALUE"""),"G")</f>
        <v>G</v>
      </c>
      <c r="E2061" s="118" t="str">
        <f ca="1">IFERROR(__xludf.DUMMYFUNCTION("""COMPUTED_VALUE"""),"J")</f>
        <v>J</v>
      </c>
      <c r="F2061" s="124" t="str">
        <f ca="1">IFERROR(__xludf.DUMMYFUNCTION("""COMPUTED_VALUE"""),"I")</f>
        <v>I</v>
      </c>
      <c r="G2061" s="124">
        <f ca="1">IFERROR(__xludf.DUMMYFUNCTION("""COMPUTED_VALUE"""),1)</f>
        <v>1</v>
      </c>
      <c r="H2061" s="124" t="str">
        <f ca="1">IFERROR(__xludf.DUMMYFUNCTION("""COMPUTED_VALUE"""),"VW")</f>
        <v>VW</v>
      </c>
      <c r="I2061" s="124">
        <f ca="1">IFERROR(__xludf.DUMMYFUNCTION("""COMPUTED_VALUE"""),6)</f>
        <v>6</v>
      </c>
      <c r="J2061" s="124">
        <f ca="1">IFERROR(__xludf.DUMMYFUNCTION("""COMPUTED_VALUE"""),5)</f>
        <v>5</v>
      </c>
      <c r="K2061" s="125">
        <f ca="1">IFERROR(__xludf.DUMMYFUNCTION("""COMPUTED_VALUE"""),83.8)</f>
        <v>83.8</v>
      </c>
      <c r="L2061" s="121"/>
      <c r="M2061" s="125">
        <f ca="1">IFERROR(__xludf.DUMMYFUNCTION("""COMPUTED_VALUE"""),72.95)</f>
        <v>72.95</v>
      </c>
      <c r="N2061" s="121"/>
      <c r="O2061" s="125">
        <f ca="1">IFERROR(__xludf.DUMMYFUNCTION("""COMPUTED_VALUE"""),83.8)</f>
        <v>83.8</v>
      </c>
      <c r="P2061" s="126"/>
      <c r="Q2061" s="127"/>
      <c r="R2061" s="127"/>
      <c r="S2061" s="127"/>
      <c r="T2061" s="127"/>
    </row>
    <row r="2062" spans="1:20" ht="13.8">
      <c r="A2062" s="118" t="str">
        <f ca="1">IFERROR(__xludf.DUMMYFUNCTION("""COMPUTED_VALUE"""),"VW")</f>
        <v>VW</v>
      </c>
      <c r="B2062" s="119" t="str">
        <f ca="1">IFERROR(__xludf.DUMMYFUNCTION("""COMPUTED_VALUE"""),"Eleanor Chang")</f>
        <v>Eleanor Chang</v>
      </c>
      <c r="C2062" s="118">
        <f ca="1">IFERROR(__xludf.DUMMYFUNCTION("""COMPUTED_VALUE"""),11)</f>
        <v>11</v>
      </c>
      <c r="D2062" s="118" t="str">
        <f ca="1">IFERROR(__xludf.DUMMYFUNCTION("""COMPUTED_VALUE"""),"G")</f>
        <v>G</v>
      </c>
      <c r="E2062" s="118" t="str">
        <f ca="1">IFERROR(__xludf.DUMMYFUNCTION("""COMPUTED_VALUE"""),"J")</f>
        <v>J</v>
      </c>
      <c r="F2062" s="124" t="str">
        <f ca="1">IFERROR(__xludf.DUMMYFUNCTION("""COMPUTED_VALUE"""),"I")</f>
        <v>I</v>
      </c>
      <c r="G2062" s="124">
        <f ca="1">IFERROR(__xludf.DUMMYFUNCTION("""COMPUTED_VALUE"""),1)</f>
        <v>1</v>
      </c>
      <c r="H2062" s="124" t="str">
        <f ca="1">IFERROR(__xludf.DUMMYFUNCTION("""COMPUTED_VALUE"""),"VW")</f>
        <v>VW</v>
      </c>
      <c r="I2062" s="124">
        <f ca="1">IFERROR(__xludf.DUMMYFUNCTION("""COMPUTED_VALUE"""),6)</f>
        <v>6</v>
      </c>
      <c r="J2062" s="124">
        <f ca="1">IFERROR(__xludf.DUMMYFUNCTION("""COMPUTED_VALUE"""),5)</f>
        <v>5</v>
      </c>
      <c r="K2062" s="125">
        <f ca="1">IFERROR(__xludf.DUMMYFUNCTION("""COMPUTED_VALUE"""),120.9)</f>
        <v>120.9</v>
      </c>
      <c r="L2062" s="121"/>
      <c r="M2062" s="125">
        <f ca="1">IFERROR(__xludf.DUMMYFUNCTION("""COMPUTED_VALUE"""),116.45)</f>
        <v>116.45</v>
      </c>
      <c r="N2062" s="121"/>
      <c r="O2062" s="125">
        <f ca="1">IFERROR(__xludf.DUMMYFUNCTION("""COMPUTED_VALUE"""),120.9)</f>
        <v>120.9</v>
      </c>
      <c r="P2062" s="126"/>
      <c r="Q2062" s="127"/>
      <c r="R2062" s="127"/>
      <c r="S2062" s="127"/>
      <c r="T2062" s="127"/>
    </row>
    <row r="2063" spans="1:20" ht="13.8">
      <c r="A2063" s="118" t="str">
        <f ca="1">IFERROR(__xludf.DUMMYFUNCTION("""COMPUTED_VALUE"""),"VW")</f>
        <v>VW</v>
      </c>
      <c r="B2063" s="119" t="str">
        <f ca="1">IFERROR(__xludf.DUMMYFUNCTION("""COMPUTED_VALUE"""),"Mackenzie Karrels")</f>
        <v>Mackenzie Karrels</v>
      </c>
      <c r="C2063" s="118">
        <f ca="1">IFERROR(__xludf.DUMMYFUNCTION("""COMPUTED_VALUE"""),12)</f>
        <v>12</v>
      </c>
      <c r="D2063" s="118" t="str">
        <f ca="1">IFERROR(__xludf.DUMMYFUNCTION("""COMPUTED_VALUE"""),"G")</f>
        <v>G</v>
      </c>
      <c r="E2063" s="118" t="str">
        <f ca="1">IFERROR(__xludf.DUMMYFUNCTION("""COMPUTED_VALUE"""),"J")</f>
        <v>J</v>
      </c>
      <c r="F2063" s="124" t="str">
        <f ca="1">IFERROR(__xludf.DUMMYFUNCTION("""COMPUTED_VALUE"""),"I")</f>
        <v>I</v>
      </c>
      <c r="G2063" s="124">
        <f ca="1">IFERROR(__xludf.DUMMYFUNCTION("""COMPUTED_VALUE"""),1)</f>
        <v>1</v>
      </c>
      <c r="H2063" s="124" t="str">
        <f ca="1">IFERROR(__xludf.DUMMYFUNCTION("""COMPUTED_VALUE"""),"VW")</f>
        <v>VW</v>
      </c>
      <c r="I2063" s="124">
        <f ca="1">IFERROR(__xludf.DUMMYFUNCTION("""COMPUTED_VALUE"""),6)</f>
        <v>6</v>
      </c>
      <c r="J2063" s="124">
        <f ca="1">IFERROR(__xludf.DUMMYFUNCTION("""COMPUTED_VALUE"""),4)</f>
        <v>4</v>
      </c>
      <c r="K2063" s="125">
        <f ca="1">IFERROR(__xludf.DUMMYFUNCTION("""COMPUTED_VALUE"""),101.7)</f>
        <v>101.7</v>
      </c>
      <c r="L2063" s="121"/>
      <c r="M2063" s="125">
        <f ca="1">IFERROR(__xludf.DUMMYFUNCTION("""COMPUTED_VALUE"""),101.7)</f>
        <v>101.7</v>
      </c>
      <c r="N2063" s="121"/>
      <c r="O2063" s="125">
        <f ca="1">IFERROR(__xludf.DUMMYFUNCTION("""COMPUTED_VALUE"""),70.65)</f>
        <v>70.650000000000006</v>
      </c>
      <c r="P2063" s="126"/>
      <c r="Q2063" s="127"/>
      <c r="R2063" s="127"/>
      <c r="S2063" s="127"/>
      <c r="T2063" s="127"/>
    </row>
    <row r="2064" spans="1:20" ht="13.8">
      <c r="A2064" s="118" t="str">
        <f ca="1">IFERROR(__xludf.DUMMYFUNCTION("""COMPUTED_VALUE"""),"VW")</f>
        <v>VW</v>
      </c>
      <c r="B2064" s="119" t="str">
        <f ca="1">IFERROR(__xludf.DUMMYFUNCTION("""COMPUTED_VALUE"""),"Ruthie Gaffney")</f>
        <v>Ruthie Gaffney</v>
      </c>
      <c r="C2064" s="118">
        <f ca="1">IFERROR(__xludf.DUMMYFUNCTION("""COMPUTED_VALUE"""),11)</f>
        <v>11</v>
      </c>
      <c r="D2064" s="118" t="str">
        <f ca="1">IFERROR(__xludf.DUMMYFUNCTION("""COMPUTED_VALUE"""),"G")</f>
        <v>G</v>
      </c>
      <c r="E2064" s="118" t="str">
        <f ca="1">IFERROR(__xludf.DUMMYFUNCTION("""COMPUTED_VALUE"""),"J")</f>
        <v>J</v>
      </c>
      <c r="F2064" s="124" t="str">
        <f ca="1">IFERROR(__xludf.DUMMYFUNCTION("""COMPUTED_VALUE"""),"I")</f>
        <v>I</v>
      </c>
      <c r="G2064" s="124">
        <f ca="1">IFERROR(__xludf.DUMMYFUNCTION("""COMPUTED_VALUE"""),1)</f>
        <v>1</v>
      </c>
      <c r="H2064" s="124" t="str">
        <f ca="1">IFERROR(__xludf.DUMMYFUNCTION("""COMPUTED_VALUE"""),"VW")</f>
        <v>VW</v>
      </c>
      <c r="I2064" s="124">
        <f ca="1">IFERROR(__xludf.DUMMYFUNCTION("""COMPUTED_VALUE"""),6)</f>
        <v>6</v>
      </c>
      <c r="J2064" s="124">
        <f ca="1">IFERROR(__xludf.DUMMYFUNCTION("""COMPUTED_VALUE"""),5)</f>
        <v>5</v>
      </c>
      <c r="K2064" s="125">
        <f ca="1">IFERROR(__xludf.DUMMYFUNCTION("""COMPUTED_VALUE"""),86)</f>
        <v>86</v>
      </c>
      <c r="L2064" s="121"/>
      <c r="M2064" s="125">
        <f ca="1">IFERROR(__xludf.DUMMYFUNCTION("""COMPUTED_VALUE"""),79.7)</f>
        <v>79.7</v>
      </c>
      <c r="N2064" s="121"/>
      <c r="O2064" s="125">
        <f ca="1">IFERROR(__xludf.DUMMYFUNCTION("""COMPUTED_VALUE"""),-116.6)</f>
        <v>-116.6</v>
      </c>
      <c r="P2064" s="126"/>
      <c r="Q2064" s="127"/>
      <c r="R2064" s="127"/>
      <c r="S2064" s="127"/>
      <c r="T2064" s="127"/>
    </row>
    <row r="2065" spans="1:20" ht="13.8">
      <c r="A2065" s="118" t="str">
        <f ca="1">IFERROR(__xludf.DUMMYFUNCTION("""COMPUTED_VALUE"""),"VW")</f>
        <v>VW</v>
      </c>
      <c r="B2065" s="119" t="str">
        <f ca="1">IFERROR(__xludf.DUMMYFUNCTION("""COMPUTED_VALUE"""),"Adam O'Keefe")</f>
        <v>Adam O'Keefe</v>
      </c>
      <c r="C2065" s="118">
        <f ca="1">IFERROR(__xludf.DUMMYFUNCTION("""COMPUTED_VALUE"""),12)</f>
        <v>12</v>
      </c>
      <c r="D2065" s="118" t="str">
        <f ca="1">IFERROR(__xludf.DUMMYFUNCTION("""COMPUTED_VALUE"""),"B")</f>
        <v>B</v>
      </c>
      <c r="E2065" s="118" t="str">
        <f ca="1">IFERROR(__xludf.DUMMYFUNCTION("""COMPUTED_VALUE"""),"J")</f>
        <v>J</v>
      </c>
      <c r="F2065" s="124" t="str">
        <f ca="1">IFERROR(__xludf.DUMMYFUNCTION("""COMPUTED_VALUE"""),"I")</f>
        <v>I</v>
      </c>
      <c r="G2065" s="124">
        <f ca="1">IFERROR(__xludf.DUMMYFUNCTION("""COMPUTED_VALUE"""),1)</f>
        <v>1</v>
      </c>
      <c r="H2065" s="124" t="str">
        <f ca="1">IFERROR(__xludf.DUMMYFUNCTION("""COMPUTED_VALUE"""),"VW")</f>
        <v>VW</v>
      </c>
      <c r="I2065" s="124">
        <f ca="1">IFERROR(__xludf.DUMMYFUNCTION("""COMPUTED_VALUE"""),7)</f>
        <v>7</v>
      </c>
      <c r="J2065" s="124">
        <f ca="1">IFERROR(__xludf.DUMMYFUNCTION("""COMPUTED_VALUE"""),0)</f>
        <v>0</v>
      </c>
      <c r="K2065" s="125"/>
      <c r="L2065" s="121"/>
      <c r="M2065" s="125"/>
      <c r="N2065" s="121"/>
      <c r="O2065" s="125"/>
      <c r="P2065" s="126"/>
      <c r="Q2065" s="127"/>
      <c r="R2065" s="127"/>
      <c r="S2065" s="127"/>
      <c r="T2065" s="127"/>
    </row>
    <row r="2066" spans="1:20" ht="13.8">
      <c r="A2066" s="118" t="str">
        <f ca="1">IFERROR(__xludf.DUMMYFUNCTION("""COMPUTED_VALUE"""),"VW")</f>
        <v>VW</v>
      </c>
      <c r="B2066" s="119" t="str">
        <f ca="1">IFERROR(__xludf.DUMMYFUNCTION("""COMPUTED_VALUE"""),"Bradley Barry")</f>
        <v>Bradley Barry</v>
      </c>
      <c r="C2066" s="118">
        <f ca="1">IFERROR(__xludf.DUMMYFUNCTION("""COMPUTED_VALUE"""),12)</f>
        <v>12</v>
      </c>
      <c r="D2066" s="118" t="str">
        <f ca="1">IFERROR(__xludf.DUMMYFUNCTION("""COMPUTED_VALUE"""),"B")</f>
        <v>B</v>
      </c>
      <c r="E2066" s="118" t="str">
        <f ca="1">IFERROR(__xludf.DUMMYFUNCTION("""COMPUTED_VALUE"""),"J")</f>
        <v>J</v>
      </c>
      <c r="F2066" s="124" t="str">
        <f ca="1">IFERROR(__xludf.DUMMYFUNCTION("""COMPUTED_VALUE"""),"I")</f>
        <v>I</v>
      </c>
      <c r="G2066" s="124">
        <f ca="1">IFERROR(__xludf.DUMMYFUNCTION("""COMPUTED_VALUE"""),1)</f>
        <v>1</v>
      </c>
      <c r="H2066" s="124" t="str">
        <f ca="1">IFERROR(__xludf.DUMMYFUNCTION("""COMPUTED_VALUE"""),"VW")</f>
        <v>VW</v>
      </c>
      <c r="I2066" s="124">
        <f ca="1">IFERROR(__xludf.DUMMYFUNCTION("""COMPUTED_VALUE"""),7)</f>
        <v>7</v>
      </c>
      <c r="J2066" s="124">
        <f ca="1">IFERROR(__xludf.DUMMYFUNCTION("""COMPUTED_VALUE"""),1)</f>
        <v>1</v>
      </c>
      <c r="K2066" s="125"/>
      <c r="L2066" s="121"/>
      <c r="M2066" s="125"/>
      <c r="N2066" s="121"/>
      <c r="O2066" s="125"/>
      <c r="P2066" s="126"/>
      <c r="Q2066" s="127"/>
      <c r="R2066" s="127"/>
      <c r="S2066" s="127"/>
      <c r="T2066" s="127"/>
    </row>
    <row r="2067" spans="1:20" ht="13.8">
      <c r="A2067" s="118" t="str">
        <f ca="1">IFERROR(__xludf.DUMMYFUNCTION("""COMPUTED_VALUE"""),"VW")</f>
        <v>VW</v>
      </c>
      <c r="B2067" s="119" t="str">
        <f ca="1">IFERROR(__xludf.DUMMYFUNCTION("""COMPUTED_VALUE"""),"Charlie Jreige")</f>
        <v>Charlie Jreige</v>
      </c>
      <c r="C2067" s="118">
        <f ca="1">IFERROR(__xludf.DUMMYFUNCTION("""COMPUTED_VALUE"""),12)</f>
        <v>12</v>
      </c>
      <c r="D2067" s="118" t="str">
        <f ca="1">IFERROR(__xludf.DUMMYFUNCTION("""COMPUTED_VALUE"""),"B")</f>
        <v>B</v>
      </c>
      <c r="E2067" s="118" t="str">
        <f ca="1">IFERROR(__xludf.DUMMYFUNCTION("""COMPUTED_VALUE"""),"J")</f>
        <v>J</v>
      </c>
      <c r="F2067" s="124" t="str">
        <f ca="1">IFERROR(__xludf.DUMMYFUNCTION("""COMPUTED_VALUE"""),"I")</f>
        <v>I</v>
      </c>
      <c r="G2067" s="124">
        <f ca="1">IFERROR(__xludf.DUMMYFUNCTION("""COMPUTED_VALUE"""),1)</f>
        <v>1</v>
      </c>
      <c r="H2067" s="124" t="str">
        <f ca="1">IFERROR(__xludf.DUMMYFUNCTION("""COMPUTED_VALUE"""),"VW")</f>
        <v>VW</v>
      </c>
      <c r="I2067" s="124">
        <f ca="1">IFERROR(__xludf.DUMMYFUNCTION("""COMPUTED_VALUE"""),7)</f>
        <v>7</v>
      </c>
      <c r="J2067" s="124">
        <f ca="1">IFERROR(__xludf.DUMMYFUNCTION("""COMPUTED_VALUE"""),2)</f>
        <v>2</v>
      </c>
      <c r="K2067" s="125">
        <f ca="1">IFERROR(__xludf.DUMMYFUNCTION("""COMPUTED_VALUE"""),54.95)</f>
        <v>54.95</v>
      </c>
      <c r="L2067" s="121"/>
      <c r="M2067" s="125"/>
      <c r="N2067" s="121"/>
      <c r="O2067" s="125"/>
      <c r="P2067" s="126"/>
      <c r="Q2067" s="127"/>
      <c r="R2067" s="127"/>
      <c r="S2067" s="127"/>
      <c r="T2067" s="127"/>
    </row>
    <row r="2068" spans="1:20" ht="13.8">
      <c r="A2068" s="118" t="str">
        <f ca="1">IFERROR(__xludf.DUMMYFUNCTION("""COMPUTED_VALUE"""),"VW")</f>
        <v>VW</v>
      </c>
      <c r="B2068" s="119" t="str">
        <f ca="1">IFERROR(__xludf.DUMMYFUNCTION("""COMPUTED_VALUE"""),"Elijah Hawley")</f>
        <v>Elijah Hawley</v>
      </c>
      <c r="C2068" s="118">
        <f ca="1">IFERROR(__xludf.DUMMYFUNCTION("""COMPUTED_VALUE"""),11)</f>
        <v>11</v>
      </c>
      <c r="D2068" s="118" t="str">
        <f ca="1">IFERROR(__xludf.DUMMYFUNCTION("""COMPUTED_VALUE"""),"B")</f>
        <v>B</v>
      </c>
      <c r="E2068" s="118" t="str">
        <f ca="1">IFERROR(__xludf.DUMMYFUNCTION("""COMPUTED_VALUE"""),"J")</f>
        <v>J</v>
      </c>
      <c r="F2068" s="124" t="str">
        <f ca="1">IFERROR(__xludf.DUMMYFUNCTION("""COMPUTED_VALUE"""),"I")</f>
        <v>I</v>
      </c>
      <c r="G2068" s="124">
        <f ca="1">IFERROR(__xludf.DUMMYFUNCTION("""COMPUTED_VALUE"""),1)</f>
        <v>1</v>
      </c>
      <c r="H2068" s="124" t="str">
        <f ca="1">IFERROR(__xludf.DUMMYFUNCTION("""COMPUTED_VALUE"""),"VW")</f>
        <v>VW</v>
      </c>
      <c r="I2068" s="124">
        <f ca="1">IFERROR(__xludf.DUMMYFUNCTION("""COMPUTED_VALUE"""),7)</f>
        <v>7</v>
      </c>
      <c r="J2068" s="124">
        <f ca="1">IFERROR(__xludf.DUMMYFUNCTION("""COMPUTED_VALUE"""),3)</f>
        <v>3</v>
      </c>
      <c r="K2068" s="125">
        <f ca="1">IFERROR(__xludf.DUMMYFUNCTION("""COMPUTED_VALUE"""),84)</f>
        <v>84</v>
      </c>
      <c r="L2068" s="121"/>
      <c r="M2068" s="125">
        <f ca="1">IFERROR(__xludf.DUMMYFUNCTION("""COMPUTED_VALUE"""),84)</f>
        <v>84</v>
      </c>
      <c r="N2068" s="121"/>
      <c r="O2068" s="125">
        <f ca="1">IFERROR(__xludf.DUMMYFUNCTION("""COMPUTED_VALUE"""),77)</f>
        <v>77</v>
      </c>
      <c r="P2068" s="126"/>
      <c r="Q2068" s="127"/>
      <c r="R2068" s="127"/>
      <c r="S2068" s="127"/>
      <c r="T2068" s="127"/>
    </row>
    <row r="2069" spans="1:20" ht="13.8">
      <c r="A2069" s="118" t="str">
        <f ca="1">IFERROR(__xludf.DUMMYFUNCTION("""COMPUTED_VALUE"""),"VW")</f>
        <v>VW</v>
      </c>
      <c r="B2069" s="119" t="str">
        <f ca="1">IFERROR(__xludf.DUMMYFUNCTION("""COMPUTED_VALUE"""),"Tyler Brown")</f>
        <v>Tyler Brown</v>
      </c>
      <c r="C2069" s="118">
        <f ca="1">IFERROR(__xludf.DUMMYFUNCTION("""COMPUTED_VALUE"""),12)</f>
        <v>12</v>
      </c>
      <c r="D2069" s="118" t="str">
        <f ca="1">IFERROR(__xludf.DUMMYFUNCTION("""COMPUTED_VALUE"""),"B")</f>
        <v>B</v>
      </c>
      <c r="E2069" s="118" t="str">
        <f ca="1">IFERROR(__xludf.DUMMYFUNCTION("""COMPUTED_VALUE"""),"J")</f>
        <v>J</v>
      </c>
      <c r="F2069" s="124" t="str">
        <f ca="1">IFERROR(__xludf.DUMMYFUNCTION("""COMPUTED_VALUE"""),"I")</f>
        <v>I</v>
      </c>
      <c r="G2069" s="124">
        <f ca="1">IFERROR(__xludf.DUMMYFUNCTION("""COMPUTED_VALUE"""),1)</f>
        <v>1</v>
      </c>
      <c r="H2069" s="124" t="str">
        <f ca="1">IFERROR(__xludf.DUMMYFUNCTION("""COMPUTED_VALUE"""),"VW")</f>
        <v>VW</v>
      </c>
      <c r="I2069" s="124">
        <f ca="1">IFERROR(__xludf.DUMMYFUNCTION("""COMPUTED_VALUE"""),7)</f>
        <v>7</v>
      </c>
      <c r="J2069" s="124">
        <f ca="1">IFERROR(__xludf.DUMMYFUNCTION("""COMPUTED_VALUE"""),5)</f>
        <v>5</v>
      </c>
      <c r="K2069" s="125">
        <f ca="1">IFERROR(__xludf.DUMMYFUNCTION("""COMPUTED_VALUE"""),132.5)</f>
        <v>132.5</v>
      </c>
      <c r="L2069" s="121"/>
      <c r="M2069" s="125">
        <f ca="1">IFERROR(__xludf.DUMMYFUNCTION("""COMPUTED_VALUE"""),123.3)</f>
        <v>123.3</v>
      </c>
      <c r="N2069" s="121"/>
      <c r="O2069" s="125">
        <f ca="1">IFERROR(__xludf.DUMMYFUNCTION("""COMPUTED_VALUE"""),132.5)</f>
        <v>132.5</v>
      </c>
      <c r="P2069" s="126"/>
      <c r="Q2069" s="127"/>
      <c r="R2069" s="127"/>
      <c r="S2069" s="127"/>
      <c r="T2069" s="127"/>
    </row>
    <row r="2070" spans="1:20" ht="13.8">
      <c r="A2070" s="118" t="str">
        <f ca="1">IFERROR(__xludf.DUMMYFUNCTION("""COMPUTED_VALUE"""),"VW")</f>
        <v>VW</v>
      </c>
      <c r="B2070" s="119" t="str">
        <f ca="1">IFERROR(__xludf.DUMMYFUNCTION("""COMPUTED_VALUE"""),"Emmanuella DeMers")</f>
        <v>Emmanuella DeMers</v>
      </c>
      <c r="C2070" s="118">
        <f ca="1">IFERROR(__xludf.DUMMYFUNCTION("""COMPUTED_VALUE"""),13)</f>
        <v>13</v>
      </c>
      <c r="D2070" s="118" t="str">
        <f ca="1">IFERROR(__xludf.DUMMYFUNCTION("""COMPUTED_VALUE"""),"G")</f>
        <v>G</v>
      </c>
      <c r="E2070" s="118" t="str">
        <f ca="1">IFERROR(__xludf.DUMMYFUNCTION("""COMPUTED_VALUE"""),"I")</f>
        <v>I</v>
      </c>
      <c r="F2070" s="124" t="str">
        <f ca="1">IFERROR(__xludf.DUMMYFUNCTION("""COMPUTED_VALUE"""),"S")</f>
        <v>S</v>
      </c>
      <c r="G2070" s="124">
        <f ca="1">IFERROR(__xludf.DUMMYFUNCTION("""COMPUTED_VALUE"""),1)</f>
        <v>1</v>
      </c>
      <c r="H2070" s="124" t="str">
        <f ca="1">IFERROR(__xludf.DUMMYFUNCTION("""COMPUTED_VALUE"""),"VW")</f>
        <v>VW</v>
      </c>
      <c r="I2070" s="124">
        <f ca="1">IFERROR(__xludf.DUMMYFUNCTION("""COMPUTED_VALUE"""),8)</f>
        <v>8</v>
      </c>
      <c r="J2070" s="124">
        <f ca="1">IFERROR(__xludf.DUMMYFUNCTION("""COMPUTED_VALUE"""),0)</f>
        <v>0</v>
      </c>
      <c r="K2070" s="125"/>
      <c r="L2070" s="121"/>
      <c r="M2070" s="125"/>
      <c r="N2070" s="121"/>
      <c r="O2070" s="125"/>
      <c r="P2070" s="126"/>
      <c r="Q2070" s="127"/>
      <c r="R2070" s="127"/>
      <c r="S2070" s="127"/>
      <c r="T2070" s="127"/>
    </row>
    <row r="2071" spans="1:20" ht="13.8">
      <c r="A2071" s="118" t="str">
        <f ca="1">IFERROR(__xludf.DUMMYFUNCTION("""COMPUTED_VALUE"""),"VW")</f>
        <v>VW</v>
      </c>
      <c r="B2071" s="119" t="str">
        <f ca="1">IFERROR(__xludf.DUMMYFUNCTION("""COMPUTED_VALUE"""),"Skylar Harris")</f>
        <v>Skylar Harris</v>
      </c>
      <c r="C2071" s="118">
        <f ca="1">IFERROR(__xludf.DUMMYFUNCTION("""COMPUTED_VALUE"""),13)</f>
        <v>13</v>
      </c>
      <c r="D2071" s="118" t="str">
        <f ca="1">IFERROR(__xludf.DUMMYFUNCTION("""COMPUTED_VALUE"""),"G")</f>
        <v>G</v>
      </c>
      <c r="E2071" s="118" t="str">
        <f ca="1">IFERROR(__xludf.DUMMYFUNCTION("""COMPUTED_VALUE"""),"I")</f>
        <v>I</v>
      </c>
      <c r="F2071" s="124" t="str">
        <f ca="1">IFERROR(__xludf.DUMMYFUNCTION("""COMPUTED_VALUE"""),"S")</f>
        <v>S</v>
      </c>
      <c r="G2071" s="124">
        <f ca="1">IFERROR(__xludf.DUMMYFUNCTION("""COMPUTED_VALUE"""),1)</f>
        <v>1</v>
      </c>
      <c r="H2071" s="124" t="str">
        <f ca="1">IFERROR(__xludf.DUMMYFUNCTION("""COMPUTED_VALUE"""),"VW")</f>
        <v>VW</v>
      </c>
      <c r="I2071" s="124">
        <f ca="1">IFERROR(__xludf.DUMMYFUNCTION("""COMPUTED_VALUE"""),8)</f>
        <v>8</v>
      </c>
      <c r="J2071" s="124">
        <f ca="1">IFERROR(__xludf.DUMMYFUNCTION("""COMPUTED_VALUE"""),4)</f>
        <v>4</v>
      </c>
      <c r="K2071" s="125">
        <f ca="1">IFERROR(__xludf.DUMMYFUNCTION("""COMPUTED_VALUE"""),122.9)</f>
        <v>122.9</v>
      </c>
      <c r="L2071" s="121"/>
      <c r="M2071" s="125">
        <f ca="1">IFERROR(__xludf.DUMMYFUNCTION("""COMPUTED_VALUE"""),99.25)</f>
        <v>99.25</v>
      </c>
      <c r="N2071" s="121"/>
      <c r="O2071" s="125"/>
      <c r="P2071" s="126"/>
      <c r="Q2071" s="127"/>
      <c r="R2071" s="127"/>
      <c r="S2071" s="127"/>
      <c r="T2071" s="127"/>
    </row>
    <row r="2072" spans="1:20" ht="13.8">
      <c r="A2072" s="118" t="str">
        <f ca="1">IFERROR(__xludf.DUMMYFUNCTION("""COMPUTED_VALUE"""),"VW")</f>
        <v>VW</v>
      </c>
      <c r="B2072" s="119" t="str">
        <f ca="1">IFERROR(__xludf.DUMMYFUNCTION("""COMPUTED_VALUE"""),"Maxwell Swensson")</f>
        <v>Maxwell Swensson</v>
      </c>
      <c r="C2072" s="118">
        <f ca="1">IFERROR(__xludf.DUMMYFUNCTION("""COMPUTED_VALUE"""),13)</f>
        <v>13</v>
      </c>
      <c r="D2072" s="118" t="str">
        <f ca="1">IFERROR(__xludf.DUMMYFUNCTION("""COMPUTED_VALUE"""),"B")</f>
        <v>B</v>
      </c>
      <c r="E2072" s="118" t="str">
        <f ca="1">IFERROR(__xludf.DUMMYFUNCTION("""COMPUTED_VALUE"""),"I")</f>
        <v>I</v>
      </c>
      <c r="F2072" s="124" t="str">
        <f ca="1">IFERROR(__xludf.DUMMYFUNCTION("""COMPUTED_VALUE"""),"S")</f>
        <v>S</v>
      </c>
      <c r="G2072" s="124">
        <f ca="1">IFERROR(__xludf.DUMMYFUNCTION("""COMPUTED_VALUE"""),1)</f>
        <v>1</v>
      </c>
      <c r="H2072" s="124" t="str">
        <f ca="1">IFERROR(__xludf.DUMMYFUNCTION("""COMPUTED_VALUE"""),"VW")</f>
        <v>VW</v>
      </c>
      <c r="I2072" s="124">
        <f ca="1">IFERROR(__xludf.DUMMYFUNCTION("""COMPUTED_VALUE"""),9)</f>
        <v>9</v>
      </c>
      <c r="J2072" s="124">
        <f ca="1">IFERROR(__xludf.DUMMYFUNCTION("""COMPUTED_VALUE"""),0)</f>
        <v>0</v>
      </c>
      <c r="K2072" s="125"/>
      <c r="L2072" s="121"/>
      <c r="M2072" s="125"/>
      <c r="N2072" s="121"/>
      <c r="O2072" s="125"/>
      <c r="P2072" s="126"/>
      <c r="Q2072" s="127"/>
      <c r="R2072" s="127"/>
      <c r="S2072" s="127"/>
      <c r="T2072" s="127"/>
    </row>
    <row r="2073" spans="1:20" ht="13.8">
      <c r="A2073" s="118" t="str">
        <f ca="1">IFERROR(__xludf.DUMMYFUNCTION("""COMPUTED_VALUE"""),"VW")</f>
        <v>VW</v>
      </c>
      <c r="B2073" s="119" t="str">
        <f ca="1">IFERROR(__xludf.DUMMYFUNCTION("""COMPUTED_VALUE"""),"Mount Richmond")</f>
        <v>Mount Richmond</v>
      </c>
      <c r="C2073" s="118">
        <f ca="1">IFERROR(__xludf.DUMMYFUNCTION("""COMPUTED_VALUE"""),13)</f>
        <v>13</v>
      </c>
      <c r="D2073" s="118" t="str">
        <f ca="1">IFERROR(__xludf.DUMMYFUNCTION("""COMPUTED_VALUE"""),"B")</f>
        <v>B</v>
      </c>
      <c r="E2073" s="118" t="str">
        <f ca="1">IFERROR(__xludf.DUMMYFUNCTION("""COMPUTED_VALUE"""),"I")</f>
        <v>I</v>
      </c>
      <c r="F2073" s="124" t="str">
        <f ca="1">IFERROR(__xludf.DUMMYFUNCTION("""COMPUTED_VALUE"""),"S")</f>
        <v>S</v>
      </c>
      <c r="G2073" s="124">
        <f ca="1">IFERROR(__xludf.DUMMYFUNCTION("""COMPUTED_VALUE"""),1)</f>
        <v>1</v>
      </c>
      <c r="H2073" s="124" t="str">
        <f ca="1">IFERROR(__xludf.DUMMYFUNCTION("""COMPUTED_VALUE"""),"VW")</f>
        <v>VW</v>
      </c>
      <c r="I2073" s="124">
        <f ca="1">IFERROR(__xludf.DUMMYFUNCTION("""COMPUTED_VALUE"""),9)</f>
        <v>9</v>
      </c>
      <c r="J2073" s="124">
        <f ca="1">IFERROR(__xludf.DUMMYFUNCTION("""COMPUTED_VALUE"""),5)</f>
        <v>5</v>
      </c>
      <c r="K2073" s="125">
        <f ca="1">IFERROR(__xludf.DUMMYFUNCTION("""COMPUTED_VALUE"""),127.05)</f>
        <v>127.05</v>
      </c>
      <c r="L2073" s="121"/>
      <c r="M2073" s="125">
        <f ca="1">IFERROR(__xludf.DUMMYFUNCTION("""COMPUTED_VALUE"""),115.6)</f>
        <v>115.6</v>
      </c>
      <c r="N2073" s="121"/>
      <c r="O2073" s="125">
        <f ca="1">IFERROR(__xludf.DUMMYFUNCTION("""COMPUTED_VALUE"""),119.85)</f>
        <v>119.85</v>
      </c>
      <c r="P2073" s="126"/>
      <c r="Q2073" s="127"/>
      <c r="R2073" s="127"/>
      <c r="S2073" s="127"/>
      <c r="T2073" s="127"/>
    </row>
    <row r="2074" spans="1:20" ht="13.8">
      <c r="A2074" s="118" t="str">
        <f ca="1">IFERROR(__xludf.DUMMYFUNCTION("""COMPUTED_VALUE"""),"VW")</f>
        <v>VW</v>
      </c>
      <c r="B2074" s="119" t="str">
        <f ca="1">IFERROR(__xludf.DUMMYFUNCTION("""COMPUTED_VALUE"""),"Peyton Reed")</f>
        <v>Peyton Reed</v>
      </c>
      <c r="C2074" s="118">
        <f ca="1">IFERROR(__xludf.DUMMYFUNCTION("""COMPUTED_VALUE"""),14)</f>
        <v>14</v>
      </c>
      <c r="D2074" s="118" t="str">
        <f ca="1">IFERROR(__xludf.DUMMYFUNCTION("""COMPUTED_VALUE"""),"B")</f>
        <v>B</v>
      </c>
      <c r="E2074" s="118" t="str">
        <f ca="1">IFERROR(__xludf.DUMMYFUNCTION("""COMPUTED_VALUE"""),"I")</f>
        <v>I</v>
      </c>
      <c r="F2074" s="124" t="str">
        <f ca="1">IFERROR(__xludf.DUMMYFUNCTION("""COMPUTED_VALUE"""),"S")</f>
        <v>S</v>
      </c>
      <c r="G2074" s="124">
        <f ca="1">IFERROR(__xludf.DUMMYFUNCTION("""COMPUTED_VALUE"""),1)</f>
        <v>1</v>
      </c>
      <c r="H2074" s="124" t="str">
        <f ca="1">IFERROR(__xludf.DUMMYFUNCTION("""COMPUTED_VALUE"""),"VW")</f>
        <v>VW</v>
      </c>
      <c r="I2074" s="124">
        <f ca="1">IFERROR(__xludf.DUMMYFUNCTION("""COMPUTED_VALUE"""),9)</f>
        <v>9</v>
      </c>
      <c r="J2074" s="124">
        <f ca="1">IFERROR(__xludf.DUMMYFUNCTION("""COMPUTED_VALUE"""),5)</f>
        <v>5</v>
      </c>
      <c r="K2074" s="125">
        <f ca="1">IFERROR(__xludf.DUMMYFUNCTION("""COMPUTED_VALUE"""),206.6)</f>
        <v>206.6</v>
      </c>
      <c r="L2074" s="121"/>
      <c r="M2074" s="125">
        <f ca="1">IFERROR(__xludf.DUMMYFUNCTION("""COMPUTED_VALUE"""),206.6)</f>
        <v>206.6</v>
      </c>
      <c r="N2074" s="121"/>
      <c r="O2074" s="125">
        <f ca="1">IFERROR(__xludf.DUMMYFUNCTION("""COMPUTED_VALUE"""),191.7)</f>
        <v>191.7</v>
      </c>
      <c r="P2074" s="126"/>
      <c r="Q2074" s="127"/>
      <c r="R2074" s="127"/>
      <c r="S2074" s="127"/>
      <c r="T2074" s="127"/>
    </row>
    <row r="2075" spans="1:20" ht="13.8">
      <c r="A2075" s="118" t="str">
        <f ca="1">IFERROR(__xludf.DUMMYFUNCTION("""COMPUTED_VALUE"""),"VW")</f>
        <v>VW</v>
      </c>
      <c r="B2075" s="119" t="str">
        <f ca="1">IFERROR(__xludf.DUMMYFUNCTION("""COMPUTED_VALUE"""),"Marleigh daSilva")</f>
        <v>Marleigh daSilva</v>
      </c>
      <c r="C2075" s="118">
        <f ca="1">IFERROR(__xludf.DUMMYFUNCTION("""COMPUTED_VALUE"""),16)</f>
        <v>16</v>
      </c>
      <c r="D2075" s="118" t="str">
        <f ca="1">IFERROR(__xludf.DUMMYFUNCTION("""COMPUTED_VALUE"""),"G")</f>
        <v>G</v>
      </c>
      <c r="E2075" s="118" t="str">
        <f ca="1">IFERROR(__xludf.DUMMYFUNCTION("""COMPUTED_VALUE"""),"S")</f>
        <v>S</v>
      </c>
      <c r="F2075" s="124" t="str">
        <f ca="1">IFERROR(__xludf.DUMMYFUNCTION("""COMPUTED_VALUE"""),"S")</f>
        <v>S</v>
      </c>
      <c r="G2075" s="124">
        <f ca="1">IFERROR(__xludf.DUMMYFUNCTION("""COMPUTED_VALUE"""),1)</f>
        <v>1</v>
      </c>
      <c r="H2075" s="124" t="str">
        <f ca="1">IFERROR(__xludf.DUMMYFUNCTION("""COMPUTED_VALUE"""),"VW")</f>
        <v>VW</v>
      </c>
      <c r="I2075" s="124">
        <f ca="1">IFERROR(__xludf.DUMMYFUNCTION("""COMPUTED_VALUE"""),10)</f>
        <v>10</v>
      </c>
      <c r="J2075" s="124">
        <f ca="1">IFERROR(__xludf.DUMMYFUNCTION("""COMPUTED_VALUE"""),0)</f>
        <v>0</v>
      </c>
      <c r="K2075" s="125"/>
      <c r="L2075" s="121"/>
      <c r="M2075" s="125"/>
      <c r="N2075" s="121"/>
      <c r="O2075" s="125"/>
      <c r="P2075" s="126"/>
      <c r="Q2075" s="127"/>
      <c r="R2075" s="127"/>
      <c r="S2075" s="127"/>
      <c r="T2075" s="127"/>
    </row>
    <row r="2076" spans="1:20" ht="13.8">
      <c r="A2076" s="118" t="str">
        <f ca="1">IFERROR(__xludf.DUMMYFUNCTION("""COMPUTED_VALUE"""),"VW")</f>
        <v>VW</v>
      </c>
      <c r="B2076" s="119" t="str">
        <f ca="1">IFERROR(__xludf.DUMMYFUNCTION("""COMPUTED_VALUE"""),"Sophie Bourdelais")</f>
        <v>Sophie Bourdelais</v>
      </c>
      <c r="C2076" s="118">
        <f ca="1">IFERROR(__xludf.DUMMYFUNCTION("""COMPUTED_VALUE"""),15)</f>
        <v>15</v>
      </c>
      <c r="D2076" s="118" t="str">
        <f ca="1">IFERROR(__xludf.DUMMYFUNCTION("""COMPUTED_VALUE"""),"G")</f>
        <v>G</v>
      </c>
      <c r="E2076" s="118" t="str">
        <f ca="1">IFERROR(__xludf.DUMMYFUNCTION("""COMPUTED_VALUE"""),"S")</f>
        <v>S</v>
      </c>
      <c r="F2076" s="124" t="str">
        <f ca="1">IFERROR(__xludf.DUMMYFUNCTION("""COMPUTED_VALUE"""),"S")</f>
        <v>S</v>
      </c>
      <c r="G2076" s="124">
        <f ca="1">IFERROR(__xludf.DUMMYFUNCTION("""COMPUTED_VALUE"""),1)</f>
        <v>1</v>
      </c>
      <c r="H2076" s="124" t="str">
        <f ca="1">IFERROR(__xludf.DUMMYFUNCTION("""COMPUTED_VALUE"""),"VW")</f>
        <v>VW</v>
      </c>
      <c r="I2076" s="124">
        <f ca="1">IFERROR(__xludf.DUMMYFUNCTION("""COMPUTED_VALUE"""),10)</f>
        <v>10</v>
      </c>
      <c r="J2076" s="124">
        <f ca="1">IFERROR(__xludf.DUMMYFUNCTION("""COMPUTED_VALUE"""),4)</f>
        <v>4</v>
      </c>
      <c r="K2076" s="125">
        <f ca="1">IFERROR(__xludf.DUMMYFUNCTION("""COMPUTED_VALUE"""),156.6)</f>
        <v>156.6</v>
      </c>
      <c r="L2076" s="121"/>
      <c r="M2076" s="125">
        <f ca="1">IFERROR(__xludf.DUMMYFUNCTION("""COMPUTED_VALUE"""),137.4)</f>
        <v>137.4</v>
      </c>
      <c r="N2076" s="121"/>
      <c r="O2076" s="125"/>
      <c r="P2076" s="126"/>
      <c r="Q2076" s="127"/>
      <c r="R2076" s="127"/>
      <c r="S2076" s="127"/>
      <c r="T2076" s="127"/>
    </row>
    <row r="2077" spans="1:20" ht="13.8">
      <c r="A2077" s="118" t="str">
        <f ca="1">IFERROR(__xludf.DUMMYFUNCTION("""COMPUTED_VALUE"""),"VW")</f>
        <v>VW</v>
      </c>
      <c r="B2077" s="119" t="str">
        <f ca="1">IFERROR(__xludf.DUMMYFUNCTION("""COMPUTED_VALUE"""),"Dylan Paci")</f>
        <v>Dylan Paci</v>
      </c>
      <c r="C2077" s="118">
        <f ca="1">IFERROR(__xludf.DUMMYFUNCTION("""COMPUTED_VALUE"""),17)</f>
        <v>17</v>
      </c>
      <c r="D2077" s="118" t="str">
        <f ca="1">IFERROR(__xludf.DUMMYFUNCTION("""COMPUTED_VALUE"""),"B")</f>
        <v>B</v>
      </c>
      <c r="E2077" s="118" t="str">
        <f ca="1">IFERROR(__xludf.DUMMYFUNCTION("""COMPUTED_VALUE"""),"S")</f>
        <v>S</v>
      </c>
      <c r="F2077" s="124" t="str">
        <f ca="1">IFERROR(__xludf.DUMMYFUNCTION("""COMPUTED_VALUE"""),"S")</f>
        <v>S</v>
      </c>
      <c r="G2077" s="124">
        <f ca="1">IFERROR(__xludf.DUMMYFUNCTION("""COMPUTED_VALUE"""),1)</f>
        <v>1</v>
      </c>
      <c r="H2077" s="124" t="str">
        <f ca="1">IFERROR(__xludf.DUMMYFUNCTION("""COMPUTED_VALUE"""),"VW")</f>
        <v>VW</v>
      </c>
      <c r="I2077" s="124">
        <f ca="1">IFERROR(__xludf.DUMMYFUNCTION("""COMPUTED_VALUE"""),11)</f>
        <v>11</v>
      </c>
      <c r="J2077" s="124">
        <f ca="1">IFERROR(__xludf.DUMMYFUNCTION("""COMPUTED_VALUE"""),5)</f>
        <v>5</v>
      </c>
      <c r="K2077" s="125">
        <f ca="1">IFERROR(__xludf.DUMMYFUNCTION("""COMPUTED_VALUE"""),226.1)</f>
        <v>226.1</v>
      </c>
      <c r="L2077" s="121"/>
      <c r="M2077" s="125">
        <f ca="1">IFERROR(__xludf.DUMMYFUNCTION("""COMPUTED_VALUE"""),215.55)</f>
        <v>215.55</v>
      </c>
      <c r="N2077" s="121"/>
      <c r="O2077" s="125">
        <f ca="1">IFERROR(__xludf.DUMMYFUNCTION("""COMPUTED_VALUE"""),226.1)</f>
        <v>226.1</v>
      </c>
      <c r="P2077" s="126"/>
      <c r="Q2077" s="127"/>
      <c r="R2077" s="127"/>
      <c r="S2077" s="127"/>
      <c r="T2077" s="127"/>
    </row>
    <row r="2078" spans="1:20" ht="13.8">
      <c r="A2078" s="118" t="str">
        <f ca="1">IFERROR(__xludf.DUMMYFUNCTION("""COMPUTED_VALUE"""),"VW")</f>
        <v>VW</v>
      </c>
      <c r="B2078" s="119" t="str">
        <f ca="1">IFERROR(__xludf.DUMMYFUNCTION("""COMPUTED_VALUE"""),"Ivor Brown")</f>
        <v>Ivor Brown</v>
      </c>
      <c r="C2078" s="118">
        <f ca="1">IFERROR(__xludf.DUMMYFUNCTION("""COMPUTED_VALUE"""),16)</f>
        <v>16</v>
      </c>
      <c r="D2078" s="118" t="str">
        <f ca="1">IFERROR(__xludf.DUMMYFUNCTION("""COMPUTED_VALUE"""),"B")</f>
        <v>B</v>
      </c>
      <c r="E2078" s="118" t="str">
        <f ca="1">IFERROR(__xludf.DUMMYFUNCTION("""COMPUTED_VALUE"""),"S")</f>
        <v>S</v>
      </c>
      <c r="F2078" s="124" t="str">
        <f ca="1">IFERROR(__xludf.DUMMYFUNCTION("""COMPUTED_VALUE"""),"S")</f>
        <v>S</v>
      </c>
      <c r="G2078" s="124">
        <f ca="1">IFERROR(__xludf.DUMMYFUNCTION("""COMPUTED_VALUE"""),1)</f>
        <v>1</v>
      </c>
      <c r="H2078" s="124" t="str">
        <f ca="1">IFERROR(__xludf.DUMMYFUNCTION("""COMPUTED_VALUE"""),"VW")</f>
        <v>VW</v>
      </c>
      <c r="I2078" s="124">
        <f ca="1">IFERROR(__xludf.DUMMYFUNCTION("""COMPUTED_VALUE"""),11)</f>
        <v>11</v>
      </c>
      <c r="J2078" s="124">
        <f ca="1">IFERROR(__xludf.DUMMYFUNCTION("""COMPUTED_VALUE"""),3)</f>
        <v>3</v>
      </c>
      <c r="K2078" s="125">
        <f ca="1">IFERROR(__xludf.DUMMYFUNCTION("""COMPUTED_VALUE"""),286.4)</f>
        <v>286.39999999999998</v>
      </c>
      <c r="L2078" s="121"/>
      <c r="M2078" s="125">
        <f ca="1">IFERROR(__xludf.DUMMYFUNCTION("""COMPUTED_VALUE"""),286.4)</f>
        <v>286.39999999999998</v>
      </c>
      <c r="N2078" s="121"/>
      <c r="O2078" s="125"/>
      <c r="P2078" s="126"/>
      <c r="Q2078" s="127"/>
      <c r="R2078" s="127"/>
      <c r="S2078" s="127"/>
      <c r="T2078" s="127"/>
    </row>
    <row r="2079" spans="1:20" ht="13.8">
      <c r="A2079" s="118" t="str">
        <f ca="1">IFERROR(__xludf.DUMMYFUNCTION("""COMPUTED_VALUE"""),"VW")</f>
        <v>VW</v>
      </c>
      <c r="B2079" s="119" t="str">
        <f ca="1">IFERROR(__xludf.DUMMYFUNCTION("""COMPUTED_VALUE"""),"Nick Wanzer")</f>
        <v>Nick Wanzer</v>
      </c>
      <c r="C2079" s="118">
        <f ca="1">IFERROR(__xludf.DUMMYFUNCTION("""COMPUTED_VALUE"""),18)</f>
        <v>18</v>
      </c>
      <c r="D2079" s="118" t="str">
        <f ca="1">IFERROR(__xludf.DUMMYFUNCTION("""COMPUTED_VALUE"""),"B")</f>
        <v>B</v>
      </c>
      <c r="E2079" s="118" t="str">
        <f ca="1">IFERROR(__xludf.DUMMYFUNCTION("""COMPUTED_VALUE"""),"S")</f>
        <v>S</v>
      </c>
      <c r="F2079" s="124" t="str">
        <f ca="1">IFERROR(__xludf.DUMMYFUNCTION("""COMPUTED_VALUE"""),"S")</f>
        <v>S</v>
      </c>
      <c r="G2079" s="124">
        <f ca="1">IFERROR(__xludf.DUMMYFUNCTION("""COMPUTED_VALUE"""),1)</f>
        <v>1</v>
      </c>
      <c r="H2079" s="124" t="str">
        <f ca="1">IFERROR(__xludf.DUMMYFUNCTION("""COMPUTED_VALUE"""),"VW")</f>
        <v>VW</v>
      </c>
      <c r="I2079" s="124">
        <f ca="1">IFERROR(__xludf.DUMMYFUNCTION("""COMPUTED_VALUE"""),11)</f>
        <v>11</v>
      </c>
      <c r="J2079" s="124">
        <f ca="1">IFERROR(__xludf.DUMMYFUNCTION("""COMPUTED_VALUE"""),4)</f>
        <v>4</v>
      </c>
      <c r="K2079" s="125">
        <f ca="1">IFERROR(__xludf.DUMMYFUNCTION("""COMPUTED_VALUE"""),277.25)</f>
        <v>277.25</v>
      </c>
      <c r="L2079" s="121"/>
      <c r="M2079" s="125">
        <f ca="1">IFERROR(__xludf.DUMMYFUNCTION("""COMPUTED_VALUE"""),223.85)</f>
        <v>223.85</v>
      </c>
      <c r="N2079" s="121"/>
      <c r="O2079" s="125">
        <f ca="1">IFERROR(__xludf.DUMMYFUNCTION("""COMPUTED_VALUE"""),235.45)</f>
        <v>235.45</v>
      </c>
      <c r="P2079" s="126"/>
      <c r="Q2079" s="127"/>
      <c r="R2079" s="127"/>
      <c r="S2079" s="127"/>
      <c r="T2079" s="127"/>
    </row>
    <row r="2080" spans="1:20" ht="13.8">
      <c r="A2080" s="118" t="str">
        <f ca="1">IFERROR(__xludf.DUMMYFUNCTION("""COMPUTED_VALUE"""),"VW")</f>
        <v>VW</v>
      </c>
      <c r="B2080" s="119" t="str">
        <f ca="1">IFERROR(__xludf.DUMMYFUNCTION("""COMPUTED_VALUE"""),"Noah Wanzer")</f>
        <v>Noah Wanzer</v>
      </c>
      <c r="C2080" s="118">
        <f ca="1">IFERROR(__xludf.DUMMYFUNCTION("""COMPUTED_VALUE"""),18)</f>
        <v>18</v>
      </c>
      <c r="D2080" s="118" t="str">
        <f ca="1">IFERROR(__xludf.DUMMYFUNCTION("""COMPUTED_VALUE"""),"B")</f>
        <v>B</v>
      </c>
      <c r="E2080" s="118" t="str">
        <f ca="1">IFERROR(__xludf.DUMMYFUNCTION("""COMPUTED_VALUE"""),"S")</f>
        <v>S</v>
      </c>
      <c r="F2080" s="124" t="str">
        <f ca="1">IFERROR(__xludf.DUMMYFUNCTION("""COMPUTED_VALUE"""),"S")</f>
        <v>S</v>
      </c>
      <c r="G2080" s="124">
        <f ca="1">IFERROR(__xludf.DUMMYFUNCTION("""COMPUTED_VALUE"""),1)</f>
        <v>1</v>
      </c>
      <c r="H2080" s="124" t="str">
        <f ca="1">IFERROR(__xludf.DUMMYFUNCTION("""COMPUTED_VALUE"""),"VW")</f>
        <v>VW</v>
      </c>
      <c r="I2080" s="124">
        <f ca="1">IFERROR(__xludf.DUMMYFUNCTION("""COMPUTED_VALUE"""),11)</f>
        <v>11</v>
      </c>
      <c r="J2080" s="124">
        <f ca="1">IFERROR(__xludf.DUMMYFUNCTION("""COMPUTED_VALUE"""),3)</f>
        <v>3</v>
      </c>
      <c r="K2080" s="125">
        <f ca="1">IFERROR(__xludf.DUMMYFUNCTION("""COMPUTED_VALUE"""),231.4)</f>
        <v>231.4</v>
      </c>
      <c r="L2080" s="121"/>
      <c r="M2080" s="125"/>
      <c r="N2080" s="121"/>
      <c r="O2080" s="125">
        <f ca="1">IFERROR(__xludf.DUMMYFUNCTION("""COMPUTED_VALUE"""),221.75)</f>
        <v>221.75</v>
      </c>
      <c r="P2080" s="126"/>
      <c r="Q2080" s="127"/>
      <c r="R2080" s="127"/>
      <c r="S2080" s="127"/>
      <c r="T2080" s="127"/>
    </row>
    <row r="2081" spans="1:20" ht="13.8">
      <c r="A2081" s="118" t="str">
        <f ca="1">IFERROR(__xludf.DUMMYFUNCTION("""COMPUTED_VALUE"""),"W")</f>
        <v>W</v>
      </c>
      <c r="B2081" s="119" t="str">
        <f ca="1">IFERROR(__xludf.DUMMYFUNCTION("""COMPUTED_VALUE"""),"Aurora Davison")</f>
        <v>Aurora Davison</v>
      </c>
      <c r="C2081" s="118">
        <f ca="1">IFERROR(__xludf.DUMMYFUNCTION("""COMPUTED_VALUE"""),8)</f>
        <v>8</v>
      </c>
      <c r="D2081" s="118" t="str">
        <f ca="1">IFERROR(__xludf.DUMMYFUNCTION("""COMPUTED_VALUE"""),"G")</f>
        <v>G</v>
      </c>
      <c r="E2081" s="118" t="str">
        <f ca="1">IFERROR(__xludf.DUMMYFUNCTION("""COMPUTED_VALUE"""),"F")</f>
        <v>F</v>
      </c>
      <c r="F2081" s="124" t="str">
        <f ca="1">IFERROR(__xludf.DUMMYFUNCTION("""COMPUTED_VALUE"""),"J")</f>
        <v>J</v>
      </c>
      <c r="G2081" s="124">
        <f ca="1">IFERROR(__xludf.DUMMYFUNCTION("""COMPUTED_VALUE"""),4)</f>
        <v>4</v>
      </c>
      <c r="H2081" s="124" t="str">
        <f ca="1">IFERROR(__xludf.DUMMYFUNCTION("""COMPUTED_VALUE"""),"W")</f>
        <v>W</v>
      </c>
      <c r="I2081" s="124">
        <f ca="1">IFERROR(__xludf.DUMMYFUNCTION("""COMPUTED_VALUE"""),4)</f>
        <v>4</v>
      </c>
      <c r="J2081" s="124">
        <f ca="1">IFERROR(__xludf.DUMMYFUNCTION("""COMPUTED_VALUE"""),3)</f>
        <v>3</v>
      </c>
      <c r="K2081" s="125">
        <f ca="1">IFERROR(__xludf.DUMMYFUNCTION("""COMPUTED_VALUE"""),59.1)</f>
        <v>59.1</v>
      </c>
      <c r="L2081" s="121"/>
      <c r="M2081" s="125">
        <f ca="1">IFERROR(__xludf.DUMMYFUNCTION("""COMPUTED_VALUE"""),59.1)</f>
        <v>59.1</v>
      </c>
      <c r="N2081" s="121"/>
      <c r="O2081" s="125"/>
      <c r="P2081" s="126"/>
      <c r="Q2081" s="127"/>
      <c r="R2081" s="127"/>
      <c r="S2081" s="127"/>
      <c r="T2081" s="127"/>
    </row>
    <row r="2082" spans="1:20" ht="13.8">
      <c r="A2082" s="118" t="str">
        <f ca="1">IFERROR(__xludf.DUMMYFUNCTION("""COMPUTED_VALUE"""),"W")</f>
        <v>W</v>
      </c>
      <c r="B2082" s="119" t="str">
        <f ca="1">IFERROR(__xludf.DUMMYFUNCTION("""COMPUTED_VALUE"""),"Cozzy Erwin")</f>
        <v>Cozzy Erwin</v>
      </c>
      <c r="C2082" s="118">
        <f ca="1">IFERROR(__xludf.DUMMYFUNCTION("""COMPUTED_VALUE"""),6)</f>
        <v>6</v>
      </c>
      <c r="D2082" s="118" t="str">
        <f ca="1">IFERROR(__xludf.DUMMYFUNCTION("""COMPUTED_VALUE"""),"G")</f>
        <v>G</v>
      </c>
      <c r="E2082" s="118" t="str">
        <f ca="1">IFERROR(__xludf.DUMMYFUNCTION("""COMPUTED_VALUE"""),"F")</f>
        <v>F</v>
      </c>
      <c r="F2082" s="124" t="str">
        <f ca="1">IFERROR(__xludf.DUMMYFUNCTION("""COMPUTED_VALUE"""),"J")</f>
        <v>J</v>
      </c>
      <c r="G2082" s="124">
        <f ca="1">IFERROR(__xludf.DUMMYFUNCTION("""COMPUTED_VALUE"""),4)</f>
        <v>4</v>
      </c>
      <c r="H2082" s="124" t="str">
        <f ca="1">IFERROR(__xludf.DUMMYFUNCTION("""COMPUTED_VALUE"""),"W")</f>
        <v>W</v>
      </c>
      <c r="I2082" s="124">
        <f ca="1">IFERROR(__xludf.DUMMYFUNCTION("""COMPUTED_VALUE"""),4)</f>
        <v>4</v>
      </c>
      <c r="J2082" s="124">
        <f ca="1">IFERROR(__xludf.DUMMYFUNCTION("""COMPUTED_VALUE"""),2)</f>
        <v>2</v>
      </c>
      <c r="K2082" s="125">
        <f ca="1">IFERROR(__xludf.DUMMYFUNCTION("""COMPUTED_VALUE"""),19.75)</f>
        <v>19.75</v>
      </c>
      <c r="L2082" s="121"/>
      <c r="M2082" s="125"/>
      <c r="N2082" s="121"/>
      <c r="O2082" s="125"/>
      <c r="P2082" s="126"/>
      <c r="Q2082" s="127"/>
      <c r="R2082" s="127"/>
      <c r="S2082" s="127"/>
      <c r="T2082" s="127"/>
    </row>
    <row r="2083" spans="1:20" ht="13.8">
      <c r="A2083" s="118" t="str">
        <f ca="1">IFERROR(__xludf.DUMMYFUNCTION("""COMPUTED_VALUE"""),"W")</f>
        <v>W</v>
      </c>
      <c r="B2083" s="119" t="str">
        <f ca="1">IFERROR(__xludf.DUMMYFUNCTION("""COMPUTED_VALUE"""),"Deya Sidhu")</f>
        <v>Deya Sidhu</v>
      </c>
      <c r="C2083" s="118">
        <f ca="1">IFERROR(__xludf.DUMMYFUNCTION("""COMPUTED_VALUE"""),8)</f>
        <v>8</v>
      </c>
      <c r="D2083" s="118" t="str">
        <f ca="1">IFERROR(__xludf.DUMMYFUNCTION("""COMPUTED_VALUE"""),"G")</f>
        <v>G</v>
      </c>
      <c r="E2083" s="118" t="str">
        <f ca="1">IFERROR(__xludf.DUMMYFUNCTION("""COMPUTED_VALUE"""),"F")</f>
        <v>F</v>
      </c>
      <c r="F2083" s="124" t="str">
        <f ca="1">IFERROR(__xludf.DUMMYFUNCTION("""COMPUTED_VALUE"""),"J")</f>
        <v>J</v>
      </c>
      <c r="G2083" s="124">
        <f ca="1">IFERROR(__xludf.DUMMYFUNCTION("""COMPUTED_VALUE"""),4)</f>
        <v>4</v>
      </c>
      <c r="H2083" s="124" t="str">
        <f ca="1">IFERROR(__xludf.DUMMYFUNCTION("""COMPUTED_VALUE"""),"W")</f>
        <v>W</v>
      </c>
      <c r="I2083" s="124">
        <f ca="1">IFERROR(__xludf.DUMMYFUNCTION("""COMPUTED_VALUE"""),4)</f>
        <v>4</v>
      </c>
      <c r="J2083" s="124">
        <f ca="1">IFERROR(__xludf.DUMMYFUNCTION("""COMPUTED_VALUE"""),0)</f>
        <v>0</v>
      </c>
      <c r="K2083" s="125"/>
      <c r="L2083" s="121"/>
      <c r="M2083" s="125"/>
      <c r="N2083" s="121"/>
      <c r="O2083" s="125"/>
      <c r="P2083" s="126"/>
      <c r="Q2083" s="127"/>
      <c r="R2083" s="127"/>
      <c r="S2083" s="127"/>
      <c r="T2083" s="127"/>
    </row>
    <row r="2084" spans="1:20" ht="13.8">
      <c r="A2084" s="118" t="str">
        <f ca="1">IFERROR(__xludf.DUMMYFUNCTION("""COMPUTED_VALUE"""),"W")</f>
        <v>W</v>
      </c>
      <c r="B2084" s="119" t="str">
        <f ca="1">IFERROR(__xludf.DUMMYFUNCTION("""COMPUTED_VALUE"""),"Effie Erwin")</f>
        <v>Effie Erwin</v>
      </c>
      <c r="C2084" s="118">
        <f ca="1">IFERROR(__xludf.DUMMYFUNCTION("""COMPUTED_VALUE"""),10)</f>
        <v>10</v>
      </c>
      <c r="D2084" s="118" t="str">
        <f ca="1">IFERROR(__xludf.DUMMYFUNCTION("""COMPUTED_VALUE"""),"G")</f>
        <v>G</v>
      </c>
      <c r="E2084" s="118" t="str">
        <f ca="1">IFERROR(__xludf.DUMMYFUNCTION("""COMPUTED_VALUE"""),"F")</f>
        <v>F</v>
      </c>
      <c r="F2084" s="124" t="str">
        <f ca="1">IFERROR(__xludf.DUMMYFUNCTION("""COMPUTED_VALUE"""),"J")</f>
        <v>J</v>
      </c>
      <c r="G2084" s="124">
        <f ca="1">IFERROR(__xludf.DUMMYFUNCTION("""COMPUTED_VALUE"""),4)</f>
        <v>4</v>
      </c>
      <c r="H2084" s="124" t="str">
        <f ca="1">IFERROR(__xludf.DUMMYFUNCTION("""COMPUTED_VALUE"""),"W")</f>
        <v>W</v>
      </c>
      <c r="I2084" s="124">
        <f ca="1">IFERROR(__xludf.DUMMYFUNCTION("""COMPUTED_VALUE"""),4)</f>
        <v>4</v>
      </c>
      <c r="J2084" s="124">
        <f ca="1">IFERROR(__xludf.DUMMYFUNCTION("""COMPUTED_VALUE"""),5)</f>
        <v>5</v>
      </c>
      <c r="K2084" s="125">
        <f ca="1">IFERROR(__xludf.DUMMYFUNCTION("""COMPUTED_VALUE"""),50.25)</f>
        <v>50.25</v>
      </c>
      <c r="L2084" s="121"/>
      <c r="M2084" s="125">
        <f ca="1">IFERROR(__xludf.DUMMYFUNCTION("""COMPUTED_VALUE"""),49.15)</f>
        <v>49.15</v>
      </c>
      <c r="N2084" s="121"/>
      <c r="O2084" s="125">
        <f ca="1">IFERROR(__xludf.DUMMYFUNCTION("""COMPUTED_VALUE"""),50.25)</f>
        <v>50.25</v>
      </c>
      <c r="P2084" s="126"/>
      <c r="Q2084" s="127"/>
      <c r="R2084" s="127"/>
      <c r="S2084" s="127"/>
      <c r="T2084" s="127"/>
    </row>
    <row r="2085" spans="1:20" ht="13.8">
      <c r="A2085" s="118" t="str">
        <f ca="1">IFERROR(__xludf.DUMMYFUNCTION("""COMPUTED_VALUE"""),"W")</f>
        <v>W</v>
      </c>
      <c r="B2085" s="119" t="str">
        <f ca="1">IFERROR(__xludf.DUMMYFUNCTION("""COMPUTED_VALUE"""),"Emerie Woods")</f>
        <v>Emerie Woods</v>
      </c>
      <c r="C2085" s="118">
        <f ca="1">IFERROR(__xludf.DUMMYFUNCTION("""COMPUTED_VALUE"""),10)</f>
        <v>10</v>
      </c>
      <c r="D2085" s="118" t="str">
        <f ca="1">IFERROR(__xludf.DUMMYFUNCTION("""COMPUTED_VALUE"""),"G")</f>
        <v>G</v>
      </c>
      <c r="E2085" s="118" t="str">
        <f ca="1">IFERROR(__xludf.DUMMYFUNCTION("""COMPUTED_VALUE"""),"F")</f>
        <v>F</v>
      </c>
      <c r="F2085" s="124" t="str">
        <f ca="1">IFERROR(__xludf.DUMMYFUNCTION("""COMPUTED_VALUE"""),"J")</f>
        <v>J</v>
      </c>
      <c r="G2085" s="124">
        <f ca="1">IFERROR(__xludf.DUMMYFUNCTION("""COMPUTED_VALUE"""),4)</f>
        <v>4</v>
      </c>
      <c r="H2085" s="124" t="str">
        <f ca="1">IFERROR(__xludf.DUMMYFUNCTION("""COMPUTED_VALUE"""),"W")</f>
        <v>W</v>
      </c>
      <c r="I2085" s="124">
        <f ca="1">IFERROR(__xludf.DUMMYFUNCTION("""COMPUTED_VALUE"""),4)</f>
        <v>4</v>
      </c>
      <c r="J2085" s="124">
        <f ca="1">IFERROR(__xludf.DUMMYFUNCTION("""COMPUTED_VALUE"""),5)</f>
        <v>5</v>
      </c>
      <c r="K2085" s="125">
        <f ca="1">IFERROR(__xludf.DUMMYFUNCTION("""COMPUTED_VALUE"""),64.05)</f>
        <v>64.05</v>
      </c>
      <c r="L2085" s="121"/>
      <c r="M2085" s="125">
        <f ca="1">IFERROR(__xludf.DUMMYFUNCTION("""COMPUTED_VALUE"""),62.25)</f>
        <v>62.25</v>
      </c>
      <c r="N2085" s="121"/>
      <c r="O2085" s="125">
        <f ca="1">IFERROR(__xludf.DUMMYFUNCTION("""COMPUTED_VALUE"""),60.35)</f>
        <v>60.35</v>
      </c>
      <c r="P2085" s="126"/>
      <c r="Q2085" s="127"/>
      <c r="R2085" s="127"/>
      <c r="S2085" s="127"/>
      <c r="T2085" s="127"/>
    </row>
    <row r="2086" spans="1:20" ht="13.8">
      <c r="A2086" s="118" t="str">
        <f ca="1">IFERROR(__xludf.DUMMYFUNCTION("""COMPUTED_VALUE"""),"W")</f>
        <v>W</v>
      </c>
      <c r="B2086" s="119" t="str">
        <f ca="1">IFERROR(__xludf.DUMMYFUNCTION("""COMPUTED_VALUE"""),"Isabelle Hoover")</f>
        <v>Isabelle Hoover</v>
      </c>
      <c r="C2086" s="118">
        <f ca="1">IFERROR(__xludf.DUMMYFUNCTION("""COMPUTED_VALUE"""),7)</f>
        <v>7</v>
      </c>
      <c r="D2086" s="118" t="str">
        <f ca="1">IFERROR(__xludf.DUMMYFUNCTION("""COMPUTED_VALUE"""),"G")</f>
        <v>G</v>
      </c>
      <c r="E2086" s="118" t="str">
        <f ca="1">IFERROR(__xludf.DUMMYFUNCTION("""COMPUTED_VALUE"""),"F")</f>
        <v>F</v>
      </c>
      <c r="F2086" s="124" t="str">
        <f ca="1">IFERROR(__xludf.DUMMYFUNCTION("""COMPUTED_VALUE"""),"J")</f>
        <v>J</v>
      </c>
      <c r="G2086" s="124">
        <f ca="1">IFERROR(__xludf.DUMMYFUNCTION("""COMPUTED_VALUE"""),4)</f>
        <v>4</v>
      </c>
      <c r="H2086" s="124" t="str">
        <f ca="1">IFERROR(__xludf.DUMMYFUNCTION("""COMPUTED_VALUE"""),"W")</f>
        <v>W</v>
      </c>
      <c r="I2086" s="124">
        <f ca="1">IFERROR(__xludf.DUMMYFUNCTION("""COMPUTED_VALUE"""),4)</f>
        <v>4</v>
      </c>
      <c r="J2086" s="124">
        <f ca="1">IFERROR(__xludf.DUMMYFUNCTION("""COMPUTED_VALUE"""),0)</f>
        <v>0</v>
      </c>
      <c r="K2086" s="125"/>
      <c r="L2086" s="121"/>
      <c r="M2086" s="125"/>
      <c r="N2086" s="121"/>
      <c r="O2086" s="125"/>
      <c r="P2086" s="126"/>
      <c r="Q2086" s="127"/>
      <c r="R2086" s="127"/>
      <c r="S2086" s="127"/>
      <c r="T2086" s="127"/>
    </row>
    <row r="2087" spans="1:20" ht="13.8">
      <c r="A2087" s="118" t="str">
        <f ca="1">IFERROR(__xludf.DUMMYFUNCTION("""COMPUTED_VALUE"""),"W")</f>
        <v>W</v>
      </c>
      <c r="B2087" s="119" t="str">
        <f ca="1">IFERROR(__xludf.DUMMYFUNCTION("""COMPUTED_VALUE"""),"Julie Ahern")</f>
        <v>Julie Ahern</v>
      </c>
      <c r="C2087" s="118">
        <f ca="1">IFERROR(__xludf.DUMMYFUNCTION("""COMPUTED_VALUE"""),9)</f>
        <v>9</v>
      </c>
      <c r="D2087" s="118" t="str">
        <f ca="1">IFERROR(__xludf.DUMMYFUNCTION("""COMPUTED_VALUE"""),"G")</f>
        <v>G</v>
      </c>
      <c r="E2087" s="118" t="str">
        <f ca="1">IFERROR(__xludf.DUMMYFUNCTION("""COMPUTED_VALUE"""),"F")</f>
        <v>F</v>
      </c>
      <c r="F2087" s="124" t="str">
        <f ca="1">IFERROR(__xludf.DUMMYFUNCTION("""COMPUTED_VALUE"""),"J")</f>
        <v>J</v>
      </c>
      <c r="G2087" s="124">
        <f ca="1">IFERROR(__xludf.DUMMYFUNCTION("""COMPUTED_VALUE"""),4)</f>
        <v>4</v>
      </c>
      <c r="H2087" s="124" t="str">
        <f ca="1">IFERROR(__xludf.DUMMYFUNCTION("""COMPUTED_VALUE"""),"W")</f>
        <v>W</v>
      </c>
      <c r="I2087" s="124">
        <f ca="1">IFERROR(__xludf.DUMMYFUNCTION("""COMPUTED_VALUE"""),4)</f>
        <v>4</v>
      </c>
      <c r="J2087" s="124">
        <f ca="1">IFERROR(__xludf.DUMMYFUNCTION("""COMPUTED_VALUE"""),0)</f>
        <v>0</v>
      </c>
      <c r="K2087" s="125"/>
      <c r="L2087" s="121"/>
      <c r="M2087" s="125"/>
      <c r="N2087" s="121"/>
      <c r="O2087" s="125"/>
      <c r="P2087" s="126"/>
      <c r="Q2087" s="127"/>
      <c r="R2087" s="127"/>
      <c r="S2087" s="127"/>
      <c r="T2087" s="127"/>
    </row>
    <row r="2088" spans="1:20" ht="13.8">
      <c r="A2088" s="118" t="str">
        <f ca="1">IFERROR(__xludf.DUMMYFUNCTION("""COMPUTED_VALUE"""),"W")</f>
        <v>W</v>
      </c>
      <c r="B2088" s="119" t="str">
        <f ca="1">IFERROR(__xludf.DUMMYFUNCTION("""COMPUTED_VALUE"""),"Matilda Kotania")</f>
        <v>Matilda Kotania</v>
      </c>
      <c r="C2088" s="118">
        <f ca="1">IFERROR(__xludf.DUMMYFUNCTION("""COMPUTED_VALUE"""),6)</f>
        <v>6</v>
      </c>
      <c r="D2088" s="118" t="str">
        <f ca="1">IFERROR(__xludf.DUMMYFUNCTION("""COMPUTED_VALUE"""),"G")</f>
        <v>G</v>
      </c>
      <c r="E2088" s="118" t="str">
        <f ca="1">IFERROR(__xludf.DUMMYFUNCTION("""COMPUTED_VALUE"""),"F")</f>
        <v>F</v>
      </c>
      <c r="F2088" s="124" t="str">
        <f ca="1">IFERROR(__xludf.DUMMYFUNCTION("""COMPUTED_VALUE"""),"J")</f>
        <v>J</v>
      </c>
      <c r="G2088" s="124">
        <f ca="1">IFERROR(__xludf.DUMMYFUNCTION("""COMPUTED_VALUE"""),4)</f>
        <v>4</v>
      </c>
      <c r="H2088" s="124" t="str">
        <f ca="1">IFERROR(__xludf.DUMMYFUNCTION("""COMPUTED_VALUE"""),"W")</f>
        <v>W</v>
      </c>
      <c r="I2088" s="124">
        <f ca="1">IFERROR(__xludf.DUMMYFUNCTION("""COMPUTED_VALUE"""),4)</f>
        <v>4</v>
      </c>
      <c r="J2088" s="124">
        <f ca="1">IFERROR(__xludf.DUMMYFUNCTION("""COMPUTED_VALUE"""),1)</f>
        <v>1</v>
      </c>
      <c r="K2088" s="125"/>
      <c r="L2088" s="121"/>
      <c r="M2088" s="125"/>
      <c r="N2088" s="121"/>
      <c r="O2088" s="125"/>
      <c r="P2088" s="126"/>
      <c r="Q2088" s="127"/>
      <c r="R2088" s="127"/>
      <c r="S2088" s="127"/>
      <c r="T2088" s="127"/>
    </row>
    <row r="2089" spans="1:20" ht="13.8">
      <c r="A2089" s="118" t="str">
        <f ca="1">IFERROR(__xludf.DUMMYFUNCTION("""COMPUTED_VALUE"""),"W")</f>
        <v>W</v>
      </c>
      <c r="B2089" s="119" t="str">
        <f ca="1">IFERROR(__xludf.DUMMYFUNCTION("""COMPUTED_VALUE"""),"Meghan Hetmanski")</f>
        <v>Meghan Hetmanski</v>
      </c>
      <c r="C2089" s="118">
        <f ca="1">IFERROR(__xludf.DUMMYFUNCTION("""COMPUTED_VALUE"""),8)</f>
        <v>8</v>
      </c>
      <c r="D2089" s="118" t="str">
        <f ca="1">IFERROR(__xludf.DUMMYFUNCTION("""COMPUTED_VALUE"""),"G")</f>
        <v>G</v>
      </c>
      <c r="E2089" s="118" t="str">
        <f ca="1">IFERROR(__xludf.DUMMYFUNCTION("""COMPUTED_VALUE"""),"F")</f>
        <v>F</v>
      </c>
      <c r="F2089" s="124" t="str">
        <f ca="1">IFERROR(__xludf.DUMMYFUNCTION("""COMPUTED_VALUE"""),"J")</f>
        <v>J</v>
      </c>
      <c r="G2089" s="124">
        <f ca="1">IFERROR(__xludf.DUMMYFUNCTION("""COMPUTED_VALUE"""),4)</f>
        <v>4</v>
      </c>
      <c r="H2089" s="124" t="str">
        <f ca="1">IFERROR(__xludf.DUMMYFUNCTION("""COMPUTED_VALUE"""),"W")</f>
        <v>W</v>
      </c>
      <c r="I2089" s="124">
        <f ca="1">IFERROR(__xludf.DUMMYFUNCTION("""COMPUTED_VALUE"""),4)</f>
        <v>4</v>
      </c>
      <c r="J2089" s="124">
        <f ca="1">IFERROR(__xludf.DUMMYFUNCTION("""COMPUTED_VALUE"""),4)</f>
        <v>4</v>
      </c>
      <c r="K2089" s="125">
        <f ca="1">IFERROR(__xludf.DUMMYFUNCTION("""COMPUTED_VALUE"""),48.55)</f>
        <v>48.55</v>
      </c>
      <c r="L2089" s="121"/>
      <c r="M2089" s="125">
        <f ca="1">IFERROR(__xludf.DUMMYFUNCTION("""COMPUTED_VALUE"""),40.8)</f>
        <v>40.799999999999997</v>
      </c>
      <c r="N2089" s="121"/>
      <c r="O2089" s="125">
        <f ca="1">IFERROR(__xludf.DUMMYFUNCTION("""COMPUTED_VALUE"""),48.55)</f>
        <v>48.55</v>
      </c>
      <c r="P2089" s="126"/>
      <c r="Q2089" s="127"/>
      <c r="R2089" s="127"/>
      <c r="S2089" s="127"/>
      <c r="T2089" s="127"/>
    </row>
    <row r="2090" spans="1:20" ht="13.8">
      <c r="A2090" s="118" t="str">
        <f ca="1">IFERROR(__xludf.DUMMYFUNCTION("""COMPUTED_VALUE"""),"W")</f>
        <v>W</v>
      </c>
      <c r="B2090" s="119" t="str">
        <f ca="1">IFERROR(__xludf.DUMMYFUNCTION("""COMPUTED_VALUE"""),"Seraphina Davison")</f>
        <v>Seraphina Davison</v>
      </c>
      <c r="C2090" s="118">
        <f ca="1">IFERROR(__xludf.DUMMYFUNCTION("""COMPUTED_VALUE"""),7)</f>
        <v>7</v>
      </c>
      <c r="D2090" s="118" t="str">
        <f ca="1">IFERROR(__xludf.DUMMYFUNCTION("""COMPUTED_VALUE"""),"G")</f>
        <v>G</v>
      </c>
      <c r="E2090" s="118" t="str">
        <f ca="1">IFERROR(__xludf.DUMMYFUNCTION("""COMPUTED_VALUE"""),"F")</f>
        <v>F</v>
      </c>
      <c r="F2090" s="124" t="str">
        <f ca="1">IFERROR(__xludf.DUMMYFUNCTION("""COMPUTED_VALUE"""),"J")</f>
        <v>J</v>
      </c>
      <c r="G2090" s="124">
        <f ca="1">IFERROR(__xludf.DUMMYFUNCTION("""COMPUTED_VALUE"""),4)</f>
        <v>4</v>
      </c>
      <c r="H2090" s="124" t="str">
        <f ca="1">IFERROR(__xludf.DUMMYFUNCTION("""COMPUTED_VALUE"""),"W")</f>
        <v>W</v>
      </c>
      <c r="I2090" s="124">
        <f ca="1">IFERROR(__xludf.DUMMYFUNCTION("""COMPUTED_VALUE"""),4)</f>
        <v>4</v>
      </c>
      <c r="J2090" s="124">
        <f ca="1">IFERROR(__xludf.DUMMYFUNCTION("""COMPUTED_VALUE"""),2)</f>
        <v>2</v>
      </c>
      <c r="K2090" s="125">
        <f ca="1">IFERROR(__xludf.DUMMYFUNCTION("""COMPUTED_VALUE"""),32)</f>
        <v>32</v>
      </c>
      <c r="L2090" s="121"/>
      <c r="M2090" s="125"/>
      <c r="N2090" s="121"/>
      <c r="O2090" s="125"/>
      <c r="P2090" s="126"/>
      <c r="Q2090" s="127"/>
      <c r="R2090" s="127"/>
      <c r="S2090" s="127"/>
      <c r="T2090" s="127"/>
    </row>
    <row r="2091" spans="1:20" ht="13.8">
      <c r="A2091" s="118" t="str">
        <f ca="1">IFERROR(__xludf.DUMMYFUNCTION("""COMPUTED_VALUE"""),"W")</f>
        <v>W</v>
      </c>
      <c r="B2091" s="119" t="str">
        <f ca="1">IFERROR(__xludf.DUMMYFUNCTION("""COMPUTED_VALUE"""),"Daniel Ahern")</f>
        <v>Daniel Ahern</v>
      </c>
      <c r="C2091" s="118">
        <f ca="1">IFERROR(__xludf.DUMMYFUNCTION("""COMPUTED_VALUE"""),5)</f>
        <v>5</v>
      </c>
      <c r="D2091" s="118" t="str">
        <f ca="1">IFERROR(__xludf.DUMMYFUNCTION("""COMPUTED_VALUE"""),"B")</f>
        <v>B</v>
      </c>
      <c r="E2091" s="118" t="str">
        <f ca="1">IFERROR(__xludf.DUMMYFUNCTION("""COMPUTED_VALUE"""),"F")</f>
        <v>F</v>
      </c>
      <c r="F2091" s="124" t="str">
        <f ca="1">IFERROR(__xludf.DUMMYFUNCTION("""COMPUTED_VALUE"""),"J")</f>
        <v>J</v>
      </c>
      <c r="G2091" s="124">
        <f ca="1">IFERROR(__xludf.DUMMYFUNCTION("""COMPUTED_VALUE"""),4)</f>
        <v>4</v>
      </c>
      <c r="H2091" s="124" t="str">
        <f ca="1">IFERROR(__xludf.DUMMYFUNCTION("""COMPUTED_VALUE"""),"W")</f>
        <v>W</v>
      </c>
      <c r="I2091" s="124">
        <f ca="1">IFERROR(__xludf.DUMMYFUNCTION("""COMPUTED_VALUE"""),5)</f>
        <v>5</v>
      </c>
      <c r="J2091" s="124">
        <f ca="1">IFERROR(__xludf.DUMMYFUNCTION("""COMPUTED_VALUE"""),0)</f>
        <v>0</v>
      </c>
      <c r="K2091" s="125"/>
      <c r="L2091" s="121"/>
      <c r="M2091" s="125"/>
      <c r="N2091" s="121"/>
      <c r="O2091" s="125"/>
      <c r="P2091" s="126"/>
      <c r="Q2091" s="127"/>
      <c r="R2091" s="127"/>
      <c r="S2091" s="127"/>
      <c r="T2091" s="127"/>
    </row>
    <row r="2092" spans="1:20" ht="13.8">
      <c r="A2092" s="118" t="str">
        <f ca="1">IFERROR(__xludf.DUMMYFUNCTION("""COMPUTED_VALUE"""),"W")</f>
        <v>W</v>
      </c>
      <c r="B2092" s="119" t="str">
        <f ca="1">IFERROR(__xludf.DUMMYFUNCTION("""COMPUTED_VALUE"""),"Harrison Niday")</f>
        <v>Harrison Niday</v>
      </c>
      <c r="C2092" s="118">
        <f ca="1">IFERROR(__xludf.DUMMYFUNCTION("""COMPUTED_VALUE"""),9)</f>
        <v>9</v>
      </c>
      <c r="D2092" s="118" t="str">
        <f ca="1">IFERROR(__xludf.DUMMYFUNCTION("""COMPUTED_VALUE"""),"B")</f>
        <v>B</v>
      </c>
      <c r="E2092" s="118" t="str">
        <f ca="1">IFERROR(__xludf.DUMMYFUNCTION("""COMPUTED_VALUE"""),"F")</f>
        <v>F</v>
      </c>
      <c r="F2092" s="124" t="str">
        <f ca="1">IFERROR(__xludf.DUMMYFUNCTION("""COMPUTED_VALUE"""),"J")</f>
        <v>J</v>
      </c>
      <c r="G2092" s="124">
        <f ca="1">IFERROR(__xludf.DUMMYFUNCTION("""COMPUTED_VALUE"""),4)</f>
        <v>4</v>
      </c>
      <c r="H2092" s="124" t="str">
        <f ca="1">IFERROR(__xludf.DUMMYFUNCTION("""COMPUTED_VALUE"""),"W")</f>
        <v>W</v>
      </c>
      <c r="I2092" s="124">
        <f ca="1">IFERROR(__xludf.DUMMYFUNCTION("""COMPUTED_VALUE"""),5)</f>
        <v>5</v>
      </c>
      <c r="J2092" s="124">
        <f ca="1">IFERROR(__xludf.DUMMYFUNCTION("""COMPUTED_VALUE"""),4)</f>
        <v>4</v>
      </c>
      <c r="K2092" s="125">
        <f ca="1">IFERROR(__xludf.DUMMYFUNCTION("""COMPUTED_VALUE"""),46.15)</f>
        <v>46.15</v>
      </c>
      <c r="L2092" s="121"/>
      <c r="M2092" s="125"/>
      <c r="N2092" s="121"/>
      <c r="O2092" s="125">
        <f ca="1">IFERROR(__xludf.DUMMYFUNCTION("""COMPUTED_VALUE"""),36)</f>
        <v>36</v>
      </c>
      <c r="P2092" s="126"/>
      <c r="Q2092" s="127"/>
      <c r="R2092" s="127"/>
      <c r="S2092" s="127"/>
      <c r="T2092" s="127"/>
    </row>
    <row r="2093" spans="1:20" ht="13.8">
      <c r="A2093" s="118" t="str">
        <f ca="1">IFERROR(__xludf.DUMMYFUNCTION("""COMPUTED_VALUE"""),"W")</f>
        <v>W</v>
      </c>
      <c r="B2093" s="119" t="str">
        <f ca="1">IFERROR(__xludf.DUMMYFUNCTION("""COMPUTED_VALUE"""),"Jackson Plevniak")</f>
        <v>Jackson Plevniak</v>
      </c>
      <c r="C2093" s="118">
        <f ca="1">IFERROR(__xludf.DUMMYFUNCTION("""COMPUTED_VALUE"""),10)</f>
        <v>10</v>
      </c>
      <c r="D2093" s="118" t="str">
        <f ca="1">IFERROR(__xludf.DUMMYFUNCTION("""COMPUTED_VALUE"""),"B")</f>
        <v>B</v>
      </c>
      <c r="E2093" s="118" t="str">
        <f ca="1">IFERROR(__xludf.DUMMYFUNCTION("""COMPUTED_VALUE"""),"F")</f>
        <v>F</v>
      </c>
      <c r="F2093" s="124" t="str">
        <f ca="1">IFERROR(__xludf.DUMMYFUNCTION("""COMPUTED_VALUE"""),"J")</f>
        <v>J</v>
      </c>
      <c r="G2093" s="124">
        <f ca="1">IFERROR(__xludf.DUMMYFUNCTION("""COMPUTED_VALUE"""),4)</f>
        <v>4</v>
      </c>
      <c r="H2093" s="124" t="str">
        <f ca="1">IFERROR(__xludf.DUMMYFUNCTION("""COMPUTED_VALUE"""),"W")</f>
        <v>W</v>
      </c>
      <c r="I2093" s="124">
        <f ca="1">IFERROR(__xludf.DUMMYFUNCTION("""COMPUTED_VALUE"""),5)</f>
        <v>5</v>
      </c>
      <c r="J2093" s="124">
        <f ca="1">IFERROR(__xludf.DUMMYFUNCTION("""COMPUTED_VALUE"""),0)</f>
        <v>0</v>
      </c>
      <c r="K2093" s="125"/>
      <c r="L2093" s="121"/>
      <c r="M2093" s="125"/>
      <c r="N2093" s="121"/>
      <c r="O2093" s="125"/>
      <c r="P2093" s="126"/>
      <c r="Q2093" s="127"/>
      <c r="R2093" s="127"/>
      <c r="S2093" s="127"/>
      <c r="T2093" s="127"/>
    </row>
    <row r="2094" spans="1:20" ht="13.8">
      <c r="A2094" s="118" t="str">
        <f ca="1">IFERROR(__xludf.DUMMYFUNCTION("""COMPUTED_VALUE"""),"W")</f>
        <v>W</v>
      </c>
      <c r="B2094" s="119" t="str">
        <f ca="1">IFERROR(__xludf.DUMMYFUNCTION("""COMPUTED_VALUE"""),"John Ahern")</f>
        <v>John Ahern</v>
      </c>
      <c r="C2094" s="118">
        <f ca="1">IFERROR(__xludf.DUMMYFUNCTION("""COMPUTED_VALUE"""),7)</f>
        <v>7</v>
      </c>
      <c r="D2094" s="118" t="str">
        <f ca="1">IFERROR(__xludf.DUMMYFUNCTION("""COMPUTED_VALUE"""),"B")</f>
        <v>B</v>
      </c>
      <c r="E2094" s="118" t="str">
        <f ca="1">IFERROR(__xludf.DUMMYFUNCTION("""COMPUTED_VALUE"""),"F")</f>
        <v>F</v>
      </c>
      <c r="F2094" s="124" t="str">
        <f ca="1">IFERROR(__xludf.DUMMYFUNCTION("""COMPUTED_VALUE"""),"J")</f>
        <v>J</v>
      </c>
      <c r="G2094" s="124">
        <f ca="1">IFERROR(__xludf.DUMMYFUNCTION("""COMPUTED_VALUE"""),4)</f>
        <v>4</v>
      </c>
      <c r="H2094" s="124" t="str">
        <f ca="1">IFERROR(__xludf.DUMMYFUNCTION("""COMPUTED_VALUE"""),"W")</f>
        <v>W</v>
      </c>
      <c r="I2094" s="124">
        <f ca="1">IFERROR(__xludf.DUMMYFUNCTION("""COMPUTED_VALUE"""),5)</f>
        <v>5</v>
      </c>
      <c r="J2094" s="124">
        <f ca="1">IFERROR(__xludf.DUMMYFUNCTION("""COMPUTED_VALUE"""),0)</f>
        <v>0</v>
      </c>
      <c r="K2094" s="125"/>
      <c r="L2094" s="121"/>
      <c r="M2094" s="125"/>
      <c r="N2094" s="121"/>
      <c r="O2094" s="125"/>
      <c r="P2094" s="126"/>
      <c r="Q2094" s="127"/>
      <c r="R2094" s="127"/>
      <c r="S2094" s="127"/>
      <c r="T2094" s="127"/>
    </row>
    <row r="2095" spans="1:20" ht="13.8">
      <c r="A2095" s="118" t="str">
        <f ca="1">IFERROR(__xludf.DUMMYFUNCTION("""COMPUTED_VALUE"""),"W")</f>
        <v>W</v>
      </c>
      <c r="B2095" s="119" t="str">
        <f ca="1">IFERROR(__xludf.DUMMYFUNCTION("""COMPUTED_VALUE"""),"Kai Boulter")</f>
        <v>Kai Boulter</v>
      </c>
      <c r="C2095" s="118">
        <f ca="1">IFERROR(__xludf.DUMMYFUNCTION("""COMPUTED_VALUE"""),10)</f>
        <v>10</v>
      </c>
      <c r="D2095" s="118" t="str">
        <f ca="1">IFERROR(__xludf.DUMMYFUNCTION("""COMPUTED_VALUE"""),"B")</f>
        <v>B</v>
      </c>
      <c r="E2095" s="118" t="str">
        <f ca="1">IFERROR(__xludf.DUMMYFUNCTION("""COMPUTED_VALUE"""),"F")</f>
        <v>F</v>
      </c>
      <c r="F2095" s="124" t="str">
        <f ca="1">IFERROR(__xludf.DUMMYFUNCTION("""COMPUTED_VALUE"""),"J")</f>
        <v>J</v>
      </c>
      <c r="G2095" s="124">
        <f ca="1">IFERROR(__xludf.DUMMYFUNCTION("""COMPUTED_VALUE"""),4)</f>
        <v>4</v>
      </c>
      <c r="H2095" s="124" t="str">
        <f ca="1">IFERROR(__xludf.DUMMYFUNCTION("""COMPUTED_VALUE"""),"W")</f>
        <v>W</v>
      </c>
      <c r="I2095" s="124">
        <f ca="1">IFERROR(__xludf.DUMMYFUNCTION("""COMPUTED_VALUE"""),5)</f>
        <v>5</v>
      </c>
      <c r="J2095" s="124">
        <f ca="1">IFERROR(__xludf.DUMMYFUNCTION("""COMPUTED_VALUE"""),5)</f>
        <v>5</v>
      </c>
      <c r="K2095" s="125">
        <f ca="1">IFERROR(__xludf.DUMMYFUNCTION("""COMPUTED_VALUE"""),62.55)</f>
        <v>62.55</v>
      </c>
      <c r="L2095" s="121"/>
      <c r="M2095" s="125">
        <f ca="1">IFERROR(__xludf.DUMMYFUNCTION("""COMPUTED_VALUE"""),59.15)</f>
        <v>59.15</v>
      </c>
      <c r="N2095" s="121"/>
      <c r="O2095" s="125">
        <f ca="1">IFERROR(__xludf.DUMMYFUNCTION("""COMPUTED_VALUE"""),62.55)</f>
        <v>62.55</v>
      </c>
      <c r="P2095" s="126"/>
      <c r="Q2095" s="127"/>
      <c r="R2095" s="127"/>
      <c r="S2095" s="127"/>
      <c r="T2095" s="127"/>
    </row>
    <row r="2096" spans="1:20" ht="13.8">
      <c r="A2096" s="118" t="str">
        <f ca="1">IFERROR(__xludf.DUMMYFUNCTION("""COMPUTED_VALUE"""),"W")</f>
        <v>W</v>
      </c>
      <c r="B2096" s="119" t="str">
        <f ca="1">IFERROR(__xludf.DUMMYFUNCTION("""COMPUTED_VALUE"""),"Karmvir Sidhu")</f>
        <v>Karmvir Sidhu</v>
      </c>
      <c r="C2096" s="118">
        <f ca="1">IFERROR(__xludf.DUMMYFUNCTION("""COMPUTED_VALUE"""),10)</f>
        <v>10</v>
      </c>
      <c r="D2096" s="118" t="str">
        <f ca="1">IFERROR(__xludf.DUMMYFUNCTION("""COMPUTED_VALUE"""),"B")</f>
        <v>B</v>
      </c>
      <c r="E2096" s="118" t="str">
        <f ca="1">IFERROR(__xludf.DUMMYFUNCTION("""COMPUTED_VALUE"""),"F")</f>
        <v>F</v>
      </c>
      <c r="F2096" s="124" t="str">
        <f ca="1">IFERROR(__xludf.DUMMYFUNCTION("""COMPUTED_VALUE"""),"J")</f>
        <v>J</v>
      </c>
      <c r="G2096" s="124">
        <f ca="1">IFERROR(__xludf.DUMMYFUNCTION("""COMPUTED_VALUE"""),4)</f>
        <v>4</v>
      </c>
      <c r="H2096" s="124" t="str">
        <f ca="1">IFERROR(__xludf.DUMMYFUNCTION("""COMPUTED_VALUE"""),"W")</f>
        <v>W</v>
      </c>
      <c r="I2096" s="124">
        <f ca="1">IFERROR(__xludf.DUMMYFUNCTION("""COMPUTED_VALUE"""),5)</f>
        <v>5</v>
      </c>
      <c r="J2096" s="124">
        <f ca="1">IFERROR(__xludf.DUMMYFUNCTION("""COMPUTED_VALUE"""),1)</f>
        <v>1</v>
      </c>
      <c r="K2096" s="125">
        <f ca="1">IFERROR(__xludf.DUMMYFUNCTION("""COMPUTED_VALUE"""),30.1)</f>
        <v>30.1</v>
      </c>
      <c r="L2096" s="121"/>
      <c r="M2096" s="125"/>
      <c r="N2096" s="121"/>
      <c r="O2096" s="125"/>
      <c r="P2096" s="126"/>
      <c r="Q2096" s="127"/>
      <c r="R2096" s="127"/>
      <c r="S2096" s="127"/>
      <c r="T2096" s="127"/>
    </row>
    <row r="2097" spans="1:20" ht="13.8">
      <c r="A2097" s="118" t="str">
        <f ca="1">IFERROR(__xludf.DUMMYFUNCTION("""COMPUTED_VALUE"""),"W")</f>
        <v>W</v>
      </c>
      <c r="B2097" s="119" t="str">
        <f ca="1">IFERROR(__xludf.DUMMYFUNCTION("""COMPUTED_VALUE"""),"LaMonica Theo")</f>
        <v>LaMonica Theo</v>
      </c>
      <c r="C2097" s="118">
        <f ca="1">IFERROR(__xludf.DUMMYFUNCTION("""COMPUTED_VALUE"""),8)</f>
        <v>8</v>
      </c>
      <c r="D2097" s="118" t="str">
        <f ca="1">IFERROR(__xludf.DUMMYFUNCTION("""COMPUTED_VALUE"""),"B")</f>
        <v>B</v>
      </c>
      <c r="E2097" s="118" t="str">
        <f ca="1">IFERROR(__xludf.DUMMYFUNCTION("""COMPUTED_VALUE"""),"F")</f>
        <v>F</v>
      </c>
      <c r="F2097" s="124" t="str">
        <f ca="1">IFERROR(__xludf.DUMMYFUNCTION("""COMPUTED_VALUE"""),"J")</f>
        <v>J</v>
      </c>
      <c r="G2097" s="124">
        <f ca="1">IFERROR(__xludf.DUMMYFUNCTION("""COMPUTED_VALUE"""),4)</f>
        <v>4</v>
      </c>
      <c r="H2097" s="124" t="str">
        <f ca="1">IFERROR(__xludf.DUMMYFUNCTION("""COMPUTED_VALUE"""),"W")</f>
        <v>W</v>
      </c>
      <c r="I2097" s="124">
        <f ca="1">IFERROR(__xludf.DUMMYFUNCTION("""COMPUTED_VALUE"""),5)</f>
        <v>5</v>
      </c>
      <c r="J2097" s="124">
        <f ca="1">IFERROR(__xludf.DUMMYFUNCTION("""COMPUTED_VALUE"""),4)</f>
        <v>4</v>
      </c>
      <c r="K2097" s="125">
        <f ca="1">IFERROR(__xludf.DUMMYFUNCTION("""COMPUTED_VALUE"""),28.25)</f>
        <v>28.25</v>
      </c>
      <c r="L2097" s="121"/>
      <c r="M2097" s="125">
        <f ca="1">IFERROR(__xludf.DUMMYFUNCTION("""COMPUTED_VALUE"""),28.25)</f>
        <v>28.25</v>
      </c>
      <c r="N2097" s="121"/>
      <c r="O2097" s="125">
        <f ca="1">IFERROR(__xludf.DUMMYFUNCTION("""COMPUTED_VALUE"""),22.3)</f>
        <v>22.3</v>
      </c>
      <c r="P2097" s="126"/>
      <c r="Q2097" s="127"/>
      <c r="R2097" s="127"/>
      <c r="S2097" s="127"/>
      <c r="T2097" s="127"/>
    </row>
    <row r="2098" spans="1:20" ht="13.8">
      <c r="A2098" s="118" t="str">
        <f ca="1">IFERROR(__xludf.DUMMYFUNCTION("""COMPUTED_VALUE"""),"W")</f>
        <v>W</v>
      </c>
      <c r="B2098" s="119" t="str">
        <f ca="1">IFERROR(__xludf.DUMMYFUNCTION("""COMPUTED_VALUE"""),"Luis Peter Fernandez")</f>
        <v>Luis Peter Fernandez</v>
      </c>
      <c r="C2098" s="118">
        <f ca="1">IFERROR(__xludf.DUMMYFUNCTION("""COMPUTED_VALUE"""),8)</f>
        <v>8</v>
      </c>
      <c r="D2098" s="118" t="str">
        <f ca="1">IFERROR(__xludf.DUMMYFUNCTION("""COMPUTED_VALUE"""),"B")</f>
        <v>B</v>
      </c>
      <c r="E2098" s="118" t="str">
        <f ca="1">IFERROR(__xludf.DUMMYFUNCTION("""COMPUTED_VALUE"""),"F")</f>
        <v>F</v>
      </c>
      <c r="F2098" s="124" t="str">
        <f ca="1">IFERROR(__xludf.DUMMYFUNCTION("""COMPUTED_VALUE"""),"J")</f>
        <v>J</v>
      </c>
      <c r="G2098" s="124">
        <f ca="1">IFERROR(__xludf.DUMMYFUNCTION("""COMPUTED_VALUE"""),4)</f>
        <v>4</v>
      </c>
      <c r="H2098" s="124" t="str">
        <f ca="1">IFERROR(__xludf.DUMMYFUNCTION("""COMPUTED_VALUE"""),"W")</f>
        <v>W</v>
      </c>
      <c r="I2098" s="124">
        <f ca="1">IFERROR(__xludf.DUMMYFUNCTION("""COMPUTED_VALUE"""),5)</f>
        <v>5</v>
      </c>
      <c r="J2098" s="124">
        <f ca="1">IFERROR(__xludf.DUMMYFUNCTION("""COMPUTED_VALUE"""),3)</f>
        <v>3</v>
      </c>
      <c r="K2098" s="125">
        <f ca="1">IFERROR(__xludf.DUMMYFUNCTION("""COMPUTED_VALUE"""),19.95)</f>
        <v>19.95</v>
      </c>
      <c r="L2098" s="121"/>
      <c r="M2098" s="125"/>
      <c r="N2098" s="121"/>
      <c r="O2098" s="125"/>
      <c r="P2098" s="126"/>
      <c r="Q2098" s="127"/>
      <c r="R2098" s="127"/>
      <c r="S2098" s="127"/>
      <c r="T2098" s="127"/>
    </row>
    <row r="2099" spans="1:20" ht="13.8">
      <c r="A2099" s="118" t="str">
        <f ca="1">IFERROR(__xludf.DUMMYFUNCTION("""COMPUTED_VALUE"""),"W")</f>
        <v>W</v>
      </c>
      <c r="B2099" s="119" t="str">
        <f ca="1">IFERROR(__xludf.DUMMYFUNCTION("""COMPUTED_VALUE"""),"Orion Bigby")</f>
        <v>Orion Bigby</v>
      </c>
      <c r="C2099" s="118">
        <f ca="1">IFERROR(__xludf.DUMMYFUNCTION("""COMPUTED_VALUE"""),7)</f>
        <v>7</v>
      </c>
      <c r="D2099" s="118" t="str">
        <f ca="1">IFERROR(__xludf.DUMMYFUNCTION("""COMPUTED_VALUE"""),"B")</f>
        <v>B</v>
      </c>
      <c r="E2099" s="118" t="str">
        <f ca="1">IFERROR(__xludf.DUMMYFUNCTION("""COMPUTED_VALUE"""),"F")</f>
        <v>F</v>
      </c>
      <c r="F2099" s="124" t="str">
        <f ca="1">IFERROR(__xludf.DUMMYFUNCTION("""COMPUTED_VALUE"""),"J")</f>
        <v>J</v>
      </c>
      <c r="G2099" s="124">
        <f ca="1">IFERROR(__xludf.DUMMYFUNCTION("""COMPUTED_VALUE"""),4)</f>
        <v>4</v>
      </c>
      <c r="H2099" s="124" t="str">
        <f ca="1">IFERROR(__xludf.DUMMYFUNCTION("""COMPUTED_VALUE"""),"W")</f>
        <v>W</v>
      </c>
      <c r="I2099" s="124">
        <f ca="1">IFERROR(__xludf.DUMMYFUNCTION("""COMPUTED_VALUE"""),5)</f>
        <v>5</v>
      </c>
      <c r="J2099" s="124">
        <f ca="1">IFERROR(__xludf.DUMMYFUNCTION("""COMPUTED_VALUE"""),1)</f>
        <v>1</v>
      </c>
      <c r="K2099" s="125"/>
      <c r="L2099" s="121"/>
      <c r="M2099" s="125"/>
      <c r="N2099" s="121"/>
      <c r="O2099" s="125"/>
      <c r="P2099" s="126"/>
      <c r="Q2099" s="127"/>
      <c r="R2099" s="127"/>
      <c r="S2099" s="127"/>
      <c r="T2099" s="127"/>
    </row>
    <row r="2100" spans="1:20" ht="13.8">
      <c r="A2100" s="118" t="str">
        <f ca="1">IFERROR(__xludf.DUMMYFUNCTION("""COMPUTED_VALUE"""),"W")</f>
        <v>W</v>
      </c>
      <c r="B2100" s="119" t="str">
        <f ca="1">IFERROR(__xludf.DUMMYFUNCTION("""COMPUTED_VALUE"""),"Tobin Boulter")</f>
        <v>Tobin Boulter</v>
      </c>
      <c r="C2100" s="118">
        <f ca="1">IFERROR(__xludf.DUMMYFUNCTION("""COMPUTED_VALUE"""),8)</f>
        <v>8</v>
      </c>
      <c r="D2100" s="118" t="str">
        <f ca="1">IFERROR(__xludf.DUMMYFUNCTION("""COMPUTED_VALUE"""),"B")</f>
        <v>B</v>
      </c>
      <c r="E2100" s="118" t="str">
        <f ca="1">IFERROR(__xludf.DUMMYFUNCTION("""COMPUTED_VALUE"""),"F")</f>
        <v>F</v>
      </c>
      <c r="F2100" s="124" t="str">
        <f ca="1">IFERROR(__xludf.DUMMYFUNCTION("""COMPUTED_VALUE"""),"J")</f>
        <v>J</v>
      </c>
      <c r="G2100" s="124">
        <f ca="1">IFERROR(__xludf.DUMMYFUNCTION("""COMPUTED_VALUE"""),4)</f>
        <v>4</v>
      </c>
      <c r="H2100" s="124" t="str">
        <f ca="1">IFERROR(__xludf.DUMMYFUNCTION("""COMPUTED_VALUE"""),"W")</f>
        <v>W</v>
      </c>
      <c r="I2100" s="124">
        <f ca="1">IFERROR(__xludf.DUMMYFUNCTION("""COMPUTED_VALUE"""),5)</f>
        <v>5</v>
      </c>
      <c r="J2100" s="124">
        <f ca="1">IFERROR(__xludf.DUMMYFUNCTION("""COMPUTED_VALUE"""),5)</f>
        <v>5</v>
      </c>
      <c r="K2100" s="125">
        <f ca="1">IFERROR(__xludf.DUMMYFUNCTION("""COMPUTED_VALUE"""),53.1)</f>
        <v>53.1</v>
      </c>
      <c r="L2100" s="121"/>
      <c r="M2100" s="125">
        <f ca="1">IFERROR(__xludf.DUMMYFUNCTION("""COMPUTED_VALUE"""),51.3)</f>
        <v>51.3</v>
      </c>
      <c r="N2100" s="121"/>
      <c r="O2100" s="125">
        <f ca="1">IFERROR(__xludf.DUMMYFUNCTION("""COMPUTED_VALUE"""),45.1)</f>
        <v>45.1</v>
      </c>
      <c r="P2100" s="126"/>
      <c r="Q2100" s="127"/>
      <c r="R2100" s="127"/>
      <c r="S2100" s="127"/>
      <c r="T2100" s="127"/>
    </row>
    <row r="2101" spans="1:20" ht="13.8">
      <c r="A2101" s="118" t="str">
        <f ca="1">IFERROR(__xludf.DUMMYFUNCTION("""COMPUTED_VALUE"""),"W")</f>
        <v>W</v>
      </c>
      <c r="B2101" s="119" t="str">
        <f ca="1">IFERROR(__xludf.DUMMYFUNCTION("""COMPUTED_VALUE"""),"Zach Lum")</f>
        <v>Zach Lum</v>
      </c>
      <c r="C2101" s="118">
        <f ca="1">IFERROR(__xludf.DUMMYFUNCTION("""COMPUTED_VALUE"""),10)</f>
        <v>10</v>
      </c>
      <c r="D2101" s="118" t="str">
        <f ca="1">IFERROR(__xludf.DUMMYFUNCTION("""COMPUTED_VALUE"""),"B")</f>
        <v>B</v>
      </c>
      <c r="E2101" s="118" t="str">
        <f ca="1">IFERROR(__xludf.DUMMYFUNCTION("""COMPUTED_VALUE"""),"F")</f>
        <v>F</v>
      </c>
      <c r="F2101" s="124" t="str">
        <f ca="1">IFERROR(__xludf.DUMMYFUNCTION("""COMPUTED_VALUE"""),"J")</f>
        <v>J</v>
      </c>
      <c r="G2101" s="124">
        <f ca="1">IFERROR(__xludf.DUMMYFUNCTION("""COMPUTED_VALUE"""),4)</f>
        <v>4</v>
      </c>
      <c r="H2101" s="124" t="str">
        <f ca="1">IFERROR(__xludf.DUMMYFUNCTION("""COMPUTED_VALUE"""),"W")</f>
        <v>W</v>
      </c>
      <c r="I2101" s="124">
        <f ca="1">IFERROR(__xludf.DUMMYFUNCTION("""COMPUTED_VALUE"""),5)</f>
        <v>5</v>
      </c>
      <c r="J2101" s="124">
        <f ca="1">IFERROR(__xludf.DUMMYFUNCTION("""COMPUTED_VALUE"""),5)</f>
        <v>5</v>
      </c>
      <c r="K2101" s="125">
        <f ca="1">IFERROR(__xludf.DUMMYFUNCTION("""COMPUTED_VALUE"""),67.5)</f>
        <v>67.5</v>
      </c>
      <c r="L2101" s="121"/>
      <c r="M2101" s="125">
        <f ca="1">IFERROR(__xludf.DUMMYFUNCTION("""COMPUTED_VALUE"""),-76.35)</f>
        <v>-76.349999999999994</v>
      </c>
      <c r="N2101" s="121"/>
      <c r="O2101" s="125">
        <f ca="1">IFERROR(__xludf.DUMMYFUNCTION("""COMPUTED_VALUE"""),-79.75)</f>
        <v>-79.75</v>
      </c>
      <c r="P2101" s="126"/>
      <c r="Q2101" s="127"/>
      <c r="R2101" s="127"/>
      <c r="S2101" s="127"/>
      <c r="T2101" s="127"/>
    </row>
    <row r="2102" spans="1:20" ht="13.8">
      <c r="A2102" s="118" t="str">
        <f ca="1">IFERROR(__xludf.DUMMYFUNCTION("""COMPUTED_VALUE"""),"W")</f>
        <v>W</v>
      </c>
      <c r="B2102" s="119" t="str">
        <f ca="1">IFERROR(__xludf.DUMMYFUNCTION("""COMPUTED_VALUE"""),"Eloise Jones")</f>
        <v>Eloise Jones</v>
      </c>
      <c r="C2102" s="118">
        <f ca="1">IFERROR(__xludf.DUMMYFUNCTION("""COMPUTED_VALUE"""),11)</f>
        <v>11</v>
      </c>
      <c r="D2102" s="118" t="str">
        <f ca="1">IFERROR(__xludf.DUMMYFUNCTION("""COMPUTED_VALUE"""),"G")</f>
        <v>G</v>
      </c>
      <c r="E2102" s="118" t="str">
        <f ca="1">IFERROR(__xludf.DUMMYFUNCTION("""COMPUTED_VALUE"""),"J")</f>
        <v>J</v>
      </c>
      <c r="F2102" s="124" t="str">
        <f ca="1">IFERROR(__xludf.DUMMYFUNCTION("""COMPUTED_VALUE"""),"I")</f>
        <v>I</v>
      </c>
      <c r="G2102" s="124">
        <f ca="1">IFERROR(__xludf.DUMMYFUNCTION("""COMPUTED_VALUE"""),4)</f>
        <v>4</v>
      </c>
      <c r="H2102" s="124" t="str">
        <f ca="1">IFERROR(__xludf.DUMMYFUNCTION("""COMPUTED_VALUE"""),"W")</f>
        <v>W</v>
      </c>
      <c r="I2102" s="124">
        <f ca="1">IFERROR(__xludf.DUMMYFUNCTION("""COMPUTED_VALUE"""),6)</f>
        <v>6</v>
      </c>
      <c r="J2102" s="124">
        <f ca="1">IFERROR(__xludf.DUMMYFUNCTION("""COMPUTED_VALUE"""),3)</f>
        <v>3</v>
      </c>
      <c r="K2102" s="125">
        <f ca="1">IFERROR(__xludf.DUMMYFUNCTION("""COMPUTED_VALUE"""),59.85)</f>
        <v>59.85</v>
      </c>
      <c r="L2102" s="121"/>
      <c r="M2102" s="125"/>
      <c r="N2102" s="121"/>
      <c r="O2102" s="125"/>
      <c r="P2102" s="126"/>
      <c r="Q2102" s="127"/>
      <c r="R2102" s="127"/>
      <c r="S2102" s="127"/>
      <c r="T2102" s="127"/>
    </row>
    <row r="2103" spans="1:20" ht="13.8">
      <c r="A2103" s="118" t="str">
        <f ca="1">IFERROR(__xludf.DUMMYFUNCTION("""COMPUTED_VALUE"""),"W")</f>
        <v>W</v>
      </c>
      <c r="B2103" s="119" t="str">
        <f ca="1">IFERROR(__xludf.DUMMYFUNCTION("""COMPUTED_VALUE"""),"Evan Ringle")</f>
        <v>Evan Ringle</v>
      </c>
      <c r="C2103" s="118">
        <f ca="1">IFERROR(__xludf.DUMMYFUNCTION("""COMPUTED_VALUE"""),12)</f>
        <v>12</v>
      </c>
      <c r="D2103" s="118" t="str">
        <f ca="1">IFERROR(__xludf.DUMMYFUNCTION("""COMPUTED_VALUE"""),"G")</f>
        <v>G</v>
      </c>
      <c r="E2103" s="118" t="str">
        <f ca="1">IFERROR(__xludf.DUMMYFUNCTION("""COMPUTED_VALUE"""),"J")</f>
        <v>J</v>
      </c>
      <c r="F2103" s="124" t="str">
        <f ca="1">IFERROR(__xludf.DUMMYFUNCTION("""COMPUTED_VALUE"""),"I")</f>
        <v>I</v>
      </c>
      <c r="G2103" s="124">
        <f ca="1">IFERROR(__xludf.DUMMYFUNCTION("""COMPUTED_VALUE"""),4)</f>
        <v>4</v>
      </c>
      <c r="H2103" s="124" t="str">
        <f ca="1">IFERROR(__xludf.DUMMYFUNCTION("""COMPUTED_VALUE"""),"W")</f>
        <v>W</v>
      </c>
      <c r="I2103" s="124">
        <f ca="1">IFERROR(__xludf.DUMMYFUNCTION("""COMPUTED_VALUE"""),6)</f>
        <v>6</v>
      </c>
      <c r="J2103" s="124">
        <f ca="1">IFERROR(__xludf.DUMMYFUNCTION("""COMPUTED_VALUE"""),0)</f>
        <v>0</v>
      </c>
      <c r="K2103" s="125"/>
      <c r="L2103" s="121"/>
      <c r="M2103" s="125"/>
      <c r="N2103" s="121"/>
      <c r="O2103" s="125"/>
      <c r="P2103" s="126"/>
      <c r="Q2103" s="127"/>
      <c r="R2103" s="127"/>
      <c r="S2103" s="127"/>
      <c r="T2103" s="127"/>
    </row>
    <row r="2104" spans="1:20" ht="13.8">
      <c r="A2104" s="118" t="str">
        <f ca="1">IFERROR(__xludf.DUMMYFUNCTION("""COMPUTED_VALUE"""),"W")</f>
        <v>W</v>
      </c>
      <c r="B2104" s="119" t="str">
        <f ca="1">IFERROR(__xludf.DUMMYFUNCTION("""COMPUTED_VALUE"""),"Olivia Ahern")</f>
        <v>Olivia Ahern</v>
      </c>
      <c r="C2104" s="118">
        <f ca="1">IFERROR(__xludf.DUMMYFUNCTION("""COMPUTED_VALUE"""),11)</f>
        <v>11</v>
      </c>
      <c r="D2104" s="118" t="str">
        <f ca="1">IFERROR(__xludf.DUMMYFUNCTION("""COMPUTED_VALUE"""),"G")</f>
        <v>G</v>
      </c>
      <c r="E2104" s="118" t="str">
        <f ca="1">IFERROR(__xludf.DUMMYFUNCTION("""COMPUTED_VALUE"""),"J")</f>
        <v>J</v>
      </c>
      <c r="F2104" s="124" t="str">
        <f ca="1">IFERROR(__xludf.DUMMYFUNCTION("""COMPUTED_VALUE"""),"I")</f>
        <v>I</v>
      </c>
      <c r="G2104" s="124">
        <f ca="1">IFERROR(__xludf.DUMMYFUNCTION("""COMPUTED_VALUE"""),4)</f>
        <v>4</v>
      </c>
      <c r="H2104" s="124" t="str">
        <f ca="1">IFERROR(__xludf.DUMMYFUNCTION("""COMPUTED_VALUE"""),"W")</f>
        <v>W</v>
      </c>
      <c r="I2104" s="124">
        <f ca="1">IFERROR(__xludf.DUMMYFUNCTION("""COMPUTED_VALUE"""),6)</f>
        <v>6</v>
      </c>
      <c r="J2104" s="124">
        <f ca="1">IFERROR(__xludf.DUMMYFUNCTION("""COMPUTED_VALUE"""),3)</f>
        <v>3</v>
      </c>
      <c r="K2104" s="125">
        <f ca="1">IFERROR(__xludf.DUMMYFUNCTION("""COMPUTED_VALUE"""),65.4)</f>
        <v>65.400000000000006</v>
      </c>
      <c r="L2104" s="121"/>
      <c r="M2104" s="125">
        <f ca="1">IFERROR(__xludf.DUMMYFUNCTION("""COMPUTED_VALUE"""),65.4)</f>
        <v>65.400000000000006</v>
      </c>
      <c r="N2104" s="121"/>
      <c r="O2104" s="125"/>
      <c r="P2104" s="126"/>
      <c r="Q2104" s="127"/>
      <c r="R2104" s="127"/>
      <c r="S2104" s="127"/>
      <c r="T2104" s="127"/>
    </row>
    <row r="2105" spans="1:20" ht="13.8">
      <c r="A2105" s="118" t="str">
        <f ca="1">IFERROR(__xludf.DUMMYFUNCTION("""COMPUTED_VALUE"""),"W")</f>
        <v>W</v>
      </c>
      <c r="B2105" s="119" t="str">
        <f ca="1">IFERROR(__xludf.DUMMYFUNCTION("""COMPUTED_VALUE"""),"Sophia Niday")</f>
        <v>Sophia Niday</v>
      </c>
      <c r="C2105" s="118">
        <f ca="1">IFERROR(__xludf.DUMMYFUNCTION("""COMPUTED_VALUE"""),11)</f>
        <v>11</v>
      </c>
      <c r="D2105" s="118" t="str">
        <f ca="1">IFERROR(__xludf.DUMMYFUNCTION("""COMPUTED_VALUE"""),"G")</f>
        <v>G</v>
      </c>
      <c r="E2105" s="118" t="str">
        <f ca="1">IFERROR(__xludf.DUMMYFUNCTION("""COMPUTED_VALUE"""),"J")</f>
        <v>J</v>
      </c>
      <c r="F2105" s="124" t="str">
        <f ca="1">IFERROR(__xludf.DUMMYFUNCTION("""COMPUTED_VALUE"""),"I")</f>
        <v>I</v>
      </c>
      <c r="G2105" s="124">
        <f ca="1">IFERROR(__xludf.DUMMYFUNCTION("""COMPUTED_VALUE"""),4)</f>
        <v>4</v>
      </c>
      <c r="H2105" s="124" t="str">
        <f ca="1">IFERROR(__xludf.DUMMYFUNCTION("""COMPUTED_VALUE"""),"W")</f>
        <v>W</v>
      </c>
      <c r="I2105" s="124">
        <f ca="1">IFERROR(__xludf.DUMMYFUNCTION("""COMPUTED_VALUE"""),6)</f>
        <v>6</v>
      </c>
      <c r="J2105" s="124">
        <f ca="1">IFERROR(__xludf.DUMMYFUNCTION("""COMPUTED_VALUE"""),5)</f>
        <v>5</v>
      </c>
      <c r="K2105" s="125">
        <f ca="1">IFERROR(__xludf.DUMMYFUNCTION("""COMPUTED_VALUE"""),72.2)</f>
        <v>72.2</v>
      </c>
      <c r="L2105" s="121"/>
      <c r="M2105" s="125">
        <f ca="1">IFERROR(__xludf.DUMMYFUNCTION("""COMPUTED_VALUE"""),62)</f>
        <v>62</v>
      </c>
      <c r="N2105" s="121"/>
      <c r="O2105" s="125">
        <f ca="1">IFERROR(__xludf.DUMMYFUNCTION("""COMPUTED_VALUE"""),72.2)</f>
        <v>72.2</v>
      </c>
      <c r="P2105" s="126"/>
      <c r="Q2105" s="127"/>
      <c r="R2105" s="127"/>
      <c r="S2105" s="127"/>
      <c r="T2105" s="127"/>
    </row>
    <row r="2106" spans="1:20" ht="13.8">
      <c r="A2106" s="118" t="str">
        <f ca="1">IFERROR(__xludf.DUMMYFUNCTION("""COMPUTED_VALUE"""),"W")</f>
        <v>W</v>
      </c>
      <c r="B2106" s="119" t="str">
        <f ca="1">IFERROR(__xludf.DUMMYFUNCTION("""COMPUTED_VALUE"""),"MJ Whitecar")</f>
        <v>MJ Whitecar</v>
      </c>
      <c r="C2106" s="118">
        <f ca="1">IFERROR(__xludf.DUMMYFUNCTION("""COMPUTED_VALUE"""),12)</f>
        <v>12</v>
      </c>
      <c r="D2106" s="118" t="str">
        <f ca="1">IFERROR(__xludf.DUMMYFUNCTION("""COMPUTED_VALUE"""),"B")</f>
        <v>B</v>
      </c>
      <c r="E2106" s="118" t="str">
        <f ca="1">IFERROR(__xludf.DUMMYFUNCTION("""COMPUTED_VALUE"""),"J")</f>
        <v>J</v>
      </c>
      <c r="F2106" s="124" t="str">
        <f ca="1">IFERROR(__xludf.DUMMYFUNCTION("""COMPUTED_VALUE"""),"I")</f>
        <v>I</v>
      </c>
      <c r="G2106" s="124">
        <f ca="1">IFERROR(__xludf.DUMMYFUNCTION("""COMPUTED_VALUE"""),4)</f>
        <v>4</v>
      </c>
      <c r="H2106" s="124" t="str">
        <f ca="1">IFERROR(__xludf.DUMMYFUNCTION("""COMPUTED_VALUE"""),"W")</f>
        <v>W</v>
      </c>
      <c r="I2106" s="124">
        <f ca="1">IFERROR(__xludf.DUMMYFUNCTION("""COMPUTED_VALUE"""),7)</f>
        <v>7</v>
      </c>
      <c r="J2106" s="124">
        <f ca="1">IFERROR(__xludf.DUMMYFUNCTION("""COMPUTED_VALUE"""),4)</f>
        <v>4</v>
      </c>
      <c r="K2106" s="125">
        <f ca="1">IFERROR(__xludf.DUMMYFUNCTION("""COMPUTED_VALUE"""),85.65)</f>
        <v>85.65</v>
      </c>
      <c r="L2106" s="121"/>
      <c r="M2106" s="125"/>
      <c r="N2106" s="121"/>
      <c r="O2106" s="125">
        <f ca="1">IFERROR(__xludf.DUMMYFUNCTION("""COMPUTED_VALUE"""),84.3)</f>
        <v>84.3</v>
      </c>
      <c r="P2106" s="126"/>
      <c r="Q2106" s="127"/>
      <c r="R2106" s="127"/>
      <c r="S2106" s="127"/>
      <c r="T2106" s="127"/>
    </row>
    <row r="2107" spans="1:20" ht="13.8">
      <c r="A2107" s="118" t="str">
        <f ca="1">IFERROR(__xludf.DUMMYFUNCTION("""COMPUTED_VALUE"""),"W")</f>
        <v>W</v>
      </c>
      <c r="B2107" s="119" t="str">
        <f ca="1">IFERROR(__xludf.DUMMYFUNCTION("""COMPUTED_VALUE"""),"Elin Temme")</f>
        <v>Elin Temme</v>
      </c>
      <c r="C2107" s="118">
        <f ca="1">IFERROR(__xludf.DUMMYFUNCTION("""COMPUTED_VALUE"""),13)</f>
        <v>13</v>
      </c>
      <c r="D2107" s="118" t="str">
        <f ca="1">IFERROR(__xludf.DUMMYFUNCTION("""COMPUTED_VALUE"""),"G")</f>
        <v>G</v>
      </c>
      <c r="E2107" s="118" t="str">
        <f ca="1">IFERROR(__xludf.DUMMYFUNCTION("""COMPUTED_VALUE"""),"I")</f>
        <v>I</v>
      </c>
      <c r="F2107" s="124" t="str">
        <f ca="1">IFERROR(__xludf.DUMMYFUNCTION("""COMPUTED_VALUE"""),"S")</f>
        <v>S</v>
      </c>
      <c r="G2107" s="124">
        <f ca="1">IFERROR(__xludf.DUMMYFUNCTION("""COMPUTED_VALUE"""),4)</f>
        <v>4</v>
      </c>
      <c r="H2107" s="124" t="str">
        <f ca="1">IFERROR(__xludf.DUMMYFUNCTION("""COMPUTED_VALUE"""),"W")</f>
        <v>W</v>
      </c>
      <c r="I2107" s="124">
        <f ca="1">IFERROR(__xludf.DUMMYFUNCTION("""COMPUTED_VALUE"""),8)</f>
        <v>8</v>
      </c>
      <c r="J2107" s="124">
        <f ca="1">IFERROR(__xludf.DUMMYFUNCTION("""COMPUTED_VALUE"""),4)</f>
        <v>4</v>
      </c>
      <c r="K2107" s="125">
        <f ca="1">IFERROR(__xludf.DUMMYFUNCTION("""COMPUTED_VALUE"""),119.35)</f>
        <v>119.35</v>
      </c>
      <c r="L2107" s="121"/>
      <c r="M2107" s="125"/>
      <c r="N2107" s="121"/>
      <c r="O2107" s="125">
        <f ca="1">IFERROR(__xludf.DUMMYFUNCTION("""COMPUTED_VALUE"""),119.35)</f>
        <v>119.35</v>
      </c>
      <c r="P2107" s="126"/>
      <c r="Q2107" s="127"/>
      <c r="R2107" s="127"/>
      <c r="S2107" s="127"/>
      <c r="T2107" s="127"/>
    </row>
    <row r="2108" spans="1:20" ht="13.8">
      <c r="A2108" s="118" t="str">
        <f ca="1">IFERROR(__xludf.DUMMYFUNCTION("""COMPUTED_VALUE"""),"W")</f>
        <v>W</v>
      </c>
      <c r="B2108" s="119" t="str">
        <f ca="1">IFERROR(__xludf.DUMMYFUNCTION("""COMPUTED_VALUE"""),"Eliza Pollack")</f>
        <v>Eliza Pollack</v>
      </c>
      <c r="C2108" s="118">
        <f ca="1">IFERROR(__xludf.DUMMYFUNCTION("""COMPUTED_VALUE"""),13)</f>
        <v>13</v>
      </c>
      <c r="D2108" s="118" t="str">
        <f ca="1">IFERROR(__xludf.DUMMYFUNCTION("""COMPUTED_VALUE"""),"G")</f>
        <v>G</v>
      </c>
      <c r="E2108" s="118" t="str">
        <f ca="1">IFERROR(__xludf.DUMMYFUNCTION("""COMPUTED_VALUE"""),"I")</f>
        <v>I</v>
      </c>
      <c r="F2108" s="124" t="str">
        <f ca="1">IFERROR(__xludf.DUMMYFUNCTION("""COMPUTED_VALUE"""),"S")</f>
        <v>S</v>
      </c>
      <c r="G2108" s="124">
        <f ca="1">IFERROR(__xludf.DUMMYFUNCTION("""COMPUTED_VALUE"""),4)</f>
        <v>4</v>
      </c>
      <c r="H2108" s="124" t="str">
        <f ca="1">IFERROR(__xludf.DUMMYFUNCTION("""COMPUTED_VALUE"""),"W")</f>
        <v>W</v>
      </c>
      <c r="I2108" s="124">
        <f ca="1">IFERROR(__xludf.DUMMYFUNCTION("""COMPUTED_VALUE"""),8)</f>
        <v>8</v>
      </c>
      <c r="J2108" s="124">
        <f ca="1">IFERROR(__xludf.DUMMYFUNCTION("""COMPUTED_VALUE"""),5)</f>
        <v>5</v>
      </c>
      <c r="K2108" s="125">
        <f ca="1">IFERROR(__xludf.DUMMYFUNCTION("""COMPUTED_VALUE"""),129.75)</f>
        <v>129.75</v>
      </c>
      <c r="L2108" s="121"/>
      <c r="M2108" s="125">
        <f ca="1">IFERROR(__xludf.DUMMYFUNCTION("""COMPUTED_VALUE"""),120.85)</f>
        <v>120.85</v>
      </c>
      <c r="N2108" s="121"/>
      <c r="O2108" s="125">
        <f ca="1">IFERROR(__xludf.DUMMYFUNCTION("""COMPUTED_VALUE"""),-135.4)</f>
        <v>-135.4</v>
      </c>
      <c r="P2108" s="126"/>
      <c r="Q2108" s="127"/>
      <c r="R2108" s="127"/>
      <c r="S2108" s="127"/>
      <c r="T2108" s="127"/>
    </row>
    <row r="2109" spans="1:20" ht="13.8">
      <c r="A2109" s="118" t="str">
        <f ca="1">IFERROR(__xludf.DUMMYFUNCTION("""COMPUTED_VALUE"""),"W")</f>
        <v>W</v>
      </c>
      <c r="B2109" s="119" t="str">
        <f ca="1">IFERROR(__xludf.DUMMYFUNCTION("""COMPUTED_VALUE"""),"Emily Ahern")</f>
        <v>Emily Ahern</v>
      </c>
      <c r="C2109" s="118">
        <f ca="1">IFERROR(__xludf.DUMMYFUNCTION("""COMPUTED_VALUE"""),13)</f>
        <v>13</v>
      </c>
      <c r="D2109" s="118" t="str">
        <f ca="1">IFERROR(__xludf.DUMMYFUNCTION("""COMPUTED_VALUE"""),"G")</f>
        <v>G</v>
      </c>
      <c r="E2109" s="118" t="str">
        <f ca="1">IFERROR(__xludf.DUMMYFUNCTION("""COMPUTED_VALUE"""),"I")</f>
        <v>I</v>
      </c>
      <c r="F2109" s="124" t="str">
        <f ca="1">IFERROR(__xludf.DUMMYFUNCTION("""COMPUTED_VALUE"""),"S")</f>
        <v>S</v>
      </c>
      <c r="G2109" s="124">
        <f ca="1">IFERROR(__xludf.DUMMYFUNCTION("""COMPUTED_VALUE"""),4)</f>
        <v>4</v>
      </c>
      <c r="H2109" s="124" t="str">
        <f ca="1">IFERROR(__xludf.DUMMYFUNCTION("""COMPUTED_VALUE"""),"W")</f>
        <v>W</v>
      </c>
      <c r="I2109" s="124">
        <f ca="1">IFERROR(__xludf.DUMMYFUNCTION("""COMPUTED_VALUE"""),8)</f>
        <v>8</v>
      </c>
      <c r="J2109" s="124">
        <f ca="1">IFERROR(__xludf.DUMMYFUNCTION("""COMPUTED_VALUE"""),5)</f>
        <v>5</v>
      </c>
      <c r="K2109" s="125">
        <f ca="1">IFERROR(__xludf.DUMMYFUNCTION("""COMPUTED_VALUE"""),86.8)</f>
        <v>86.8</v>
      </c>
      <c r="L2109" s="121"/>
      <c r="M2109" s="125">
        <f ca="1">IFERROR(__xludf.DUMMYFUNCTION("""COMPUTED_VALUE"""),82.9)</f>
        <v>82.9</v>
      </c>
      <c r="N2109" s="121"/>
      <c r="O2109" s="125">
        <f ca="1">IFERROR(__xludf.DUMMYFUNCTION("""COMPUTED_VALUE"""),86.8)</f>
        <v>86.8</v>
      </c>
      <c r="P2109" s="126"/>
      <c r="Q2109" s="127"/>
      <c r="R2109" s="127"/>
      <c r="S2109" s="127"/>
      <c r="T2109" s="127"/>
    </row>
    <row r="2110" spans="1:20" ht="13.8">
      <c r="A2110" s="118" t="str">
        <f ca="1">IFERROR(__xludf.DUMMYFUNCTION("""COMPUTED_VALUE"""),"W")</f>
        <v>W</v>
      </c>
      <c r="B2110" s="119" t="str">
        <f ca="1">IFERROR(__xludf.DUMMYFUNCTION("""COMPUTED_VALUE"""),"Evet Tran")</f>
        <v>Evet Tran</v>
      </c>
      <c r="C2110" s="118">
        <f ca="1">IFERROR(__xludf.DUMMYFUNCTION("""COMPUTED_VALUE"""),13)</f>
        <v>13</v>
      </c>
      <c r="D2110" s="118" t="str">
        <f ca="1">IFERROR(__xludf.DUMMYFUNCTION("""COMPUTED_VALUE"""),"G")</f>
        <v>G</v>
      </c>
      <c r="E2110" s="118" t="str">
        <f ca="1">IFERROR(__xludf.DUMMYFUNCTION("""COMPUTED_VALUE"""),"I")</f>
        <v>I</v>
      </c>
      <c r="F2110" s="124" t="str">
        <f ca="1">IFERROR(__xludf.DUMMYFUNCTION("""COMPUTED_VALUE"""),"S")</f>
        <v>S</v>
      </c>
      <c r="G2110" s="124">
        <f ca="1">IFERROR(__xludf.DUMMYFUNCTION("""COMPUTED_VALUE"""),4)</f>
        <v>4</v>
      </c>
      <c r="H2110" s="124" t="str">
        <f ca="1">IFERROR(__xludf.DUMMYFUNCTION("""COMPUTED_VALUE"""),"W")</f>
        <v>W</v>
      </c>
      <c r="I2110" s="124">
        <f ca="1">IFERROR(__xludf.DUMMYFUNCTION("""COMPUTED_VALUE"""),8)</f>
        <v>8</v>
      </c>
      <c r="J2110" s="124">
        <f ca="1">IFERROR(__xludf.DUMMYFUNCTION("""COMPUTED_VALUE"""),0)</f>
        <v>0</v>
      </c>
      <c r="K2110" s="125"/>
      <c r="L2110" s="121"/>
      <c r="M2110" s="125"/>
      <c r="N2110" s="121"/>
      <c r="O2110" s="125"/>
      <c r="P2110" s="126"/>
      <c r="Q2110" s="127"/>
      <c r="R2110" s="127"/>
      <c r="S2110" s="127"/>
      <c r="T2110" s="127"/>
    </row>
    <row r="2111" spans="1:20" ht="13.8">
      <c r="A2111" s="118" t="str">
        <f ca="1">IFERROR(__xludf.DUMMYFUNCTION("""COMPUTED_VALUE"""),"W")</f>
        <v>W</v>
      </c>
      <c r="B2111" s="119" t="str">
        <f ca="1">IFERROR(__xludf.DUMMYFUNCTION("""COMPUTED_VALUE"""),"Miriam Stavlund")</f>
        <v>Miriam Stavlund</v>
      </c>
      <c r="C2111" s="118">
        <f ca="1">IFERROR(__xludf.DUMMYFUNCTION("""COMPUTED_VALUE"""),13)</f>
        <v>13</v>
      </c>
      <c r="D2111" s="118" t="str">
        <f ca="1">IFERROR(__xludf.DUMMYFUNCTION("""COMPUTED_VALUE"""),"G")</f>
        <v>G</v>
      </c>
      <c r="E2111" s="118" t="str">
        <f ca="1">IFERROR(__xludf.DUMMYFUNCTION("""COMPUTED_VALUE"""),"I")</f>
        <v>I</v>
      </c>
      <c r="F2111" s="124" t="str">
        <f ca="1">IFERROR(__xludf.DUMMYFUNCTION("""COMPUTED_VALUE"""),"S")</f>
        <v>S</v>
      </c>
      <c r="G2111" s="124">
        <f ca="1">IFERROR(__xludf.DUMMYFUNCTION("""COMPUTED_VALUE"""),4)</f>
        <v>4</v>
      </c>
      <c r="H2111" s="124" t="str">
        <f ca="1">IFERROR(__xludf.DUMMYFUNCTION("""COMPUTED_VALUE"""),"W")</f>
        <v>W</v>
      </c>
      <c r="I2111" s="124">
        <f ca="1">IFERROR(__xludf.DUMMYFUNCTION("""COMPUTED_VALUE"""),8)</f>
        <v>8</v>
      </c>
      <c r="J2111" s="124">
        <f ca="1">IFERROR(__xludf.DUMMYFUNCTION("""COMPUTED_VALUE"""),0)</f>
        <v>0</v>
      </c>
      <c r="K2111" s="125"/>
      <c r="L2111" s="121"/>
      <c r="M2111" s="125"/>
      <c r="N2111" s="121"/>
      <c r="O2111" s="125"/>
      <c r="P2111" s="126"/>
      <c r="Q2111" s="127"/>
      <c r="R2111" s="127"/>
      <c r="S2111" s="127"/>
      <c r="T2111" s="127"/>
    </row>
    <row r="2112" spans="1:20" ht="13.8">
      <c r="A2112" s="118" t="str">
        <f ca="1">IFERROR(__xludf.DUMMYFUNCTION("""COMPUTED_VALUE"""),"W")</f>
        <v>W</v>
      </c>
      <c r="B2112" s="119" t="str">
        <f ca="1">IFERROR(__xludf.DUMMYFUNCTION("""COMPUTED_VALUE"""),"Rylan Woods")</f>
        <v>Rylan Woods</v>
      </c>
      <c r="C2112" s="118">
        <f ca="1">IFERROR(__xludf.DUMMYFUNCTION("""COMPUTED_VALUE"""),13)</f>
        <v>13</v>
      </c>
      <c r="D2112" s="118" t="str">
        <f ca="1">IFERROR(__xludf.DUMMYFUNCTION("""COMPUTED_VALUE"""),"G")</f>
        <v>G</v>
      </c>
      <c r="E2112" s="118" t="str">
        <f ca="1">IFERROR(__xludf.DUMMYFUNCTION("""COMPUTED_VALUE"""),"I")</f>
        <v>I</v>
      </c>
      <c r="F2112" s="124" t="str">
        <f ca="1">IFERROR(__xludf.DUMMYFUNCTION("""COMPUTED_VALUE"""),"S")</f>
        <v>S</v>
      </c>
      <c r="G2112" s="124">
        <f ca="1">IFERROR(__xludf.DUMMYFUNCTION("""COMPUTED_VALUE"""),4)</f>
        <v>4</v>
      </c>
      <c r="H2112" s="124" t="str">
        <f ca="1">IFERROR(__xludf.DUMMYFUNCTION("""COMPUTED_VALUE"""),"W")</f>
        <v>W</v>
      </c>
      <c r="I2112" s="124">
        <f ca="1">IFERROR(__xludf.DUMMYFUNCTION("""COMPUTED_VALUE"""),8)</f>
        <v>8</v>
      </c>
      <c r="J2112" s="124">
        <f ca="1">IFERROR(__xludf.DUMMYFUNCTION("""COMPUTED_VALUE"""),4)</f>
        <v>4</v>
      </c>
      <c r="K2112" s="125">
        <f ca="1">IFERROR(__xludf.DUMMYFUNCTION("""COMPUTED_VALUE"""),117.85)</f>
        <v>117.85</v>
      </c>
      <c r="L2112" s="121"/>
      <c r="M2112" s="125"/>
      <c r="N2112" s="121"/>
      <c r="O2112" s="125">
        <f ca="1">IFERROR(__xludf.DUMMYFUNCTION("""COMPUTED_VALUE"""),117.45)</f>
        <v>117.45</v>
      </c>
      <c r="P2112" s="126"/>
      <c r="Q2112" s="127"/>
      <c r="R2112" s="127"/>
      <c r="S2112" s="127"/>
      <c r="T2112" s="127"/>
    </row>
    <row r="2113" spans="1:20" ht="13.8">
      <c r="A2113" s="118" t="str">
        <f ca="1">IFERROR(__xludf.DUMMYFUNCTION("""COMPUTED_VALUE"""),"W")</f>
        <v>W</v>
      </c>
      <c r="B2113" s="119" t="str">
        <f ca="1">IFERROR(__xludf.DUMMYFUNCTION("""COMPUTED_VALUE"""),"Tennley Jackson")</f>
        <v>Tennley Jackson</v>
      </c>
      <c r="C2113" s="118">
        <f ca="1">IFERROR(__xludf.DUMMYFUNCTION("""COMPUTED_VALUE"""),13)</f>
        <v>13</v>
      </c>
      <c r="D2113" s="118" t="str">
        <f ca="1">IFERROR(__xludf.DUMMYFUNCTION("""COMPUTED_VALUE"""),"G")</f>
        <v>G</v>
      </c>
      <c r="E2113" s="118" t="str">
        <f ca="1">IFERROR(__xludf.DUMMYFUNCTION("""COMPUTED_VALUE"""),"I")</f>
        <v>I</v>
      </c>
      <c r="F2113" s="124" t="str">
        <f ca="1">IFERROR(__xludf.DUMMYFUNCTION("""COMPUTED_VALUE"""),"S")</f>
        <v>S</v>
      </c>
      <c r="G2113" s="124">
        <f ca="1">IFERROR(__xludf.DUMMYFUNCTION("""COMPUTED_VALUE"""),4)</f>
        <v>4</v>
      </c>
      <c r="H2113" s="124" t="str">
        <f ca="1">IFERROR(__xludf.DUMMYFUNCTION("""COMPUTED_VALUE"""),"W")</f>
        <v>W</v>
      </c>
      <c r="I2113" s="124">
        <f ca="1">IFERROR(__xludf.DUMMYFUNCTION("""COMPUTED_VALUE"""),8)</f>
        <v>8</v>
      </c>
      <c r="J2113" s="124">
        <f ca="1">IFERROR(__xludf.DUMMYFUNCTION("""COMPUTED_VALUE"""),0)</f>
        <v>0</v>
      </c>
      <c r="K2113" s="125"/>
      <c r="L2113" s="121"/>
      <c r="M2113" s="125"/>
      <c r="N2113" s="121"/>
      <c r="O2113" s="125"/>
      <c r="P2113" s="126"/>
      <c r="Q2113" s="127"/>
      <c r="R2113" s="127"/>
      <c r="S2113" s="127"/>
      <c r="T2113" s="127"/>
    </row>
    <row r="2114" spans="1:20" ht="13.8">
      <c r="A2114" s="118" t="str">
        <f ca="1">IFERROR(__xludf.DUMMYFUNCTION("""COMPUTED_VALUE"""),"W")</f>
        <v>W</v>
      </c>
      <c r="B2114" s="119" t="str">
        <f ca="1">IFERROR(__xludf.DUMMYFUNCTION("""COMPUTED_VALUE"""),"Alex Lum")</f>
        <v>Alex Lum</v>
      </c>
      <c r="C2114" s="118">
        <f ca="1">IFERROR(__xludf.DUMMYFUNCTION("""COMPUTED_VALUE"""),13)</f>
        <v>13</v>
      </c>
      <c r="D2114" s="118" t="str">
        <f ca="1">IFERROR(__xludf.DUMMYFUNCTION("""COMPUTED_VALUE"""),"B")</f>
        <v>B</v>
      </c>
      <c r="E2114" s="118" t="str">
        <f ca="1">IFERROR(__xludf.DUMMYFUNCTION("""COMPUTED_VALUE"""),"I")</f>
        <v>I</v>
      </c>
      <c r="F2114" s="124" t="str">
        <f ca="1">IFERROR(__xludf.DUMMYFUNCTION("""COMPUTED_VALUE"""),"S")</f>
        <v>S</v>
      </c>
      <c r="G2114" s="124">
        <f ca="1">IFERROR(__xludf.DUMMYFUNCTION("""COMPUTED_VALUE"""),4)</f>
        <v>4</v>
      </c>
      <c r="H2114" s="124" t="str">
        <f ca="1">IFERROR(__xludf.DUMMYFUNCTION("""COMPUTED_VALUE"""),"W")</f>
        <v>W</v>
      </c>
      <c r="I2114" s="124">
        <f ca="1">IFERROR(__xludf.DUMMYFUNCTION("""COMPUTED_VALUE"""),9)</f>
        <v>9</v>
      </c>
      <c r="J2114" s="124">
        <f ca="1">IFERROR(__xludf.DUMMYFUNCTION("""COMPUTED_VALUE"""),4)</f>
        <v>4</v>
      </c>
      <c r="K2114" s="125">
        <f ca="1">IFERROR(__xludf.DUMMYFUNCTION("""COMPUTED_VALUE"""),154.25)</f>
        <v>154.25</v>
      </c>
      <c r="L2114" s="121"/>
      <c r="M2114" s="125">
        <f ca="1">IFERROR(__xludf.DUMMYFUNCTION("""COMPUTED_VALUE"""),117.95)</f>
        <v>117.95</v>
      </c>
      <c r="N2114" s="121"/>
      <c r="O2114" s="125"/>
      <c r="P2114" s="126"/>
      <c r="Q2114" s="127"/>
      <c r="R2114" s="127"/>
      <c r="S2114" s="127"/>
      <c r="T2114" s="127"/>
    </row>
    <row r="2115" spans="1:20" ht="13.8">
      <c r="A2115" s="118" t="str">
        <f ca="1">IFERROR(__xludf.DUMMYFUNCTION("""COMPUTED_VALUE"""),"W")</f>
        <v>W</v>
      </c>
      <c r="B2115" s="119" t="str">
        <f ca="1">IFERROR(__xludf.DUMMYFUNCTION("""COMPUTED_VALUE"""),"Asa Keller")</f>
        <v>Asa Keller</v>
      </c>
      <c r="C2115" s="118">
        <f ca="1">IFERROR(__xludf.DUMMYFUNCTION("""COMPUTED_VALUE"""),13)</f>
        <v>13</v>
      </c>
      <c r="D2115" s="118" t="str">
        <f ca="1">IFERROR(__xludf.DUMMYFUNCTION("""COMPUTED_VALUE"""),"B")</f>
        <v>B</v>
      </c>
      <c r="E2115" s="118" t="str">
        <f ca="1">IFERROR(__xludf.DUMMYFUNCTION("""COMPUTED_VALUE"""),"I")</f>
        <v>I</v>
      </c>
      <c r="F2115" s="124" t="str">
        <f ca="1">IFERROR(__xludf.DUMMYFUNCTION("""COMPUTED_VALUE"""),"S")</f>
        <v>S</v>
      </c>
      <c r="G2115" s="124">
        <f ca="1">IFERROR(__xludf.DUMMYFUNCTION("""COMPUTED_VALUE"""),4)</f>
        <v>4</v>
      </c>
      <c r="H2115" s="124" t="str">
        <f ca="1">IFERROR(__xludf.DUMMYFUNCTION("""COMPUTED_VALUE"""),"W")</f>
        <v>W</v>
      </c>
      <c r="I2115" s="124">
        <f ca="1">IFERROR(__xludf.DUMMYFUNCTION("""COMPUTED_VALUE"""),9)</f>
        <v>9</v>
      </c>
      <c r="J2115" s="124">
        <f ca="1">IFERROR(__xludf.DUMMYFUNCTION("""COMPUTED_VALUE"""),4)</f>
        <v>4</v>
      </c>
      <c r="K2115" s="125">
        <f ca="1">IFERROR(__xludf.DUMMYFUNCTION("""COMPUTED_VALUE"""),69.35)</f>
        <v>69.349999999999994</v>
      </c>
      <c r="L2115" s="121"/>
      <c r="M2115" s="125">
        <f ca="1">IFERROR(__xludf.DUMMYFUNCTION("""COMPUTED_VALUE"""),59.35)</f>
        <v>59.35</v>
      </c>
      <c r="N2115" s="121"/>
      <c r="O2115" s="125">
        <f ca="1">IFERROR(__xludf.DUMMYFUNCTION("""COMPUTED_VALUE"""),61.75)</f>
        <v>61.75</v>
      </c>
      <c r="P2115" s="126"/>
      <c r="Q2115" s="127"/>
      <c r="R2115" s="127"/>
      <c r="S2115" s="127"/>
      <c r="T2115" s="127"/>
    </row>
    <row r="2116" spans="1:20" ht="13.8">
      <c r="A2116" s="118" t="str">
        <f ca="1">IFERROR(__xludf.DUMMYFUNCTION("""COMPUTED_VALUE"""),"W")</f>
        <v>W</v>
      </c>
      <c r="B2116" s="119" t="str">
        <f ca="1">IFERROR(__xludf.DUMMYFUNCTION("""COMPUTED_VALUE"""),"Ben Pollack")</f>
        <v>Ben Pollack</v>
      </c>
      <c r="C2116" s="118">
        <f ca="1">IFERROR(__xludf.DUMMYFUNCTION("""COMPUTED_VALUE"""),14)</f>
        <v>14</v>
      </c>
      <c r="D2116" s="118" t="str">
        <f ca="1">IFERROR(__xludf.DUMMYFUNCTION("""COMPUTED_VALUE"""),"B")</f>
        <v>B</v>
      </c>
      <c r="E2116" s="118" t="str">
        <f ca="1">IFERROR(__xludf.DUMMYFUNCTION("""COMPUTED_VALUE"""),"I")</f>
        <v>I</v>
      </c>
      <c r="F2116" s="124" t="str">
        <f ca="1">IFERROR(__xludf.DUMMYFUNCTION("""COMPUTED_VALUE"""),"S")</f>
        <v>S</v>
      </c>
      <c r="G2116" s="124">
        <f ca="1">IFERROR(__xludf.DUMMYFUNCTION("""COMPUTED_VALUE"""),4)</f>
        <v>4</v>
      </c>
      <c r="H2116" s="124" t="str">
        <f ca="1">IFERROR(__xludf.DUMMYFUNCTION("""COMPUTED_VALUE"""),"W")</f>
        <v>W</v>
      </c>
      <c r="I2116" s="124">
        <f ca="1">IFERROR(__xludf.DUMMYFUNCTION("""COMPUTED_VALUE"""),9)</f>
        <v>9</v>
      </c>
      <c r="J2116" s="124">
        <f ca="1">IFERROR(__xludf.DUMMYFUNCTION("""COMPUTED_VALUE"""),5)</f>
        <v>5</v>
      </c>
      <c r="K2116" s="125">
        <f ca="1">IFERROR(__xludf.DUMMYFUNCTION("""COMPUTED_VALUE"""),97.5)</f>
        <v>97.5</v>
      </c>
      <c r="L2116" s="121"/>
      <c r="M2116" s="125">
        <f ca="1">IFERROR(__xludf.DUMMYFUNCTION("""COMPUTED_VALUE"""),88.2)</f>
        <v>88.2</v>
      </c>
      <c r="N2116" s="121"/>
      <c r="O2116" s="125">
        <f ca="1">IFERROR(__xludf.DUMMYFUNCTION("""COMPUTED_VALUE"""),97.5)</f>
        <v>97.5</v>
      </c>
      <c r="P2116" s="126"/>
      <c r="Q2116" s="127"/>
      <c r="R2116" s="127"/>
      <c r="S2116" s="127"/>
      <c r="T2116" s="127"/>
    </row>
    <row r="2117" spans="1:20" ht="13.8">
      <c r="A2117" s="118" t="str">
        <f ca="1">IFERROR(__xludf.DUMMYFUNCTION("""COMPUTED_VALUE"""),"W")</f>
        <v>W</v>
      </c>
      <c r="B2117" s="119" t="str">
        <f ca="1">IFERROR(__xludf.DUMMYFUNCTION("""COMPUTED_VALUE"""),"Hynes Tran")</f>
        <v>Hynes Tran</v>
      </c>
      <c r="C2117" s="118">
        <f ca="1">IFERROR(__xludf.DUMMYFUNCTION("""COMPUTED_VALUE"""),14)</f>
        <v>14</v>
      </c>
      <c r="D2117" s="118" t="str">
        <f ca="1">IFERROR(__xludf.DUMMYFUNCTION("""COMPUTED_VALUE"""),"B")</f>
        <v>B</v>
      </c>
      <c r="E2117" s="118" t="str">
        <f ca="1">IFERROR(__xludf.DUMMYFUNCTION("""COMPUTED_VALUE"""),"I")</f>
        <v>I</v>
      </c>
      <c r="F2117" s="124" t="str">
        <f ca="1">IFERROR(__xludf.DUMMYFUNCTION("""COMPUTED_VALUE"""),"S")</f>
        <v>S</v>
      </c>
      <c r="G2117" s="124">
        <f ca="1">IFERROR(__xludf.DUMMYFUNCTION("""COMPUTED_VALUE"""),4)</f>
        <v>4</v>
      </c>
      <c r="H2117" s="124" t="str">
        <f ca="1">IFERROR(__xludf.DUMMYFUNCTION("""COMPUTED_VALUE"""),"W")</f>
        <v>W</v>
      </c>
      <c r="I2117" s="124">
        <f ca="1">IFERROR(__xludf.DUMMYFUNCTION("""COMPUTED_VALUE"""),9)</f>
        <v>9</v>
      </c>
      <c r="J2117" s="124">
        <f ca="1">IFERROR(__xludf.DUMMYFUNCTION("""COMPUTED_VALUE"""),0)</f>
        <v>0</v>
      </c>
      <c r="K2117" s="125"/>
      <c r="L2117" s="121"/>
      <c r="M2117" s="125"/>
      <c r="N2117" s="121"/>
      <c r="O2117" s="125"/>
      <c r="P2117" s="126"/>
      <c r="Q2117" s="127"/>
      <c r="R2117" s="127"/>
      <c r="S2117" s="127"/>
      <c r="T2117" s="127"/>
    </row>
    <row r="2118" spans="1:20" ht="13.8">
      <c r="A2118" s="118" t="str">
        <f ca="1">IFERROR(__xludf.DUMMYFUNCTION("""COMPUTED_VALUE"""),"W")</f>
        <v>W</v>
      </c>
      <c r="B2118" s="119" t="str">
        <f ca="1">IFERROR(__xludf.DUMMYFUNCTION("""COMPUTED_VALUE"""),"Optimus Bigby")</f>
        <v>Optimus Bigby</v>
      </c>
      <c r="C2118" s="118">
        <f ca="1">IFERROR(__xludf.DUMMYFUNCTION("""COMPUTED_VALUE"""),13)</f>
        <v>13</v>
      </c>
      <c r="D2118" s="118" t="str">
        <f ca="1">IFERROR(__xludf.DUMMYFUNCTION("""COMPUTED_VALUE"""),"B")</f>
        <v>B</v>
      </c>
      <c r="E2118" s="118" t="str">
        <f ca="1">IFERROR(__xludf.DUMMYFUNCTION("""COMPUTED_VALUE"""),"I")</f>
        <v>I</v>
      </c>
      <c r="F2118" s="124" t="str">
        <f ca="1">IFERROR(__xludf.DUMMYFUNCTION("""COMPUTED_VALUE"""),"S")</f>
        <v>S</v>
      </c>
      <c r="G2118" s="124">
        <f ca="1">IFERROR(__xludf.DUMMYFUNCTION("""COMPUTED_VALUE"""),4)</f>
        <v>4</v>
      </c>
      <c r="H2118" s="124" t="str">
        <f ca="1">IFERROR(__xludf.DUMMYFUNCTION("""COMPUTED_VALUE"""),"W")</f>
        <v>W</v>
      </c>
      <c r="I2118" s="124">
        <f ca="1">IFERROR(__xludf.DUMMYFUNCTION("""COMPUTED_VALUE"""),9)</f>
        <v>9</v>
      </c>
      <c r="J2118" s="124">
        <f ca="1">IFERROR(__xludf.DUMMYFUNCTION("""COMPUTED_VALUE"""),5)</f>
        <v>5</v>
      </c>
      <c r="K2118" s="125">
        <f ca="1">IFERROR(__xludf.DUMMYFUNCTION("""COMPUTED_VALUE"""),90.9)</f>
        <v>90.9</v>
      </c>
      <c r="L2118" s="121"/>
      <c r="M2118" s="125">
        <f ca="1">IFERROR(__xludf.DUMMYFUNCTION("""COMPUTED_VALUE"""),68.45)</f>
        <v>68.45</v>
      </c>
      <c r="N2118" s="121"/>
      <c r="O2118" s="125">
        <f ca="1">IFERROR(__xludf.DUMMYFUNCTION("""COMPUTED_VALUE"""),90.65)</f>
        <v>90.65</v>
      </c>
      <c r="P2118" s="126"/>
      <c r="Q2118" s="127"/>
      <c r="R2118" s="127"/>
      <c r="S2118" s="127"/>
      <c r="T2118" s="127"/>
    </row>
    <row r="2119" spans="1:20" ht="13.8">
      <c r="A2119" s="118" t="str">
        <f ca="1">IFERROR(__xludf.DUMMYFUNCTION("""COMPUTED_VALUE"""),"W")</f>
        <v>W</v>
      </c>
      <c r="B2119" s="119" t="str">
        <f ca="1">IFERROR(__xludf.DUMMYFUNCTION("""COMPUTED_VALUE"""),"Elizabeth Bell")</f>
        <v>Elizabeth Bell</v>
      </c>
      <c r="C2119" s="118">
        <f ca="1">IFERROR(__xludf.DUMMYFUNCTION("""COMPUTED_VALUE"""),17)</f>
        <v>17</v>
      </c>
      <c r="D2119" s="118" t="str">
        <f ca="1">IFERROR(__xludf.DUMMYFUNCTION("""COMPUTED_VALUE"""),"G")</f>
        <v>G</v>
      </c>
      <c r="E2119" s="118" t="str">
        <f ca="1">IFERROR(__xludf.DUMMYFUNCTION("""COMPUTED_VALUE"""),"S")</f>
        <v>S</v>
      </c>
      <c r="F2119" s="124" t="str">
        <f ca="1">IFERROR(__xludf.DUMMYFUNCTION("""COMPUTED_VALUE"""),"S")</f>
        <v>S</v>
      </c>
      <c r="G2119" s="124">
        <f ca="1">IFERROR(__xludf.DUMMYFUNCTION("""COMPUTED_VALUE"""),4)</f>
        <v>4</v>
      </c>
      <c r="H2119" s="124" t="str">
        <f ca="1">IFERROR(__xludf.DUMMYFUNCTION("""COMPUTED_VALUE"""),"W")</f>
        <v>W</v>
      </c>
      <c r="I2119" s="124">
        <f ca="1">IFERROR(__xludf.DUMMYFUNCTION("""COMPUTED_VALUE"""),10)</f>
        <v>10</v>
      </c>
      <c r="J2119" s="124">
        <f ca="1">IFERROR(__xludf.DUMMYFUNCTION("""COMPUTED_VALUE"""),4)</f>
        <v>4</v>
      </c>
      <c r="K2119" s="125">
        <f ca="1">IFERROR(__xludf.DUMMYFUNCTION("""COMPUTED_VALUE"""),156.5)</f>
        <v>156.5</v>
      </c>
      <c r="L2119" s="121"/>
      <c r="M2119" s="125">
        <f ca="1">IFERROR(__xludf.DUMMYFUNCTION("""COMPUTED_VALUE"""),150.2)</f>
        <v>150.19999999999999</v>
      </c>
      <c r="N2119" s="121"/>
      <c r="O2119" s="125"/>
      <c r="P2119" s="126"/>
      <c r="Q2119" s="127"/>
      <c r="R2119" s="127"/>
      <c r="S2119" s="127"/>
      <c r="T2119" s="127"/>
    </row>
    <row r="2120" spans="1:20" ht="13.8">
      <c r="A2120" s="118" t="str">
        <f ca="1">IFERROR(__xludf.DUMMYFUNCTION("""COMPUTED_VALUE"""),"W")</f>
        <v>W</v>
      </c>
      <c r="B2120" s="119" t="str">
        <f ca="1">IFERROR(__xludf.DUMMYFUNCTION("""COMPUTED_VALUE"""),"Caleb Hoover")</f>
        <v>Caleb Hoover</v>
      </c>
      <c r="C2120" s="118">
        <f ca="1">IFERROR(__xludf.DUMMYFUNCTION("""COMPUTED_VALUE"""),16)</f>
        <v>16</v>
      </c>
      <c r="D2120" s="118" t="str">
        <f ca="1">IFERROR(__xludf.DUMMYFUNCTION("""COMPUTED_VALUE"""),"B")</f>
        <v>B</v>
      </c>
      <c r="E2120" s="118" t="str">
        <f ca="1">IFERROR(__xludf.DUMMYFUNCTION("""COMPUTED_VALUE"""),"S")</f>
        <v>S</v>
      </c>
      <c r="F2120" s="124" t="str">
        <f ca="1">IFERROR(__xludf.DUMMYFUNCTION("""COMPUTED_VALUE"""),"S")</f>
        <v>S</v>
      </c>
      <c r="G2120" s="124">
        <f ca="1">IFERROR(__xludf.DUMMYFUNCTION("""COMPUTED_VALUE"""),4)</f>
        <v>4</v>
      </c>
      <c r="H2120" s="124" t="str">
        <f ca="1">IFERROR(__xludf.DUMMYFUNCTION("""COMPUTED_VALUE"""),"W")</f>
        <v>W</v>
      </c>
      <c r="I2120" s="124">
        <f ca="1">IFERROR(__xludf.DUMMYFUNCTION("""COMPUTED_VALUE"""),11)</f>
        <v>11</v>
      </c>
      <c r="J2120" s="124">
        <f ca="1">IFERROR(__xludf.DUMMYFUNCTION("""COMPUTED_VALUE"""),4)</f>
        <v>4</v>
      </c>
      <c r="K2120" s="125">
        <f ca="1">IFERROR(__xludf.DUMMYFUNCTION("""COMPUTED_VALUE"""),151.55)</f>
        <v>151.55000000000001</v>
      </c>
      <c r="L2120" s="121"/>
      <c r="M2120" s="125">
        <f ca="1">IFERROR(__xludf.DUMMYFUNCTION("""COMPUTED_VALUE"""),130.95)</f>
        <v>130.94999999999999</v>
      </c>
      <c r="N2120" s="121"/>
      <c r="O2120" s="125">
        <f ca="1">IFERROR(__xludf.DUMMYFUNCTION("""COMPUTED_VALUE"""),133.3)</f>
        <v>133.30000000000001</v>
      </c>
      <c r="P2120" s="126"/>
      <c r="Q2120" s="127"/>
      <c r="R2120" s="127"/>
      <c r="S2120" s="127"/>
      <c r="T2120" s="127"/>
    </row>
    <row r="2121" spans="1:20" ht="13.8">
      <c r="A2121" s="118" t="str">
        <f ca="1">IFERROR(__xludf.DUMMYFUNCTION("""COMPUTED_VALUE"""),"W")</f>
        <v>W</v>
      </c>
      <c r="B2121" s="119" t="str">
        <f ca="1">IFERROR(__xludf.DUMMYFUNCTION("""COMPUTED_VALUE"""),"Currin Wilson")</f>
        <v>Currin Wilson</v>
      </c>
      <c r="C2121" s="118">
        <f ca="1">IFERROR(__xludf.DUMMYFUNCTION("""COMPUTED_VALUE"""),15)</f>
        <v>15</v>
      </c>
      <c r="D2121" s="118" t="str">
        <f ca="1">IFERROR(__xludf.DUMMYFUNCTION("""COMPUTED_VALUE"""),"B")</f>
        <v>B</v>
      </c>
      <c r="E2121" s="118" t="str">
        <f ca="1">IFERROR(__xludf.DUMMYFUNCTION("""COMPUTED_VALUE"""),"S")</f>
        <v>S</v>
      </c>
      <c r="F2121" s="124" t="str">
        <f ca="1">IFERROR(__xludf.DUMMYFUNCTION("""COMPUTED_VALUE"""),"S")</f>
        <v>S</v>
      </c>
      <c r="G2121" s="124">
        <f ca="1">IFERROR(__xludf.DUMMYFUNCTION("""COMPUTED_VALUE"""),4)</f>
        <v>4</v>
      </c>
      <c r="H2121" s="124" t="str">
        <f ca="1">IFERROR(__xludf.DUMMYFUNCTION("""COMPUTED_VALUE"""),"W")</f>
        <v>W</v>
      </c>
      <c r="I2121" s="124">
        <f ca="1">IFERROR(__xludf.DUMMYFUNCTION("""COMPUTED_VALUE"""),11)</f>
        <v>11</v>
      </c>
      <c r="J2121" s="124">
        <f ca="1">IFERROR(__xludf.DUMMYFUNCTION("""COMPUTED_VALUE"""),4)</f>
        <v>4</v>
      </c>
      <c r="K2121" s="125">
        <f ca="1">IFERROR(__xludf.DUMMYFUNCTION("""COMPUTED_VALUE"""),93.55)</f>
        <v>93.55</v>
      </c>
      <c r="L2121" s="121"/>
      <c r="M2121" s="125">
        <f ca="1">IFERROR(__xludf.DUMMYFUNCTION("""COMPUTED_VALUE"""),84.35)</f>
        <v>84.35</v>
      </c>
      <c r="N2121" s="121"/>
      <c r="O2121" s="125">
        <f ca="1">IFERROR(__xludf.DUMMYFUNCTION("""COMPUTED_VALUE"""),92.75)</f>
        <v>92.75</v>
      </c>
      <c r="P2121" s="126"/>
      <c r="Q2121" s="127"/>
      <c r="R2121" s="127"/>
      <c r="S2121" s="127"/>
      <c r="T2121" s="127"/>
    </row>
    <row r="2122" spans="1:20" ht="13.8">
      <c r="A2122" s="118" t="str">
        <f ca="1">IFERROR(__xludf.DUMMYFUNCTION("""COMPUTED_VALUE"""),"W")</f>
        <v>W</v>
      </c>
      <c r="B2122" s="119" t="str">
        <f ca="1">IFERROR(__xludf.DUMMYFUNCTION("""COMPUTED_VALUE"""),"Zach Napoli")</f>
        <v>Zach Napoli</v>
      </c>
      <c r="C2122" s="118">
        <f ca="1">IFERROR(__xludf.DUMMYFUNCTION("""COMPUTED_VALUE"""),15)</f>
        <v>15</v>
      </c>
      <c r="D2122" s="118" t="str">
        <f ca="1">IFERROR(__xludf.DUMMYFUNCTION("""COMPUTED_VALUE"""),"B")</f>
        <v>B</v>
      </c>
      <c r="E2122" s="118" t="str">
        <f ca="1">IFERROR(__xludf.DUMMYFUNCTION("""COMPUTED_VALUE"""),"S")</f>
        <v>S</v>
      </c>
      <c r="F2122" s="124" t="str">
        <f ca="1">IFERROR(__xludf.DUMMYFUNCTION("""COMPUTED_VALUE"""),"S")</f>
        <v>S</v>
      </c>
      <c r="G2122" s="124">
        <f ca="1">IFERROR(__xludf.DUMMYFUNCTION("""COMPUTED_VALUE"""),4)</f>
        <v>4</v>
      </c>
      <c r="H2122" s="124" t="str">
        <f ca="1">IFERROR(__xludf.DUMMYFUNCTION("""COMPUTED_VALUE"""),"W")</f>
        <v>W</v>
      </c>
      <c r="I2122" s="124">
        <f ca="1">IFERROR(__xludf.DUMMYFUNCTION("""COMPUTED_VALUE"""),11)</f>
        <v>11</v>
      </c>
      <c r="J2122" s="124">
        <f ca="1">IFERROR(__xludf.DUMMYFUNCTION("""COMPUTED_VALUE"""),5)</f>
        <v>5</v>
      </c>
      <c r="K2122" s="125">
        <f ca="1">IFERROR(__xludf.DUMMYFUNCTION("""COMPUTED_VALUE"""),112.5)</f>
        <v>112.5</v>
      </c>
      <c r="L2122" s="121"/>
      <c r="M2122" s="125">
        <f ca="1">IFERROR(__xludf.DUMMYFUNCTION("""COMPUTED_VALUE"""),95.65)</f>
        <v>95.65</v>
      </c>
      <c r="N2122" s="121"/>
      <c r="O2122" s="125">
        <f ca="1">IFERROR(__xludf.DUMMYFUNCTION("""COMPUTED_VALUE"""),112.5)</f>
        <v>112.5</v>
      </c>
      <c r="P2122" s="126"/>
      <c r="Q2122" s="127"/>
      <c r="R2122" s="127"/>
      <c r="S2122" s="127"/>
      <c r="T2122" s="127"/>
    </row>
    <row r="2123" spans="1:20" ht="13.8">
      <c r="A2123" s="118" t="str">
        <f ca="1">IFERROR(__xludf.DUMMYFUNCTION("""COMPUTED_VALUE"""),"WC")</f>
        <v>WC</v>
      </c>
      <c r="B2123" s="119" t="str">
        <f ca="1">IFERROR(__xludf.DUMMYFUNCTION("""COMPUTED_VALUE"""),"Alexa Rusk")</f>
        <v>Alexa Rusk</v>
      </c>
      <c r="C2123" s="118">
        <f ca="1">IFERROR(__xludf.DUMMYFUNCTION("""COMPUTED_VALUE"""),8)</f>
        <v>8</v>
      </c>
      <c r="D2123" s="118" t="str">
        <f ca="1">IFERROR(__xludf.DUMMYFUNCTION("""COMPUTED_VALUE"""),"G")</f>
        <v>G</v>
      </c>
      <c r="E2123" s="118" t="str">
        <f ca="1">IFERROR(__xludf.DUMMYFUNCTION("""COMPUTED_VALUE"""),"F")</f>
        <v>F</v>
      </c>
      <c r="F2123" s="124" t="str">
        <f ca="1">IFERROR(__xludf.DUMMYFUNCTION("""COMPUTED_VALUE"""),"J")</f>
        <v>J</v>
      </c>
      <c r="G2123" s="124">
        <f ca="1">IFERROR(__xludf.DUMMYFUNCTION("""COMPUTED_VALUE"""),6)</f>
        <v>6</v>
      </c>
      <c r="H2123" s="124" t="str">
        <f ca="1">IFERROR(__xludf.DUMMYFUNCTION("""COMPUTED_VALUE"""),"WC")</f>
        <v>WC</v>
      </c>
      <c r="I2123" s="124">
        <f ca="1">IFERROR(__xludf.DUMMYFUNCTION("""COMPUTED_VALUE"""),4)</f>
        <v>4</v>
      </c>
      <c r="J2123" s="124">
        <f ca="1">IFERROR(__xludf.DUMMYFUNCTION("""COMPUTED_VALUE"""),0)</f>
        <v>0</v>
      </c>
      <c r="K2123" s="125"/>
      <c r="L2123" s="121"/>
      <c r="M2123" s="125"/>
      <c r="N2123" s="121"/>
      <c r="O2123" s="125"/>
      <c r="P2123" s="126"/>
      <c r="Q2123" s="127"/>
      <c r="R2123" s="127"/>
      <c r="S2123" s="127"/>
      <c r="T2123" s="127"/>
    </row>
    <row r="2124" spans="1:20" ht="13.8">
      <c r="A2124" s="118" t="str">
        <f ca="1">IFERROR(__xludf.DUMMYFUNCTION("""COMPUTED_VALUE"""),"WC")</f>
        <v>WC</v>
      </c>
      <c r="B2124" s="119" t="str">
        <f ca="1">IFERROR(__xludf.DUMMYFUNCTION("""COMPUTED_VALUE"""),"Ana Negrelli")</f>
        <v>Ana Negrelli</v>
      </c>
      <c r="C2124" s="118">
        <f ca="1">IFERROR(__xludf.DUMMYFUNCTION("""COMPUTED_VALUE"""),10)</f>
        <v>10</v>
      </c>
      <c r="D2124" s="118" t="str">
        <f ca="1">IFERROR(__xludf.DUMMYFUNCTION("""COMPUTED_VALUE"""),"G")</f>
        <v>G</v>
      </c>
      <c r="E2124" s="118" t="str">
        <f ca="1">IFERROR(__xludf.DUMMYFUNCTION("""COMPUTED_VALUE"""),"F")</f>
        <v>F</v>
      </c>
      <c r="F2124" s="124" t="str">
        <f ca="1">IFERROR(__xludf.DUMMYFUNCTION("""COMPUTED_VALUE"""),"J")</f>
        <v>J</v>
      </c>
      <c r="G2124" s="124">
        <f ca="1">IFERROR(__xludf.DUMMYFUNCTION("""COMPUTED_VALUE"""),6)</f>
        <v>6</v>
      </c>
      <c r="H2124" s="124" t="str">
        <f ca="1">IFERROR(__xludf.DUMMYFUNCTION("""COMPUTED_VALUE"""),"WC")</f>
        <v>WC</v>
      </c>
      <c r="I2124" s="124">
        <f ca="1">IFERROR(__xludf.DUMMYFUNCTION("""COMPUTED_VALUE"""),4)</f>
        <v>4</v>
      </c>
      <c r="J2124" s="124">
        <f ca="1">IFERROR(__xludf.DUMMYFUNCTION("""COMPUTED_VALUE"""),5)</f>
        <v>5</v>
      </c>
      <c r="K2124" s="125">
        <f ca="1">IFERROR(__xludf.DUMMYFUNCTION("""COMPUTED_VALUE"""),49.65)</f>
        <v>49.65</v>
      </c>
      <c r="L2124" s="121"/>
      <c r="M2124" s="125">
        <f ca="1">IFERROR(__xludf.DUMMYFUNCTION("""COMPUTED_VALUE"""),47.85)</f>
        <v>47.85</v>
      </c>
      <c r="N2124" s="121"/>
      <c r="O2124" s="125">
        <f ca="1">IFERROR(__xludf.DUMMYFUNCTION("""COMPUTED_VALUE"""),49.65)</f>
        <v>49.65</v>
      </c>
      <c r="P2124" s="126"/>
      <c r="Q2124" s="127"/>
      <c r="R2124" s="127"/>
      <c r="S2124" s="127"/>
      <c r="T2124" s="127"/>
    </row>
    <row r="2125" spans="1:20" ht="13.8">
      <c r="A2125" s="118" t="str">
        <f ca="1">IFERROR(__xludf.DUMMYFUNCTION("""COMPUTED_VALUE"""),"WC")</f>
        <v>WC</v>
      </c>
      <c r="B2125" s="119" t="str">
        <f ca="1">IFERROR(__xludf.DUMMYFUNCTION("""COMPUTED_VALUE"""),"Annelise Saunders")</f>
        <v>Annelise Saunders</v>
      </c>
      <c r="C2125" s="118">
        <f ca="1">IFERROR(__xludf.DUMMYFUNCTION("""COMPUTED_VALUE"""),10)</f>
        <v>10</v>
      </c>
      <c r="D2125" s="118" t="str">
        <f ca="1">IFERROR(__xludf.DUMMYFUNCTION("""COMPUTED_VALUE"""),"G")</f>
        <v>G</v>
      </c>
      <c r="E2125" s="118" t="str">
        <f ca="1">IFERROR(__xludf.DUMMYFUNCTION("""COMPUTED_VALUE"""),"F")</f>
        <v>F</v>
      </c>
      <c r="F2125" s="124" t="str">
        <f ca="1">IFERROR(__xludf.DUMMYFUNCTION("""COMPUTED_VALUE"""),"J")</f>
        <v>J</v>
      </c>
      <c r="G2125" s="124">
        <f ca="1">IFERROR(__xludf.DUMMYFUNCTION("""COMPUTED_VALUE"""),6)</f>
        <v>6</v>
      </c>
      <c r="H2125" s="124" t="str">
        <f ca="1">IFERROR(__xludf.DUMMYFUNCTION("""COMPUTED_VALUE"""),"WC")</f>
        <v>WC</v>
      </c>
      <c r="I2125" s="124">
        <f ca="1">IFERROR(__xludf.DUMMYFUNCTION("""COMPUTED_VALUE"""),4)</f>
        <v>4</v>
      </c>
      <c r="J2125" s="124">
        <f ca="1">IFERROR(__xludf.DUMMYFUNCTION("""COMPUTED_VALUE"""),5)</f>
        <v>5</v>
      </c>
      <c r="K2125" s="125">
        <f ca="1">IFERROR(__xludf.DUMMYFUNCTION("""COMPUTED_VALUE"""),64.65)</f>
        <v>64.650000000000006</v>
      </c>
      <c r="L2125" s="121"/>
      <c r="M2125" s="125">
        <f ca="1">IFERROR(__xludf.DUMMYFUNCTION("""COMPUTED_VALUE"""),62.85)</f>
        <v>62.85</v>
      </c>
      <c r="N2125" s="121"/>
      <c r="O2125" s="125">
        <f ca="1">IFERROR(__xludf.DUMMYFUNCTION("""COMPUTED_VALUE"""),58.5)</f>
        <v>58.5</v>
      </c>
      <c r="P2125" s="126"/>
      <c r="Q2125" s="127"/>
      <c r="R2125" s="127"/>
      <c r="S2125" s="127"/>
      <c r="T2125" s="127"/>
    </row>
    <row r="2126" spans="1:20" ht="13.8">
      <c r="A2126" s="118" t="str">
        <f ca="1">IFERROR(__xludf.DUMMYFUNCTION("""COMPUTED_VALUE"""),"WC")</f>
        <v>WC</v>
      </c>
      <c r="B2126" s="119" t="str">
        <f ca="1">IFERROR(__xludf.DUMMYFUNCTION("""COMPUTED_VALUE"""),"Audrey Cusner")</f>
        <v>Audrey Cusner</v>
      </c>
      <c r="C2126" s="118">
        <f ca="1">IFERROR(__xludf.DUMMYFUNCTION("""COMPUTED_VALUE"""),10)</f>
        <v>10</v>
      </c>
      <c r="D2126" s="118" t="str">
        <f ca="1">IFERROR(__xludf.DUMMYFUNCTION("""COMPUTED_VALUE"""),"G")</f>
        <v>G</v>
      </c>
      <c r="E2126" s="118" t="str">
        <f ca="1">IFERROR(__xludf.DUMMYFUNCTION("""COMPUTED_VALUE"""),"F")</f>
        <v>F</v>
      </c>
      <c r="F2126" s="124" t="str">
        <f ca="1">IFERROR(__xludf.DUMMYFUNCTION("""COMPUTED_VALUE"""),"J")</f>
        <v>J</v>
      </c>
      <c r="G2126" s="124">
        <f ca="1">IFERROR(__xludf.DUMMYFUNCTION("""COMPUTED_VALUE"""),6)</f>
        <v>6</v>
      </c>
      <c r="H2126" s="124" t="str">
        <f ca="1">IFERROR(__xludf.DUMMYFUNCTION("""COMPUTED_VALUE"""),"WC")</f>
        <v>WC</v>
      </c>
      <c r="I2126" s="124">
        <f ca="1">IFERROR(__xludf.DUMMYFUNCTION("""COMPUTED_VALUE"""),4)</f>
        <v>4</v>
      </c>
      <c r="J2126" s="124">
        <f ca="1">IFERROR(__xludf.DUMMYFUNCTION("""COMPUTED_VALUE"""),0)</f>
        <v>0</v>
      </c>
      <c r="K2126" s="125"/>
      <c r="L2126" s="121"/>
      <c r="M2126" s="125"/>
      <c r="N2126" s="121"/>
      <c r="O2126" s="125"/>
      <c r="P2126" s="126"/>
      <c r="Q2126" s="127"/>
      <c r="R2126" s="127"/>
      <c r="S2126" s="127"/>
      <c r="T2126" s="127"/>
    </row>
    <row r="2127" spans="1:20" ht="13.8">
      <c r="A2127" s="118" t="str">
        <f ca="1">IFERROR(__xludf.DUMMYFUNCTION("""COMPUTED_VALUE"""),"WC")</f>
        <v>WC</v>
      </c>
      <c r="B2127" s="119" t="str">
        <f ca="1">IFERROR(__xludf.DUMMYFUNCTION("""COMPUTED_VALUE"""),"Bailey Themak")</f>
        <v>Bailey Themak</v>
      </c>
      <c r="C2127" s="118">
        <f ca="1">IFERROR(__xludf.DUMMYFUNCTION("""COMPUTED_VALUE"""),10)</f>
        <v>10</v>
      </c>
      <c r="D2127" s="118" t="str">
        <f ca="1">IFERROR(__xludf.DUMMYFUNCTION("""COMPUTED_VALUE"""),"G")</f>
        <v>G</v>
      </c>
      <c r="E2127" s="118" t="str">
        <f ca="1">IFERROR(__xludf.DUMMYFUNCTION("""COMPUTED_VALUE"""),"F")</f>
        <v>F</v>
      </c>
      <c r="F2127" s="124" t="str">
        <f ca="1">IFERROR(__xludf.DUMMYFUNCTION("""COMPUTED_VALUE"""),"J")</f>
        <v>J</v>
      </c>
      <c r="G2127" s="124">
        <f ca="1">IFERROR(__xludf.DUMMYFUNCTION("""COMPUTED_VALUE"""),6)</f>
        <v>6</v>
      </c>
      <c r="H2127" s="124" t="str">
        <f ca="1">IFERROR(__xludf.DUMMYFUNCTION("""COMPUTED_VALUE"""),"WC")</f>
        <v>WC</v>
      </c>
      <c r="I2127" s="124">
        <f ca="1">IFERROR(__xludf.DUMMYFUNCTION("""COMPUTED_VALUE"""),4)</f>
        <v>4</v>
      </c>
      <c r="J2127" s="124">
        <f ca="1">IFERROR(__xludf.DUMMYFUNCTION("""COMPUTED_VALUE"""),1)</f>
        <v>1</v>
      </c>
      <c r="K2127" s="125">
        <f ca="1">IFERROR(__xludf.DUMMYFUNCTION("""COMPUTED_VALUE"""),30.65)</f>
        <v>30.65</v>
      </c>
      <c r="L2127" s="121"/>
      <c r="M2127" s="125"/>
      <c r="N2127" s="121"/>
      <c r="O2127" s="125">
        <f ca="1">IFERROR(__xludf.DUMMYFUNCTION("""COMPUTED_VALUE"""),30.65)</f>
        <v>30.65</v>
      </c>
      <c r="P2127" s="126"/>
      <c r="Q2127" s="127"/>
      <c r="R2127" s="127"/>
      <c r="S2127" s="127"/>
      <c r="T2127" s="127"/>
    </row>
    <row r="2128" spans="1:20" ht="13.8">
      <c r="A2128" s="118" t="str">
        <f ca="1">IFERROR(__xludf.DUMMYFUNCTION("""COMPUTED_VALUE"""),"WC")</f>
        <v>WC</v>
      </c>
      <c r="B2128" s="119" t="str">
        <f ca="1">IFERROR(__xludf.DUMMYFUNCTION("""COMPUTED_VALUE"""),"Carolina Neill")</f>
        <v>Carolina Neill</v>
      </c>
      <c r="C2128" s="118">
        <f ca="1">IFERROR(__xludf.DUMMYFUNCTION("""COMPUTED_VALUE"""),10)</f>
        <v>10</v>
      </c>
      <c r="D2128" s="118" t="str">
        <f ca="1">IFERROR(__xludf.DUMMYFUNCTION("""COMPUTED_VALUE"""),"G")</f>
        <v>G</v>
      </c>
      <c r="E2128" s="118" t="str">
        <f ca="1">IFERROR(__xludf.DUMMYFUNCTION("""COMPUTED_VALUE"""),"F")</f>
        <v>F</v>
      </c>
      <c r="F2128" s="124" t="str">
        <f ca="1">IFERROR(__xludf.DUMMYFUNCTION("""COMPUTED_VALUE"""),"J")</f>
        <v>J</v>
      </c>
      <c r="G2128" s="124">
        <f ca="1">IFERROR(__xludf.DUMMYFUNCTION("""COMPUTED_VALUE"""),6)</f>
        <v>6</v>
      </c>
      <c r="H2128" s="124" t="str">
        <f ca="1">IFERROR(__xludf.DUMMYFUNCTION("""COMPUTED_VALUE"""),"WC")</f>
        <v>WC</v>
      </c>
      <c r="I2128" s="124">
        <f ca="1">IFERROR(__xludf.DUMMYFUNCTION("""COMPUTED_VALUE"""),4)</f>
        <v>4</v>
      </c>
      <c r="J2128" s="124">
        <f ca="1">IFERROR(__xludf.DUMMYFUNCTION("""COMPUTED_VALUE"""),2)</f>
        <v>2</v>
      </c>
      <c r="K2128" s="125">
        <f ca="1">IFERROR(__xludf.DUMMYFUNCTION("""COMPUTED_VALUE"""),61.3)</f>
        <v>61.3</v>
      </c>
      <c r="L2128" s="121"/>
      <c r="M2128" s="125"/>
      <c r="N2128" s="121"/>
      <c r="O2128" s="125"/>
      <c r="P2128" s="126"/>
      <c r="Q2128" s="127"/>
      <c r="R2128" s="127"/>
      <c r="S2128" s="127"/>
      <c r="T2128" s="127"/>
    </row>
    <row r="2129" spans="1:20" ht="13.8">
      <c r="A2129" s="118" t="str">
        <f ca="1">IFERROR(__xludf.DUMMYFUNCTION("""COMPUTED_VALUE"""),"WC")</f>
        <v>WC</v>
      </c>
      <c r="B2129" s="119" t="str">
        <f ca="1">IFERROR(__xludf.DUMMYFUNCTION("""COMPUTED_VALUE"""),"Charlotte Williams")</f>
        <v>Charlotte Williams</v>
      </c>
      <c r="C2129" s="118">
        <f ca="1">IFERROR(__xludf.DUMMYFUNCTION("""COMPUTED_VALUE"""),9)</f>
        <v>9</v>
      </c>
      <c r="D2129" s="118" t="str">
        <f ca="1">IFERROR(__xludf.DUMMYFUNCTION("""COMPUTED_VALUE"""),"G")</f>
        <v>G</v>
      </c>
      <c r="E2129" s="118" t="str">
        <f ca="1">IFERROR(__xludf.DUMMYFUNCTION("""COMPUTED_VALUE"""),"F")</f>
        <v>F</v>
      </c>
      <c r="F2129" s="124" t="str">
        <f ca="1">IFERROR(__xludf.DUMMYFUNCTION("""COMPUTED_VALUE"""),"J")</f>
        <v>J</v>
      </c>
      <c r="G2129" s="124">
        <f ca="1">IFERROR(__xludf.DUMMYFUNCTION("""COMPUTED_VALUE"""),6)</f>
        <v>6</v>
      </c>
      <c r="H2129" s="124" t="str">
        <f ca="1">IFERROR(__xludf.DUMMYFUNCTION("""COMPUTED_VALUE"""),"WC")</f>
        <v>WC</v>
      </c>
      <c r="I2129" s="124">
        <f ca="1">IFERROR(__xludf.DUMMYFUNCTION("""COMPUTED_VALUE"""),4)</f>
        <v>4</v>
      </c>
      <c r="J2129" s="124">
        <f ca="1">IFERROR(__xludf.DUMMYFUNCTION("""COMPUTED_VALUE"""),4)</f>
        <v>4</v>
      </c>
      <c r="K2129" s="125">
        <f ca="1">IFERROR(__xludf.DUMMYFUNCTION("""COMPUTED_VALUE"""),63.85)</f>
        <v>63.85</v>
      </c>
      <c r="L2129" s="121"/>
      <c r="M2129" s="125"/>
      <c r="N2129" s="121"/>
      <c r="O2129" s="125">
        <f ca="1">IFERROR(__xludf.DUMMYFUNCTION("""COMPUTED_VALUE"""),51.05)</f>
        <v>51.05</v>
      </c>
      <c r="P2129" s="126"/>
      <c r="Q2129" s="127"/>
      <c r="R2129" s="127"/>
      <c r="S2129" s="127"/>
      <c r="T2129" s="127"/>
    </row>
    <row r="2130" spans="1:20" ht="13.8">
      <c r="A2130" s="118" t="str">
        <f ca="1">IFERROR(__xludf.DUMMYFUNCTION("""COMPUTED_VALUE"""),"WC")</f>
        <v>WC</v>
      </c>
      <c r="B2130" s="119" t="str">
        <f ca="1">IFERROR(__xludf.DUMMYFUNCTION("""COMPUTED_VALUE"""),"Ella Pace")</f>
        <v>Ella Pace</v>
      </c>
      <c r="C2130" s="118">
        <f ca="1">IFERROR(__xludf.DUMMYFUNCTION("""COMPUTED_VALUE"""),10)</f>
        <v>10</v>
      </c>
      <c r="D2130" s="118" t="str">
        <f ca="1">IFERROR(__xludf.DUMMYFUNCTION("""COMPUTED_VALUE"""),"G")</f>
        <v>G</v>
      </c>
      <c r="E2130" s="118" t="str">
        <f ca="1">IFERROR(__xludf.DUMMYFUNCTION("""COMPUTED_VALUE"""),"F")</f>
        <v>F</v>
      </c>
      <c r="F2130" s="124" t="str">
        <f ca="1">IFERROR(__xludf.DUMMYFUNCTION("""COMPUTED_VALUE"""),"J")</f>
        <v>J</v>
      </c>
      <c r="G2130" s="124">
        <f ca="1">IFERROR(__xludf.DUMMYFUNCTION("""COMPUTED_VALUE"""),6)</f>
        <v>6</v>
      </c>
      <c r="H2130" s="124" t="str">
        <f ca="1">IFERROR(__xludf.DUMMYFUNCTION("""COMPUTED_VALUE"""),"WC")</f>
        <v>WC</v>
      </c>
      <c r="I2130" s="124">
        <f ca="1">IFERROR(__xludf.DUMMYFUNCTION("""COMPUTED_VALUE"""),4)</f>
        <v>4</v>
      </c>
      <c r="J2130" s="124">
        <f ca="1">IFERROR(__xludf.DUMMYFUNCTION("""COMPUTED_VALUE"""),0)</f>
        <v>0</v>
      </c>
      <c r="K2130" s="125"/>
      <c r="L2130" s="121"/>
      <c r="M2130" s="125"/>
      <c r="N2130" s="121"/>
      <c r="O2130" s="125"/>
      <c r="P2130" s="126"/>
      <c r="Q2130" s="127"/>
      <c r="R2130" s="127"/>
      <c r="S2130" s="127"/>
      <c r="T2130" s="127"/>
    </row>
    <row r="2131" spans="1:20" ht="13.8">
      <c r="A2131" s="118" t="str">
        <f ca="1">IFERROR(__xludf.DUMMYFUNCTION("""COMPUTED_VALUE"""),"WC")</f>
        <v>WC</v>
      </c>
      <c r="B2131" s="119" t="str">
        <f ca="1">IFERROR(__xludf.DUMMYFUNCTION("""COMPUTED_VALUE"""),"Ellie Cusner")</f>
        <v>Ellie Cusner</v>
      </c>
      <c r="C2131" s="118">
        <f ca="1">IFERROR(__xludf.DUMMYFUNCTION("""COMPUTED_VALUE"""),8)</f>
        <v>8</v>
      </c>
      <c r="D2131" s="118" t="str">
        <f ca="1">IFERROR(__xludf.DUMMYFUNCTION("""COMPUTED_VALUE"""),"G")</f>
        <v>G</v>
      </c>
      <c r="E2131" s="118" t="str">
        <f ca="1">IFERROR(__xludf.DUMMYFUNCTION("""COMPUTED_VALUE"""),"F")</f>
        <v>F</v>
      </c>
      <c r="F2131" s="124" t="str">
        <f ca="1">IFERROR(__xludf.DUMMYFUNCTION("""COMPUTED_VALUE"""),"J")</f>
        <v>J</v>
      </c>
      <c r="G2131" s="124">
        <f ca="1">IFERROR(__xludf.DUMMYFUNCTION("""COMPUTED_VALUE"""),6)</f>
        <v>6</v>
      </c>
      <c r="H2131" s="124" t="str">
        <f ca="1">IFERROR(__xludf.DUMMYFUNCTION("""COMPUTED_VALUE"""),"WC")</f>
        <v>WC</v>
      </c>
      <c r="I2131" s="124">
        <f ca="1">IFERROR(__xludf.DUMMYFUNCTION("""COMPUTED_VALUE"""),4)</f>
        <v>4</v>
      </c>
      <c r="J2131" s="124">
        <f ca="1">IFERROR(__xludf.DUMMYFUNCTION("""COMPUTED_VALUE"""),2)</f>
        <v>2</v>
      </c>
      <c r="K2131" s="125">
        <f ca="1">IFERROR(__xludf.DUMMYFUNCTION("""COMPUTED_VALUE"""),27.7)</f>
        <v>27.7</v>
      </c>
      <c r="L2131" s="121"/>
      <c r="M2131" s="125">
        <f ca="1">IFERROR(__xludf.DUMMYFUNCTION("""COMPUTED_VALUE"""),27.7)</f>
        <v>27.7</v>
      </c>
      <c r="N2131" s="121"/>
      <c r="O2131" s="125">
        <f ca="1">IFERROR(__xludf.DUMMYFUNCTION("""COMPUTED_VALUE"""),26.6)</f>
        <v>26.6</v>
      </c>
      <c r="P2131" s="126"/>
      <c r="Q2131" s="127"/>
      <c r="R2131" s="127"/>
      <c r="S2131" s="127"/>
      <c r="T2131" s="127"/>
    </row>
    <row r="2132" spans="1:20" ht="13.8">
      <c r="A2132" s="118" t="str">
        <f ca="1">IFERROR(__xludf.DUMMYFUNCTION("""COMPUTED_VALUE"""),"WC")</f>
        <v>WC</v>
      </c>
      <c r="B2132" s="119" t="str">
        <f ca="1">IFERROR(__xludf.DUMMYFUNCTION("""COMPUTED_VALUE"""),"Emily Skolnitsky")</f>
        <v>Emily Skolnitsky</v>
      </c>
      <c r="C2132" s="118">
        <f ca="1">IFERROR(__xludf.DUMMYFUNCTION("""COMPUTED_VALUE"""),9)</f>
        <v>9</v>
      </c>
      <c r="D2132" s="118" t="str">
        <f ca="1">IFERROR(__xludf.DUMMYFUNCTION("""COMPUTED_VALUE"""),"G")</f>
        <v>G</v>
      </c>
      <c r="E2132" s="118" t="str">
        <f ca="1">IFERROR(__xludf.DUMMYFUNCTION("""COMPUTED_VALUE"""),"F")</f>
        <v>F</v>
      </c>
      <c r="F2132" s="124" t="str">
        <f ca="1">IFERROR(__xludf.DUMMYFUNCTION("""COMPUTED_VALUE"""),"J")</f>
        <v>J</v>
      </c>
      <c r="G2132" s="124">
        <f ca="1">IFERROR(__xludf.DUMMYFUNCTION("""COMPUTED_VALUE"""),6)</f>
        <v>6</v>
      </c>
      <c r="H2132" s="124" t="str">
        <f ca="1">IFERROR(__xludf.DUMMYFUNCTION("""COMPUTED_VALUE"""),"WC")</f>
        <v>WC</v>
      </c>
      <c r="I2132" s="124">
        <f ca="1">IFERROR(__xludf.DUMMYFUNCTION("""COMPUTED_VALUE"""),4)</f>
        <v>4</v>
      </c>
      <c r="J2132" s="124">
        <f ca="1">IFERROR(__xludf.DUMMYFUNCTION("""COMPUTED_VALUE"""),0)</f>
        <v>0</v>
      </c>
      <c r="K2132" s="125"/>
      <c r="L2132" s="121"/>
      <c r="M2132" s="125"/>
      <c r="N2132" s="121"/>
      <c r="O2132" s="125"/>
      <c r="P2132" s="126"/>
      <c r="Q2132" s="127"/>
      <c r="R2132" s="127"/>
      <c r="S2132" s="127"/>
      <c r="T2132" s="127"/>
    </row>
    <row r="2133" spans="1:20" ht="13.8">
      <c r="A2133" s="118" t="str">
        <f ca="1">IFERROR(__xludf.DUMMYFUNCTION("""COMPUTED_VALUE"""),"WC")</f>
        <v>WC</v>
      </c>
      <c r="B2133" s="119" t="str">
        <f ca="1">IFERROR(__xludf.DUMMYFUNCTION("""COMPUTED_VALUE"""),"Isla Curry")</f>
        <v>Isla Curry</v>
      </c>
      <c r="C2133" s="118">
        <f ca="1">IFERROR(__xludf.DUMMYFUNCTION("""COMPUTED_VALUE"""),9)</f>
        <v>9</v>
      </c>
      <c r="D2133" s="118" t="str">
        <f ca="1">IFERROR(__xludf.DUMMYFUNCTION("""COMPUTED_VALUE"""),"G")</f>
        <v>G</v>
      </c>
      <c r="E2133" s="118" t="str">
        <f ca="1">IFERROR(__xludf.DUMMYFUNCTION("""COMPUTED_VALUE"""),"F")</f>
        <v>F</v>
      </c>
      <c r="F2133" s="124" t="str">
        <f ca="1">IFERROR(__xludf.DUMMYFUNCTION("""COMPUTED_VALUE"""),"J")</f>
        <v>J</v>
      </c>
      <c r="G2133" s="124">
        <f ca="1">IFERROR(__xludf.DUMMYFUNCTION("""COMPUTED_VALUE"""),6)</f>
        <v>6</v>
      </c>
      <c r="H2133" s="124" t="str">
        <f ca="1">IFERROR(__xludf.DUMMYFUNCTION("""COMPUTED_VALUE"""),"WC")</f>
        <v>WC</v>
      </c>
      <c r="I2133" s="124">
        <f ca="1">IFERROR(__xludf.DUMMYFUNCTION("""COMPUTED_VALUE"""),4)</f>
        <v>4</v>
      </c>
      <c r="J2133" s="124">
        <f ca="1">IFERROR(__xludf.DUMMYFUNCTION("""COMPUTED_VALUE"""),0)</f>
        <v>0</v>
      </c>
      <c r="K2133" s="125"/>
      <c r="L2133" s="121"/>
      <c r="M2133" s="125"/>
      <c r="N2133" s="121"/>
      <c r="O2133" s="125"/>
      <c r="P2133" s="126"/>
      <c r="Q2133" s="127"/>
      <c r="R2133" s="127"/>
      <c r="S2133" s="127"/>
      <c r="T2133" s="127"/>
    </row>
    <row r="2134" spans="1:20" ht="13.8">
      <c r="A2134" s="118" t="str">
        <f ca="1">IFERROR(__xludf.DUMMYFUNCTION("""COMPUTED_VALUE"""),"WC")</f>
        <v>WC</v>
      </c>
      <c r="B2134" s="119" t="str">
        <f ca="1">IFERROR(__xludf.DUMMYFUNCTION("""COMPUTED_VALUE"""),"Jillian Sandridge")</f>
        <v>Jillian Sandridge</v>
      </c>
      <c r="C2134" s="118">
        <f ca="1">IFERROR(__xludf.DUMMYFUNCTION("""COMPUTED_VALUE"""),10)</f>
        <v>10</v>
      </c>
      <c r="D2134" s="118" t="str">
        <f ca="1">IFERROR(__xludf.DUMMYFUNCTION("""COMPUTED_VALUE"""),"G")</f>
        <v>G</v>
      </c>
      <c r="E2134" s="118" t="str">
        <f ca="1">IFERROR(__xludf.DUMMYFUNCTION("""COMPUTED_VALUE"""),"F")</f>
        <v>F</v>
      </c>
      <c r="F2134" s="124" t="str">
        <f ca="1">IFERROR(__xludf.DUMMYFUNCTION("""COMPUTED_VALUE"""),"J")</f>
        <v>J</v>
      </c>
      <c r="G2134" s="124">
        <f ca="1">IFERROR(__xludf.DUMMYFUNCTION("""COMPUTED_VALUE"""),6)</f>
        <v>6</v>
      </c>
      <c r="H2134" s="124" t="str">
        <f ca="1">IFERROR(__xludf.DUMMYFUNCTION("""COMPUTED_VALUE"""),"WC")</f>
        <v>WC</v>
      </c>
      <c r="I2134" s="124">
        <f ca="1">IFERROR(__xludf.DUMMYFUNCTION("""COMPUTED_VALUE"""),4)</f>
        <v>4</v>
      </c>
      <c r="J2134" s="124">
        <f ca="1">IFERROR(__xludf.DUMMYFUNCTION("""COMPUTED_VALUE"""),0)</f>
        <v>0</v>
      </c>
      <c r="K2134" s="125"/>
      <c r="L2134" s="121"/>
      <c r="M2134" s="125"/>
      <c r="N2134" s="121"/>
      <c r="O2134" s="125"/>
      <c r="P2134" s="126"/>
      <c r="Q2134" s="127"/>
      <c r="R2134" s="127"/>
      <c r="S2134" s="127"/>
      <c r="T2134" s="127"/>
    </row>
    <row r="2135" spans="1:20" ht="13.8">
      <c r="A2135" s="118" t="str">
        <f ca="1">IFERROR(__xludf.DUMMYFUNCTION("""COMPUTED_VALUE"""),"WC")</f>
        <v>WC</v>
      </c>
      <c r="B2135" s="119" t="str">
        <f ca="1">IFERROR(__xludf.DUMMYFUNCTION("""COMPUTED_VALUE"""),"Juliette Campagna")</f>
        <v>Juliette Campagna</v>
      </c>
      <c r="C2135" s="118">
        <f ca="1">IFERROR(__xludf.DUMMYFUNCTION("""COMPUTED_VALUE"""),9)</f>
        <v>9</v>
      </c>
      <c r="D2135" s="118" t="str">
        <f ca="1">IFERROR(__xludf.DUMMYFUNCTION("""COMPUTED_VALUE"""),"G")</f>
        <v>G</v>
      </c>
      <c r="E2135" s="118" t="str">
        <f ca="1">IFERROR(__xludf.DUMMYFUNCTION("""COMPUTED_VALUE"""),"F")</f>
        <v>F</v>
      </c>
      <c r="F2135" s="124" t="str">
        <f ca="1">IFERROR(__xludf.DUMMYFUNCTION("""COMPUTED_VALUE"""),"J")</f>
        <v>J</v>
      </c>
      <c r="G2135" s="124">
        <f ca="1">IFERROR(__xludf.DUMMYFUNCTION("""COMPUTED_VALUE"""),6)</f>
        <v>6</v>
      </c>
      <c r="H2135" s="124" t="str">
        <f ca="1">IFERROR(__xludf.DUMMYFUNCTION("""COMPUTED_VALUE"""),"WC")</f>
        <v>WC</v>
      </c>
      <c r="I2135" s="124">
        <f ca="1">IFERROR(__xludf.DUMMYFUNCTION("""COMPUTED_VALUE"""),4)</f>
        <v>4</v>
      </c>
      <c r="J2135" s="124">
        <f ca="1">IFERROR(__xludf.DUMMYFUNCTION("""COMPUTED_VALUE"""),0)</f>
        <v>0</v>
      </c>
      <c r="K2135" s="125"/>
      <c r="L2135" s="121"/>
      <c r="M2135" s="125"/>
      <c r="N2135" s="121"/>
      <c r="O2135" s="125"/>
      <c r="P2135" s="126"/>
      <c r="Q2135" s="127"/>
      <c r="R2135" s="127"/>
      <c r="S2135" s="127"/>
      <c r="T2135" s="127"/>
    </row>
    <row r="2136" spans="1:20" ht="13.8">
      <c r="A2136" s="118" t="str">
        <f ca="1">IFERROR(__xludf.DUMMYFUNCTION("""COMPUTED_VALUE"""),"WC")</f>
        <v>WC</v>
      </c>
      <c r="B2136" s="119" t="str">
        <f ca="1">IFERROR(__xludf.DUMMYFUNCTION("""COMPUTED_VALUE"""),"Juliette Walsh")</f>
        <v>Juliette Walsh</v>
      </c>
      <c r="C2136" s="118">
        <f ca="1">IFERROR(__xludf.DUMMYFUNCTION("""COMPUTED_VALUE"""),7)</f>
        <v>7</v>
      </c>
      <c r="D2136" s="118" t="str">
        <f ca="1">IFERROR(__xludf.DUMMYFUNCTION("""COMPUTED_VALUE"""),"G")</f>
        <v>G</v>
      </c>
      <c r="E2136" s="118" t="str">
        <f ca="1">IFERROR(__xludf.DUMMYFUNCTION("""COMPUTED_VALUE"""),"F")</f>
        <v>F</v>
      </c>
      <c r="F2136" s="124" t="str">
        <f ca="1">IFERROR(__xludf.DUMMYFUNCTION("""COMPUTED_VALUE"""),"J")</f>
        <v>J</v>
      </c>
      <c r="G2136" s="124">
        <f ca="1">IFERROR(__xludf.DUMMYFUNCTION("""COMPUTED_VALUE"""),6)</f>
        <v>6</v>
      </c>
      <c r="H2136" s="124" t="str">
        <f ca="1">IFERROR(__xludf.DUMMYFUNCTION("""COMPUTED_VALUE"""),"WC")</f>
        <v>WC</v>
      </c>
      <c r="I2136" s="124">
        <f ca="1">IFERROR(__xludf.DUMMYFUNCTION("""COMPUTED_VALUE"""),4)</f>
        <v>4</v>
      </c>
      <c r="J2136" s="124">
        <f ca="1">IFERROR(__xludf.DUMMYFUNCTION("""COMPUTED_VALUE"""),0)</f>
        <v>0</v>
      </c>
      <c r="K2136" s="125"/>
      <c r="L2136" s="121"/>
      <c r="M2136" s="125"/>
      <c r="N2136" s="121"/>
      <c r="O2136" s="125"/>
      <c r="P2136" s="126"/>
      <c r="Q2136" s="127"/>
      <c r="R2136" s="127"/>
      <c r="S2136" s="127"/>
      <c r="T2136" s="127"/>
    </row>
    <row r="2137" spans="1:20" ht="13.8">
      <c r="A2137" s="118" t="str">
        <f ca="1">IFERROR(__xludf.DUMMYFUNCTION("""COMPUTED_VALUE"""),"WC")</f>
        <v>WC</v>
      </c>
      <c r="B2137" s="119" t="str">
        <f ca="1">IFERROR(__xludf.DUMMYFUNCTION("""COMPUTED_VALUE"""),"Lilian Raymond")</f>
        <v>Lilian Raymond</v>
      </c>
      <c r="C2137" s="118">
        <f ca="1">IFERROR(__xludf.DUMMYFUNCTION("""COMPUTED_VALUE"""),9)</f>
        <v>9</v>
      </c>
      <c r="D2137" s="118" t="str">
        <f ca="1">IFERROR(__xludf.DUMMYFUNCTION("""COMPUTED_VALUE"""),"G")</f>
        <v>G</v>
      </c>
      <c r="E2137" s="118" t="str">
        <f ca="1">IFERROR(__xludf.DUMMYFUNCTION("""COMPUTED_VALUE"""),"F")</f>
        <v>F</v>
      </c>
      <c r="F2137" s="124" t="str">
        <f ca="1">IFERROR(__xludf.DUMMYFUNCTION("""COMPUTED_VALUE"""),"J")</f>
        <v>J</v>
      </c>
      <c r="G2137" s="124">
        <f ca="1">IFERROR(__xludf.DUMMYFUNCTION("""COMPUTED_VALUE"""),6)</f>
        <v>6</v>
      </c>
      <c r="H2137" s="124" t="str">
        <f ca="1">IFERROR(__xludf.DUMMYFUNCTION("""COMPUTED_VALUE"""),"WC")</f>
        <v>WC</v>
      </c>
      <c r="I2137" s="124">
        <f ca="1">IFERROR(__xludf.DUMMYFUNCTION("""COMPUTED_VALUE"""),4)</f>
        <v>4</v>
      </c>
      <c r="J2137" s="124">
        <f ca="1">IFERROR(__xludf.DUMMYFUNCTION("""COMPUTED_VALUE"""),3)</f>
        <v>3</v>
      </c>
      <c r="K2137" s="125">
        <f ca="1">IFERROR(__xludf.DUMMYFUNCTION("""COMPUTED_VALUE"""),49.25)</f>
        <v>49.25</v>
      </c>
      <c r="L2137" s="121"/>
      <c r="M2137" s="125">
        <f ca="1">IFERROR(__xludf.DUMMYFUNCTION("""COMPUTED_VALUE"""),49.25)</f>
        <v>49.25</v>
      </c>
      <c r="N2137" s="121"/>
      <c r="O2137" s="125"/>
      <c r="P2137" s="126"/>
      <c r="Q2137" s="127"/>
      <c r="R2137" s="127"/>
      <c r="S2137" s="127"/>
      <c r="T2137" s="127"/>
    </row>
    <row r="2138" spans="1:20" ht="13.8">
      <c r="A2138" s="118" t="str">
        <f ca="1">IFERROR(__xludf.DUMMYFUNCTION("""COMPUTED_VALUE"""),"WC")</f>
        <v>WC</v>
      </c>
      <c r="B2138" s="119" t="str">
        <f ca="1">IFERROR(__xludf.DUMMYFUNCTION("""COMPUTED_VALUE"""),"Lillian Sinclair")</f>
        <v>Lillian Sinclair</v>
      </c>
      <c r="C2138" s="118">
        <f ca="1">IFERROR(__xludf.DUMMYFUNCTION("""COMPUTED_VALUE"""),10)</f>
        <v>10</v>
      </c>
      <c r="D2138" s="118" t="str">
        <f ca="1">IFERROR(__xludf.DUMMYFUNCTION("""COMPUTED_VALUE"""),"G")</f>
        <v>G</v>
      </c>
      <c r="E2138" s="118" t="str">
        <f ca="1">IFERROR(__xludf.DUMMYFUNCTION("""COMPUTED_VALUE"""),"F")</f>
        <v>F</v>
      </c>
      <c r="F2138" s="124" t="str">
        <f ca="1">IFERROR(__xludf.DUMMYFUNCTION("""COMPUTED_VALUE"""),"J")</f>
        <v>J</v>
      </c>
      <c r="G2138" s="124">
        <f ca="1">IFERROR(__xludf.DUMMYFUNCTION("""COMPUTED_VALUE"""),6)</f>
        <v>6</v>
      </c>
      <c r="H2138" s="124" t="str">
        <f ca="1">IFERROR(__xludf.DUMMYFUNCTION("""COMPUTED_VALUE"""),"WC")</f>
        <v>WC</v>
      </c>
      <c r="I2138" s="124">
        <f ca="1">IFERROR(__xludf.DUMMYFUNCTION("""COMPUTED_VALUE"""),4)</f>
        <v>4</v>
      </c>
      <c r="J2138" s="124">
        <f ca="1">IFERROR(__xludf.DUMMYFUNCTION("""COMPUTED_VALUE"""),1)</f>
        <v>1</v>
      </c>
      <c r="K2138" s="125">
        <f ca="1">IFERROR(__xludf.DUMMYFUNCTION("""COMPUTED_VALUE"""),43.25)</f>
        <v>43.25</v>
      </c>
      <c r="L2138" s="121"/>
      <c r="M2138" s="125">
        <f ca="1">IFERROR(__xludf.DUMMYFUNCTION("""COMPUTED_VALUE"""),43.25)</f>
        <v>43.25</v>
      </c>
      <c r="N2138" s="121"/>
      <c r="O2138" s="125"/>
      <c r="P2138" s="126"/>
      <c r="Q2138" s="127"/>
      <c r="R2138" s="127"/>
      <c r="S2138" s="127"/>
      <c r="T2138" s="127"/>
    </row>
    <row r="2139" spans="1:20" ht="13.8">
      <c r="A2139" s="118" t="str">
        <f ca="1">IFERROR(__xludf.DUMMYFUNCTION("""COMPUTED_VALUE"""),"WC")</f>
        <v>WC</v>
      </c>
      <c r="B2139" s="119" t="str">
        <f ca="1">IFERROR(__xludf.DUMMYFUNCTION("""COMPUTED_VALUE"""),"Lucy Wolverton")</f>
        <v>Lucy Wolverton</v>
      </c>
      <c r="C2139" s="118">
        <f ca="1">IFERROR(__xludf.DUMMYFUNCTION("""COMPUTED_VALUE"""),7)</f>
        <v>7</v>
      </c>
      <c r="D2139" s="118" t="str">
        <f ca="1">IFERROR(__xludf.DUMMYFUNCTION("""COMPUTED_VALUE"""),"G")</f>
        <v>G</v>
      </c>
      <c r="E2139" s="118" t="str">
        <f ca="1">IFERROR(__xludf.DUMMYFUNCTION("""COMPUTED_VALUE"""),"F")</f>
        <v>F</v>
      </c>
      <c r="F2139" s="124" t="str">
        <f ca="1">IFERROR(__xludf.DUMMYFUNCTION("""COMPUTED_VALUE"""),"J")</f>
        <v>J</v>
      </c>
      <c r="G2139" s="124">
        <f ca="1">IFERROR(__xludf.DUMMYFUNCTION("""COMPUTED_VALUE"""),6)</f>
        <v>6</v>
      </c>
      <c r="H2139" s="124" t="str">
        <f ca="1">IFERROR(__xludf.DUMMYFUNCTION("""COMPUTED_VALUE"""),"WC")</f>
        <v>WC</v>
      </c>
      <c r="I2139" s="124">
        <f ca="1">IFERROR(__xludf.DUMMYFUNCTION("""COMPUTED_VALUE"""),4)</f>
        <v>4</v>
      </c>
      <c r="J2139" s="124">
        <f ca="1">IFERROR(__xludf.DUMMYFUNCTION("""COMPUTED_VALUE"""),4)</f>
        <v>4</v>
      </c>
      <c r="K2139" s="125">
        <f ca="1">IFERROR(__xludf.DUMMYFUNCTION("""COMPUTED_VALUE"""),54.1)</f>
        <v>54.1</v>
      </c>
      <c r="L2139" s="121"/>
      <c r="M2139" s="125">
        <f ca="1">IFERROR(__xludf.DUMMYFUNCTION("""COMPUTED_VALUE"""),54.1)</f>
        <v>54.1</v>
      </c>
      <c r="N2139" s="121"/>
      <c r="O2139" s="125"/>
      <c r="P2139" s="126"/>
      <c r="Q2139" s="127"/>
      <c r="R2139" s="127"/>
      <c r="S2139" s="127"/>
      <c r="T2139" s="127"/>
    </row>
    <row r="2140" spans="1:20" ht="13.8">
      <c r="A2140" s="118" t="str">
        <f ca="1">IFERROR(__xludf.DUMMYFUNCTION("""COMPUTED_VALUE"""),"WC")</f>
        <v>WC</v>
      </c>
      <c r="B2140" s="119" t="str">
        <f ca="1">IFERROR(__xludf.DUMMYFUNCTION("""COMPUTED_VALUE"""),"Margot DeSorrento")</f>
        <v>Margot DeSorrento</v>
      </c>
      <c r="C2140" s="118">
        <f ca="1">IFERROR(__xludf.DUMMYFUNCTION("""COMPUTED_VALUE"""),8)</f>
        <v>8</v>
      </c>
      <c r="D2140" s="118" t="str">
        <f ca="1">IFERROR(__xludf.DUMMYFUNCTION("""COMPUTED_VALUE"""),"G")</f>
        <v>G</v>
      </c>
      <c r="E2140" s="118" t="str">
        <f ca="1">IFERROR(__xludf.DUMMYFUNCTION("""COMPUTED_VALUE"""),"F")</f>
        <v>F</v>
      </c>
      <c r="F2140" s="124" t="str">
        <f ca="1">IFERROR(__xludf.DUMMYFUNCTION("""COMPUTED_VALUE"""),"J")</f>
        <v>J</v>
      </c>
      <c r="G2140" s="124">
        <f ca="1">IFERROR(__xludf.DUMMYFUNCTION("""COMPUTED_VALUE"""),6)</f>
        <v>6</v>
      </c>
      <c r="H2140" s="124" t="str">
        <f ca="1">IFERROR(__xludf.DUMMYFUNCTION("""COMPUTED_VALUE"""),"WC")</f>
        <v>WC</v>
      </c>
      <c r="I2140" s="124">
        <f ca="1">IFERROR(__xludf.DUMMYFUNCTION("""COMPUTED_VALUE"""),4)</f>
        <v>4</v>
      </c>
      <c r="J2140" s="124">
        <f ca="1">IFERROR(__xludf.DUMMYFUNCTION("""COMPUTED_VALUE"""),0)</f>
        <v>0</v>
      </c>
      <c r="K2140" s="125"/>
      <c r="L2140" s="121"/>
      <c r="M2140" s="125"/>
      <c r="N2140" s="121"/>
      <c r="O2140" s="125"/>
      <c r="P2140" s="126"/>
      <c r="Q2140" s="127"/>
      <c r="R2140" s="127"/>
      <c r="S2140" s="127"/>
      <c r="T2140" s="127"/>
    </row>
    <row r="2141" spans="1:20" ht="13.8">
      <c r="A2141" s="118" t="str">
        <f ca="1">IFERROR(__xludf.DUMMYFUNCTION("""COMPUTED_VALUE"""),"WC")</f>
        <v>WC</v>
      </c>
      <c r="B2141" s="119" t="str">
        <f ca="1">IFERROR(__xludf.DUMMYFUNCTION("""COMPUTED_VALUE"""),"Mia Borlinghaus")</f>
        <v>Mia Borlinghaus</v>
      </c>
      <c r="C2141" s="118">
        <f ca="1">IFERROR(__xludf.DUMMYFUNCTION("""COMPUTED_VALUE"""),10)</f>
        <v>10</v>
      </c>
      <c r="D2141" s="118" t="str">
        <f ca="1">IFERROR(__xludf.DUMMYFUNCTION("""COMPUTED_VALUE"""),"G")</f>
        <v>G</v>
      </c>
      <c r="E2141" s="118" t="str">
        <f ca="1">IFERROR(__xludf.DUMMYFUNCTION("""COMPUTED_VALUE"""),"F")</f>
        <v>F</v>
      </c>
      <c r="F2141" s="124" t="str">
        <f ca="1">IFERROR(__xludf.DUMMYFUNCTION("""COMPUTED_VALUE"""),"J")</f>
        <v>J</v>
      </c>
      <c r="G2141" s="124">
        <f ca="1">IFERROR(__xludf.DUMMYFUNCTION("""COMPUTED_VALUE"""),6)</f>
        <v>6</v>
      </c>
      <c r="H2141" s="124" t="str">
        <f ca="1">IFERROR(__xludf.DUMMYFUNCTION("""COMPUTED_VALUE"""),"WC")</f>
        <v>WC</v>
      </c>
      <c r="I2141" s="124">
        <f ca="1">IFERROR(__xludf.DUMMYFUNCTION("""COMPUTED_VALUE"""),4)</f>
        <v>4</v>
      </c>
      <c r="J2141" s="124">
        <f ca="1">IFERROR(__xludf.DUMMYFUNCTION("""COMPUTED_VALUE"""),4)</f>
        <v>4</v>
      </c>
      <c r="K2141" s="125">
        <f ca="1">IFERROR(__xludf.DUMMYFUNCTION("""COMPUTED_VALUE"""),59.65)</f>
        <v>59.65</v>
      </c>
      <c r="L2141" s="121"/>
      <c r="M2141" s="125">
        <f ca="1">IFERROR(__xludf.DUMMYFUNCTION("""COMPUTED_VALUE"""),41.9)</f>
        <v>41.9</v>
      </c>
      <c r="N2141" s="121"/>
      <c r="O2141" s="125">
        <f ca="1">IFERROR(__xludf.DUMMYFUNCTION("""COMPUTED_VALUE"""),45.08)</f>
        <v>45.08</v>
      </c>
      <c r="P2141" s="126"/>
      <c r="Q2141" s="127"/>
      <c r="R2141" s="127"/>
      <c r="S2141" s="127"/>
      <c r="T2141" s="127"/>
    </row>
    <row r="2142" spans="1:20" ht="13.8">
      <c r="A2142" s="118" t="str">
        <f ca="1">IFERROR(__xludf.DUMMYFUNCTION("""COMPUTED_VALUE"""),"WC")</f>
        <v>WC</v>
      </c>
      <c r="B2142" s="119" t="str">
        <f ca="1">IFERROR(__xludf.DUMMYFUNCTION("""COMPUTED_VALUE"""),"Mia Cusner")</f>
        <v>Mia Cusner</v>
      </c>
      <c r="C2142" s="118">
        <f ca="1">IFERROR(__xludf.DUMMYFUNCTION("""COMPUTED_VALUE"""),6)</f>
        <v>6</v>
      </c>
      <c r="D2142" s="118" t="str">
        <f ca="1">IFERROR(__xludf.DUMMYFUNCTION("""COMPUTED_VALUE"""),"G")</f>
        <v>G</v>
      </c>
      <c r="E2142" s="118" t="str">
        <f ca="1">IFERROR(__xludf.DUMMYFUNCTION("""COMPUTED_VALUE"""),"F")</f>
        <v>F</v>
      </c>
      <c r="F2142" s="124" t="str">
        <f ca="1">IFERROR(__xludf.DUMMYFUNCTION("""COMPUTED_VALUE"""),"J")</f>
        <v>J</v>
      </c>
      <c r="G2142" s="124">
        <f ca="1">IFERROR(__xludf.DUMMYFUNCTION("""COMPUTED_VALUE"""),6)</f>
        <v>6</v>
      </c>
      <c r="H2142" s="124" t="str">
        <f ca="1">IFERROR(__xludf.DUMMYFUNCTION("""COMPUTED_VALUE"""),"WC")</f>
        <v>WC</v>
      </c>
      <c r="I2142" s="124">
        <f ca="1">IFERROR(__xludf.DUMMYFUNCTION("""COMPUTED_VALUE"""),4)</f>
        <v>4</v>
      </c>
      <c r="J2142" s="124">
        <f ca="1">IFERROR(__xludf.DUMMYFUNCTION("""COMPUTED_VALUE"""),0)</f>
        <v>0</v>
      </c>
      <c r="K2142" s="125"/>
      <c r="L2142" s="121"/>
      <c r="M2142" s="125"/>
      <c r="N2142" s="121"/>
      <c r="O2142" s="125"/>
      <c r="P2142" s="126"/>
      <c r="Q2142" s="127"/>
      <c r="R2142" s="127"/>
      <c r="S2142" s="127"/>
      <c r="T2142" s="127"/>
    </row>
    <row r="2143" spans="1:20" ht="13.8">
      <c r="A2143" s="118" t="str">
        <f ca="1">IFERROR(__xludf.DUMMYFUNCTION("""COMPUTED_VALUE"""),"WC")</f>
        <v>WC</v>
      </c>
      <c r="B2143" s="119" t="str">
        <f ca="1">IFERROR(__xludf.DUMMYFUNCTION("""COMPUTED_VALUE"""),"Vivienne Zven")</f>
        <v>Vivienne Zven</v>
      </c>
      <c r="C2143" s="118">
        <f ca="1">IFERROR(__xludf.DUMMYFUNCTION("""COMPUTED_VALUE"""),6)</f>
        <v>6</v>
      </c>
      <c r="D2143" s="118" t="str">
        <f ca="1">IFERROR(__xludf.DUMMYFUNCTION("""COMPUTED_VALUE"""),"G")</f>
        <v>G</v>
      </c>
      <c r="E2143" s="118" t="str">
        <f ca="1">IFERROR(__xludf.DUMMYFUNCTION("""COMPUTED_VALUE"""),"F")</f>
        <v>F</v>
      </c>
      <c r="F2143" s="124" t="str">
        <f ca="1">IFERROR(__xludf.DUMMYFUNCTION("""COMPUTED_VALUE"""),"J")</f>
        <v>J</v>
      </c>
      <c r="G2143" s="124">
        <f ca="1">IFERROR(__xludf.DUMMYFUNCTION("""COMPUTED_VALUE"""),6)</f>
        <v>6</v>
      </c>
      <c r="H2143" s="124" t="str">
        <f ca="1">IFERROR(__xludf.DUMMYFUNCTION("""COMPUTED_VALUE"""),"WC")</f>
        <v>WC</v>
      </c>
      <c r="I2143" s="124">
        <f ca="1">IFERROR(__xludf.DUMMYFUNCTION("""COMPUTED_VALUE"""),4)</f>
        <v>4</v>
      </c>
      <c r="J2143" s="124">
        <f ca="1">IFERROR(__xludf.DUMMYFUNCTION("""COMPUTED_VALUE"""),0)</f>
        <v>0</v>
      </c>
      <c r="K2143" s="125"/>
      <c r="L2143" s="121"/>
      <c r="M2143" s="125"/>
      <c r="N2143" s="121"/>
      <c r="O2143" s="125"/>
      <c r="P2143" s="126"/>
      <c r="Q2143" s="127"/>
      <c r="R2143" s="127"/>
      <c r="S2143" s="127"/>
      <c r="T2143" s="127"/>
    </row>
    <row r="2144" spans="1:20" ht="13.8">
      <c r="A2144" s="118" t="str">
        <f ca="1">IFERROR(__xludf.DUMMYFUNCTION("""COMPUTED_VALUE"""),"WC")</f>
        <v>WC</v>
      </c>
      <c r="B2144" s="119" t="str">
        <f ca="1">IFERROR(__xludf.DUMMYFUNCTION("""COMPUTED_VALUE"""),"Benjamin Weitz")</f>
        <v>Benjamin Weitz</v>
      </c>
      <c r="C2144" s="118">
        <f ca="1">IFERROR(__xludf.DUMMYFUNCTION("""COMPUTED_VALUE"""),7)</f>
        <v>7</v>
      </c>
      <c r="D2144" s="118" t="str">
        <f ca="1">IFERROR(__xludf.DUMMYFUNCTION("""COMPUTED_VALUE"""),"B")</f>
        <v>B</v>
      </c>
      <c r="E2144" s="118" t="str">
        <f ca="1">IFERROR(__xludf.DUMMYFUNCTION("""COMPUTED_VALUE"""),"F")</f>
        <v>F</v>
      </c>
      <c r="F2144" s="124" t="str">
        <f ca="1">IFERROR(__xludf.DUMMYFUNCTION("""COMPUTED_VALUE"""),"J")</f>
        <v>J</v>
      </c>
      <c r="G2144" s="124">
        <f ca="1">IFERROR(__xludf.DUMMYFUNCTION("""COMPUTED_VALUE"""),6)</f>
        <v>6</v>
      </c>
      <c r="H2144" s="124" t="str">
        <f ca="1">IFERROR(__xludf.DUMMYFUNCTION("""COMPUTED_VALUE"""),"WC")</f>
        <v>WC</v>
      </c>
      <c r="I2144" s="124">
        <f ca="1">IFERROR(__xludf.DUMMYFUNCTION("""COMPUTED_VALUE"""),5)</f>
        <v>5</v>
      </c>
      <c r="J2144" s="124">
        <f ca="1">IFERROR(__xludf.DUMMYFUNCTION("""COMPUTED_VALUE"""),5)</f>
        <v>5</v>
      </c>
      <c r="K2144" s="125">
        <f ca="1">IFERROR(__xludf.DUMMYFUNCTION("""COMPUTED_VALUE"""),52.85)</f>
        <v>52.85</v>
      </c>
      <c r="L2144" s="121"/>
      <c r="M2144" s="125">
        <f ca="1">IFERROR(__xludf.DUMMYFUNCTION("""COMPUTED_VALUE"""),45.2)</f>
        <v>45.2</v>
      </c>
      <c r="N2144" s="121"/>
      <c r="O2144" s="125">
        <f ca="1">IFERROR(__xludf.DUMMYFUNCTION("""COMPUTED_VALUE"""),31.55)</f>
        <v>31.55</v>
      </c>
      <c r="P2144" s="126"/>
      <c r="Q2144" s="127"/>
      <c r="R2144" s="127"/>
      <c r="S2144" s="127"/>
      <c r="T2144" s="127"/>
    </row>
    <row r="2145" spans="1:20" ht="13.8">
      <c r="A2145" s="118" t="str">
        <f ca="1">IFERROR(__xludf.DUMMYFUNCTION("""COMPUTED_VALUE"""),"WC")</f>
        <v>WC</v>
      </c>
      <c r="B2145" s="119" t="str">
        <f ca="1">IFERROR(__xludf.DUMMYFUNCTION("""COMPUTED_VALUE"""),"Emmett Wright")</f>
        <v>Emmett Wright</v>
      </c>
      <c r="C2145" s="118">
        <f ca="1">IFERROR(__xludf.DUMMYFUNCTION("""COMPUTED_VALUE"""),8)</f>
        <v>8</v>
      </c>
      <c r="D2145" s="118" t="str">
        <f ca="1">IFERROR(__xludf.DUMMYFUNCTION("""COMPUTED_VALUE"""),"B")</f>
        <v>B</v>
      </c>
      <c r="E2145" s="118" t="str">
        <f ca="1">IFERROR(__xludf.DUMMYFUNCTION("""COMPUTED_VALUE"""),"F")</f>
        <v>F</v>
      </c>
      <c r="F2145" s="124" t="str">
        <f ca="1">IFERROR(__xludf.DUMMYFUNCTION("""COMPUTED_VALUE"""),"J")</f>
        <v>J</v>
      </c>
      <c r="G2145" s="124">
        <f ca="1">IFERROR(__xludf.DUMMYFUNCTION("""COMPUTED_VALUE"""),6)</f>
        <v>6</v>
      </c>
      <c r="H2145" s="124" t="str">
        <f ca="1">IFERROR(__xludf.DUMMYFUNCTION("""COMPUTED_VALUE"""),"WC")</f>
        <v>WC</v>
      </c>
      <c r="I2145" s="124">
        <f ca="1">IFERROR(__xludf.DUMMYFUNCTION("""COMPUTED_VALUE"""),5)</f>
        <v>5</v>
      </c>
      <c r="J2145" s="124">
        <f ca="1">IFERROR(__xludf.DUMMYFUNCTION("""COMPUTED_VALUE"""),2)</f>
        <v>2</v>
      </c>
      <c r="K2145" s="125">
        <f ca="1">IFERROR(__xludf.DUMMYFUNCTION("""COMPUTED_VALUE"""),46.9)</f>
        <v>46.9</v>
      </c>
      <c r="L2145" s="121"/>
      <c r="M2145" s="125"/>
      <c r="N2145" s="121"/>
      <c r="O2145" s="125"/>
      <c r="P2145" s="126"/>
      <c r="Q2145" s="127"/>
      <c r="R2145" s="127"/>
      <c r="S2145" s="127"/>
      <c r="T2145" s="127"/>
    </row>
    <row r="2146" spans="1:20" ht="13.8">
      <c r="A2146" s="118" t="str">
        <f ca="1">IFERROR(__xludf.DUMMYFUNCTION("""COMPUTED_VALUE"""),"WC")</f>
        <v>WC</v>
      </c>
      <c r="B2146" s="119" t="str">
        <f ca="1">IFERROR(__xludf.DUMMYFUNCTION("""COMPUTED_VALUE"""),"Garrett Mansuy")</f>
        <v>Garrett Mansuy</v>
      </c>
      <c r="C2146" s="118">
        <f ca="1">IFERROR(__xludf.DUMMYFUNCTION("""COMPUTED_VALUE"""),10)</f>
        <v>10</v>
      </c>
      <c r="D2146" s="118" t="str">
        <f ca="1">IFERROR(__xludf.DUMMYFUNCTION("""COMPUTED_VALUE"""),"B")</f>
        <v>B</v>
      </c>
      <c r="E2146" s="118" t="str">
        <f ca="1">IFERROR(__xludf.DUMMYFUNCTION("""COMPUTED_VALUE"""),"F")</f>
        <v>F</v>
      </c>
      <c r="F2146" s="124" t="str">
        <f ca="1">IFERROR(__xludf.DUMMYFUNCTION("""COMPUTED_VALUE"""),"J")</f>
        <v>J</v>
      </c>
      <c r="G2146" s="124">
        <f ca="1">IFERROR(__xludf.DUMMYFUNCTION("""COMPUTED_VALUE"""),6)</f>
        <v>6</v>
      </c>
      <c r="H2146" s="124" t="str">
        <f ca="1">IFERROR(__xludf.DUMMYFUNCTION("""COMPUTED_VALUE"""),"WC")</f>
        <v>WC</v>
      </c>
      <c r="I2146" s="124">
        <f ca="1">IFERROR(__xludf.DUMMYFUNCTION("""COMPUTED_VALUE"""),5)</f>
        <v>5</v>
      </c>
      <c r="J2146" s="124">
        <f ca="1">IFERROR(__xludf.DUMMYFUNCTION("""COMPUTED_VALUE"""),4)</f>
        <v>4</v>
      </c>
      <c r="K2146" s="125">
        <f ca="1">IFERROR(__xludf.DUMMYFUNCTION("""COMPUTED_VALUE"""),64.25)</f>
        <v>64.25</v>
      </c>
      <c r="L2146" s="121"/>
      <c r="M2146" s="125"/>
      <c r="N2146" s="121"/>
      <c r="O2146" s="125">
        <f ca="1">IFERROR(__xludf.DUMMYFUNCTION("""COMPUTED_VALUE"""),62.6)</f>
        <v>62.6</v>
      </c>
      <c r="P2146" s="126"/>
      <c r="Q2146" s="127"/>
      <c r="R2146" s="127"/>
      <c r="S2146" s="127"/>
      <c r="T2146" s="127"/>
    </row>
    <row r="2147" spans="1:20" ht="13.8">
      <c r="A2147" s="118" t="str">
        <f ca="1">IFERROR(__xludf.DUMMYFUNCTION("""COMPUTED_VALUE"""),"WC")</f>
        <v>WC</v>
      </c>
      <c r="B2147" s="119" t="str">
        <f ca="1">IFERROR(__xludf.DUMMYFUNCTION("""COMPUTED_VALUE"""),"Matthew Robertson")</f>
        <v>Matthew Robertson</v>
      </c>
      <c r="C2147" s="118">
        <f ca="1">IFERROR(__xludf.DUMMYFUNCTION("""COMPUTED_VALUE"""),9)</f>
        <v>9</v>
      </c>
      <c r="D2147" s="118" t="str">
        <f ca="1">IFERROR(__xludf.DUMMYFUNCTION("""COMPUTED_VALUE"""),"B")</f>
        <v>B</v>
      </c>
      <c r="E2147" s="118" t="str">
        <f ca="1">IFERROR(__xludf.DUMMYFUNCTION("""COMPUTED_VALUE"""),"F")</f>
        <v>F</v>
      </c>
      <c r="F2147" s="124" t="str">
        <f ca="1">IFERROR(__xludf.DUMMYFUNCTION("""COMPUTED_VALUE"""),"J")</f>
        <v>J</v>
      </c>
      <c r="G2147" s="124">
        <f ca="1">IFERROR(__xludf.DUMMYFUNCTION("""COMPUTED_VALUE"""),6)</f>
        <v>6</v>
      </c>
      <c r="H2147" s="124" t="str">
        <f ca="1">IFERROR(__xludf.DUMMYFUNCTION("""COMPUTED_VALUE"""),"WC")</f>
        <v>WC</v>
      </c>
      <c r="I2147" s="124">
        <f ca="1">IFERROR(__xludf.DUMMYFUNCTION("""COMPUTED_VALUE"""),5)</f>
        <v>5</v>
      </c>
      <c r="J2147" s="124">
        <f ca="1">IFERROR(__xludf.DUMMYFUNCTION("""COMPUTED_VALUE"""),5)</f>
        <v>5</v>
      </c>
      <c r="K2147" s="125">
        <f ca="1">IFERROR(__xludf.DUMMYFUNCTION("""COMPUTED_VALUE"""),-76.3)</f>
        <v>-76.3</v>
      </c>
      <c r="L2147" s="121"/>
      <c r="M2147" s="125">
        <f ca="1">IFERROR(__xludf.DUMMYFUNCTION("""COMPUTED_VALUE"""),-76.3)</f>
        <v>-76.3</v>
      </c>
      <c r="N2147" s="121"/>
      <c r="O2147" s="125">
        <f ca="1">IFERROR(__xludf.DUMMYFUNCTION("""COMPUTED_VALUE"""),-76.95)</f>
        <v>-76.95</v>
      </c>
      <c r="P2147" s="126"/>
      <c r="Q2147" s="127"/>
      <c r="R2147" s="127"/>
      <c r="S2147" s="127"/>
      <c r="T2147" s="127"/>
    </row>
    <row r="2148" spans="1:20" ht="13.8">
      <c r="A2148" s="118" t="str">
        <f ca="1">IFERROR(__xludf.DUMMYFUNCTION("""COMPUTED_VALUE"""),"WC")</f>
        <v>WC</v>
      </c>
      <c r="B2148" s="119" t="str">
        <f ca="1">IFERROR(__xludf.DUMMYFUNCTION("""COMPUTED_VALUE"""),"Michael Borlinghaus")</f>
        <v>Michael Borlinghaus</v>
      </c>
      <c r="C2148" s="118">
        <f ca="1">IFERROR(__xludf.DUMMYFUNCTION("""COMPUTED_VALUE"""),7)</f>
        <v>7</v>
      </c>
      <c r="D2148" s="118" t="str">
        <f ca="1">IFERROR(__xludf.DUMMYFUNCTION("""COMPUTED_VALUE"""),"B")</f>
        <v>B</v>
      </c>
      <c r="E2148" s="118" t="str">
        <f ca="1">IFERROR(__xludf.DUMMYFUNCTION("""COMPUTED_VALUE"""),"F")</f>
        <v>F</v>
      </c>
      <c r="F2148" s="124" t="str">
        <f ca="1">IFERROR(__xludf.DUMMYFUNCTION("""COMPUTED_VALUE"""),"J")</f>
        <v>J</v>
      </c>
      <c r="G2148" s="124">
        <f ca="1">IFERROR(__xludf.DUMMYFUNCTION("""COMPUTED_VALUE"""),6)</f>
        <v>6</v>
      </c>
      <c r="H2148" s="124" t="str">
        <f ca="1">IFERROR(__xludf.DUMMYFUNCTION("""COMPUTED_VALUE"""),"WC")</f>
        <v>WC</v>
      </c>
      <c r="I2148" s="124">
        <f ca="1">IFERROR(__xludf.DUMMYFUNCTION("""COMPUTED_VALUE"""),5)</f>
        <v>5</v>
      </c>
      <c r="J2148" s="124">
        <f ca="1">IFERROR(__xludf.DUMMYFUNCTION("""COMPUTED_VALUE"""),0)</f>
        <v>0</v>
      </c>
      <c r="K2148" s="125"/>
      <c r="L2148" s="121"/>
      <c r="M2148" s="125"/>
      <c r="N2148" s="121"/>
      <c r="O2148" s="125"/>
      <c r="P2148" s="126"/>
      <c r="Q2148" s="127"/>
      <c r="R2148" s="127"/>
      <c r="S2148" s="127"/>
      <c r="T2148" s="127"/>
    </row>
    <row r="2149" spans="1:20" ht="13.8">
      <c r="A2149" s="118" t="str">
        <f ca="1">IFERROR(__xludf.DUMMYFUNCTION("""COMPUTED_VALUE"""),"WC")</f>
        <v>WC</v>
      </c>
      <c r="B2149" s="119" t="str">
        <f ca="1">IFERROR(__xludf.DUMMYFUNCTION("""COMPUTED_VALUE"""),"Michael Walsh")</f>
        <v>Michael Walsh</v>
      </c>
      <c r="C2149" s="118">
        <f ca="1">IFERROR(__xludf.DUMMYFUNCTION("""COMPUTED_VALUE"""),9)</f>
        <v>9</v>
      </c>
      <c r="D2149" s="118" t="str">
        <f ca="1">IFERROR(__xludf.DUMMYFUNCTION("""COMPUTED_VALUE"""),"B")</f>
        <v>B</v>
      </c>
      <c r="E2149" s="118" t="str">
        <f ca="1">IFERROR(__xludf.DUMMYFUNCTION("""COMPUTED_VALUE"""),"F")</f>
        <v>F</v>
      </c>
      <c r="F2149" s="124" t="str">
        <f ca="1">IFERROR(__xludf.DUMMYFUNCTION("""COMPUTED_VALUE"""),"J")</f>
        <v>J</v>
      </c>
      <c r="G2149" s="124">
        <f ca="1">IFERROR(__xludf.DUMMYFUNCTION("""COMPUTED_VALUE"""),6)</f>
        <v>6</v>
      </c>
      <c r="H2149" s="124" t="str">
        <f ca="1">IFERROR(__xludf.DUMMYFUNCTION("""COMPUTED_VALUE"""),"WC")</f>
        <v>WC</v>
      </c>
      <c r="I2149" s="124">
        <f ca="1">IFERROR(__xludf.DUMMYFUNCTION("""COMPUTED_VALUE"""),5)</f>
        <v>5</v>
      </c>
      <c r="J2149" s="124">
        <f ca="1">IFERROR(__xludf.DUMMYFUNCTION("""COMPUTED_VALUE"""),0)</f>
        <v>0</v>
      </c>
      <c r="K2149" s="125"/>
      <c r="L2149" s="121"/>
      <c r="M2149" s="125"/>
      <c r="N2149" s="121"/>
      <c r="O2149" s="125"/>
      <c r="P2149" s="126"/>
      <c r="Q2149" s="127"/>
      <c r="R2149" s="127"/>
      <c r="S2149" s="127"/>
      <c r="T2149" s="127"/>
    </row>
    <row r="2150" spans="1:20" ht="13.8">
      <c r="A2150" s="118" t="str">
        <f ca="1">IFERROR(__xludf.DUMMYFUNCTION("""COMPUTED_VALUE"""),"WC")</f>
        <v>WC</v>
      </c>
      <c r="B2150" s="119" t="str">
        <f ca="1">IFERROR(__xludf.DUMMYFUNCTION("""COMPUTED_VALUE"""),"Nathaniel Zven")</f>
        <v>Nathaniel Zven</v>
      </c>
      <c r="C2150" s="118">
        <f ca="1">IFERROR(__xludf.DUMMYFUNCTION("""COMPUTED_VALUE"""),7)</f>
        <v>7</v>
      </c>
      <c r="D2150" s="118" t="str">
        <f ca="1">IFERROR(__xludf.DUMMYFUNCTION("""COMPUTED_VALUE"""),"B")</f>
        <v>B</v>
      </c>
      <c r="E2150" s="118" t="str">
        <f ca="1">IFERROR(__xludf.DUMMYFUNCTION("""COMPUTED_VALUE"""),"F")</f>
        <v>F</v>
      </c>
      <c r="F2150" s="124" t="str">
        <f ca="1">IFERROR(__xludf.DUMMYFUNCTION("""COMPUTED_VALUE"""),"J")</f>
        <v>J</v>
      </c>
      <c r="G2150" s="124">
        <f ca="1">IFERROR(__xludf.DUMMYFUNCTION("""COMPUTED_VALUE"""),6)</f>
        <v>6</v>
      </c>
      <c r="H2150" s="124" t="str">
        <f ca="1">IFERROR(__xludf.DUMMYFUNCTION("""COMPUTED_VALUE"""),"WC")</f>
        <v>WC</v>
      </c>
      <c r="I2150" s="124">
        <f ca="1">IFERROR(__xludf.DUMMYFUNCTION("""COMPUTED_VALUE"""),5)</f>
        <v>5</v>
      </c>
      <c r="J2150" s="124">
        <f ca="1">IFERROR(__xludf.DUMMYFUNCTION("""COMPUTED_VALUE"""),0)</f>
        <v>0</v>
      </c>
      <c r="K2150" s="125"/>
      <c r="L2150" s="121"/>
      <c r="M2150" s="125"/>
      <c r="N2150" s="121"/>
      <c r="O2150" s="125"/>
      <c r="P2150" s="126"/>
      <c r="Q2150" s="127"/>
      <c r="R2150" s="127"/>
      <c r="S2150" s="127"/>
      <c r="T2150" s="127"/>
    </row>
    <row r="2151" spans="1:20" ht="13.8">
      <c r="A2151" s="118" t="str">
        <f ca="1">IFERROR(__xludf.DUMMYFUNCTION("""COMPUTED_VALUE"""),"WC")</f>
        <v>WC</v>
      </c>
      <c r="B2151" s="119" t="str">
        <f ca="1">IFERROR(__xludf.DUMMYFUNCTION("""COMPUTED_VALUE"""),"Robert Burke")</f>
        <v>Robert Burke</v>
      </c>
      <c r="C2151" s="118">
        <f ca="1">IFERROR(__xludf.DUMMYFUNCTION("""COMPUTED_VALUE"""),9)</f>
        <v>9</v>
      </c>
      <c r="D2151" s="118" t="str">
        <f ca="1">IFERROR(__xludf.DUMMYFUNCTION("""COMPUTED_VALUE"""),"B")</f>
        <v>B</v>
      </c>
      <c r="E2151" s="118" t="str">
        <f ca="1">IFERROR(__xludf.DUMMYFUNCTION("""COMPUTED_VALUE"""),"F")</f>
        <v>F</v>
      </c>
      <c r="F2151" s="124" t="str">
        <f ca="1">IFERROR(__xludf.DUMMYFUNCTION("""COMPUTED_VALUE"""),"J")</f>
        <v>J</v>
      </c>
      <c r="G2151" s="124">
        <f ca="1">IFERROR(__xludf.DUMMYFUNCTION("""COMPUTED_VALUE"""),6)</f>
        <v>6</v>
      </c>
      <c r="H2151" s="124" t="str">
        <f ca="1">IFERROR(__xludf.DUMMYFUNCTION("""COMPUTED_VALUE"""),"WC")</f>
        <v>WC</v>
      </c>
      <c r="I2151" s="124">
        <f ca="1">IFERROR(__xludf.DUMMYFUNCTION("""COMPUTED_VALUE"""),5)</f>
        <v>5</v>
      </c>
      <c r="J2151" s="124">
        <f ca="1">IFERROR(__xludf.DUMMYFUNCTION("""COMPUTED_VALUE"""),0)</f>
        <v>0</v>
      </c>
      <c r="K2151" s="125"/>
      <c r="L2151" s="121"/>
      <c r="M2151" s="125"/>
      <c r="N2151" s="121"/>
      <c r="O2151" s="125"/>
      <c r="P2151" s="126"/>
      <c r="Q2151" s="127"/>
      <c r="R2151" s="127"/>
      <c r="S2151" s="127"/>
      <c r="T2151" s="127"/>
    </row>
    <row r="2152" spans="1:20" ht="13.8">
      <c r="A2152" s="118" t="str">
        <f ca="1">IFERROR(__xludf.DUMMYFUNCTION("""COMPUTED_VALUE"""),"WC")</f>
        <v>WC</v>
      </c>
      <c r="B2152" s="119" t="str">
        <f ca="1">IFERROR(__xludf.DUMMYFUNCTION("""COMPUTED_VALUE"""),"Rodeen Kia")</f>
        <v>Rodeen Kia</v>
      </c>
      <c r="C2152" s="118">
        <f ca="1">IFERROR(__xludf.DUMMYFUNCTION("""COMPUTED_VALUE"""),8)</f>
        <v>8</v>
      </c>
      <c r="D2152" s="118" t="str">
        <f ca="1">IFERROR(__xludf.DUMMYFUNCTION("""COMPUTED_VALUE"""),"B")</f>
        <v>B</v>
      </c>
      <c r="E2152" s="118" t="str">
        <f ca="1">IFERROR(__xludf.DUMMYFUNCTION("""COMPUTED_VALUE"""),"F")</f>
        <v>F</v>
      </c>
      <c r="F2152" s="124" t="str">
        <f ca="1">IFERROR(__xludf.DUMMYFUNCTION("""COMPUTED_VALUE"""),"J")</f>
        <v>J</v>
      </c>
      <c r="G2152" s="124">
        <f ca="1">IFERROR(__xludf.DUMMYFUNCTION("""COMPUTED_VALUE"""),6)</f>
        <v>6</v>
      </c>
      <c r="H2152" s="124" t="str">
        <f ca="1">IFERROR(__xludf.DUMMYFUNCTION("""COMPUTED_VALUE"""),"WC")</f>
        <v>WC</v>
      </c>
      <c r="I2152" s="124">
        <f ca="1">IFERROR(__xludf.DUMMYFUNCTION("""COMPUTED_VALUE"""),5)</f>
        <v>5</v>
      </c>
      <c r="J2152" s="124">
        <f ca="1">IFERROR(__xludf.DUMMYFUNCTION("""COMPUTED_VALUE"""),0)</f>
        <v>0</v>
      </c>
      <c r="K2152" s="125"/>
      <c r="L2152" s="121"/>
      <c r="M2152" s="125"/>
      <c r="N2152" s="121"/>
      <c r="O2152" s="125"/>
      <c r="P2152" s="126"/>
      <c r="Q2152" s="127"/>
      <c r="R2152" s="127"/>
      <c r="S2152" s="127"/>
      <c r="T2152" s="127"/>
    </row>
    <row r="2153" spans="1:20" ht="13.8">
      <c r="A2153" s="118" t="str">
        <f ca="1">IFERROR(__xludf.DUMMYFUNCTION("""COMPUTED_VALUE"""),"WC")</f>
        <v>WC</v>
      </c>
      <c r="B2153" s="119" t="str">
        <f ca="1">IFERROR(__xludf.DUMMYFUNCTION("""COMPUTED_VALUE"""),"Rowen Stenberg")</f>
        <v>Rowen Stenberg</v>
      </c>
      <c r="C2153" s="118">
        <f ca="1">IFERROR(__xludf.DUMMYFUNCTION("""COMPUTED_VALUE"""),7)</f>
        <v>7</v>
      </c>
      <c r="D2153" s="118" t="str">
        <f ca="1">IFERROR(__xludf.DUMMYFUNCTION("""COMPUTED_VALUE"""),"B")</f>
        <v>B</v>
      </c>
      <c r="E2153" s="118" t="str">
        <f ca="1">IFERROR(__xludf.DUMMYFUNCTION("""COMPUTED_VALUE"""),"F")</f>
        <v>F</v>
      </c>
      <c r="F2153" s="124" t="str">
        <f ca="1">IFERROR(__xludf.DUMMYFUNCTION("""COMPUTED_VALUE"""),"J")</f>
        <v>J</v>
      </c>
      <c r="G2153" s="124">
        <f ca="1">IFERROR(__xludf.DUMMYFUNCTION("""COMPUTED_VALUE"""),6)</f>
        <v>6</v>
      </c>
      <c r="H2153" s="124" t="str">
        <f ca="1">IFERROR(__xludf.DUMMYFUNCTION("""COMPUTED_VALUE"""),"WC")</f>
        <v>WC</v>
      </c>
      <c r="I2153" s="124">
        <f ca="1">IFERROR(__xludf.DUMMYFUNCTION("""COMPUTED_VALUE"""),5)</f>
        <v>5</v>
      </c>
      <c r="J2153" s="124">
        <f ca="1">IFERROR(__xludf.DUMMYFUNCTION("""COMPUTED_VALUE"""),5)</f>
        <v>5</v>
      </c>
      <c r="K2153" s="125">
        <f ca="1">IFERROR(__xludf.DUMMYFUNCTION("""COMPUTED_VALUE"""),-79.95)</f>
        <v>-79.95</v>
      </c>
      <c r="L2153" s="121"/>
      <c r="M2153" s="125">
        <f ca="1">IFERROR(__xludf.DUMMYFUNCTION("""COMPUTED_VALUE"""),-83.4)</f>
        <v>-83.4</v>
      </c>
      <c r="N2153" s="121"/>
      <c r="O2153" s="125">
        <f ca="1">IFERROR(__xludf.DUMMYFUNCTION("""COMPUTED_VALUE"""),-87.9)</f>
        <v>-87.9</v>
      </c>
      <c r="P2153" s="126"/>
      <c r="Q2153" s="127"/>
      <c r="R2153" s="127"/>
      <c r="S2153" s="127"/>
      <c r="T2153" s="127"/>
    </row>
    <row r="2154" spans="1:20" ht="13.8">
      <c r="A2154" s="118" t="str">
        <f ca="1">IFERROR(__xludf.DUMMYFUNCTION("""COMPUTED_VALUE"""),"WC")</f>
        <v>WC</v>
      </c>
      <c r="B2154" s="119" t="str">
        <f ca="1">IFERROR(__xludf.DUMMYFUNCTION("""COMPUTED_VALUE"""),"Spencer Pocock")</f>
        <v>Spencer Pocock</v>
      </c>
      <c r="C2154" s="118">
        <f ca="1">IFERROR(__xludf.DUMMYFUNCTION("""COMPUTED_VALUE"""),9)</f>
        <v>9</v>
      </c>
      <c r="D2154" s="118" t="str">
        <f ca="1">IFERROR(__xludf.DUMMYFUNCTION("""COMPUTED_VALUE"""),"B")</f>
        <v>B</v>
      </c>
      <c r="E2154" s="118" t="str">
        <f ca="1">IFERROR(__xludf.DUMMYFUNCTION("""COMPUTED_VALUE"""),"F")</f>
        <v>F</v>
      </c>
      <c r="F2154" s="124" t="str">
        <f ca="1">IFERROR(__xludf.DUMMYFUNCTION("""COMPUTED_VALUE"""),"J")</f>
        <v>J</v>
      </c>
      <c r="G2154" s="124">
        <f ca="1">IFERROR(__xludf.DUMMYFUNCTION("""COMPUTED_VALUE"""),6)</f>
        <v>6</v>
      </c>
      <c r="H2154" s="124" t="str">
        <f ca="1">IFERROR(__xludf.DUMMYFUNCTION("""COMPUTED_VALUE"""),"WC")</f>
        <v>WC</v>
      </c>
      <c r="I2154" s="124">
        <f ca="1">IFERROR(__xludf.DUMMYFUNCTION("""COMPUTED_VALUE"""),5)</f>
        <v>5</v>
      </c>
      <c r="J2154" s="124">
        <f ca="1">IFERROR(__xludf.DUMMYFUNCTION("""COMPUTED_VALUE"""),2)</f>
        <v>2</v>
      </c>
      <c r="K2154" s="125">
        <f ca="1">IFERROR(__xludf.DUMMYFUNCTION("""COMPUTED_VALUE"""),33.6)</f>
        <v>33.6</v>
      </c>
      <c r="L2154" s="121"/>
      <c r="M2154" s="125">
        <f ca="1">IFERROR(__xludf.DUMMYFUNCTION("""COMPUTED_VALUE"""),33.6)</f>
        <v>33.6</v>
      </c>
      <c r="N2154" s="121"/>
      <c r="O2154" s="125"/>
      <c r="P2154" s="126"/>
      <c r="Q2154" s="127"/>
      <c r="R2154" s="127"/>
      <c r="S2154" s="127"/>
      <c r="T2154" s="127"/>
    </row>
    <row r="2155" spans="1:20" ht="13.8">
      <c r="A2155" s="118" t="str">
        <f ca="1">IFERROR(__xludf.DUMMYFUNCTION("""COMPUTED_VALUE"""),"WC")</f>
        <v>WC</v>
      </c>
      <c r="B2155" s="119" t="str">
        <f ca="1">IFERROR(__xludf.DUMMYFUNCTION("""COMPUTED_VALUE"""),"Emily Fay")</f>
        <v>Emily Fay</v>
      </c>
      <c r="C2155" s="118">
        <f ca="1">IFERROR(__xludf.DUMMYFUNCTION("""COMPUTED_VALUE"""),12)</f>
        <v>12</v>
      </c>
      <c r="D2155" s="118" t="str">
        <f ca="1">IFERROR(__xludf.DUMMYFUNCTION("""COMPUTED_VALUE"""),"G")</f>
        <v>G</v>
      </c>
      <c r="E2155" s="118" t="str">
        <f ca="1">IFERROR(__xludf.DUMMYFUNCTION("""COMPUTED_VALUE"""),"J")</f>
        <v>J</v>
      </c>
      <c r="F2155" s="124" t="str">
        <f ca="1">IFERROR(__xludf.DUMMYFUNCTION("""COMPUTED_VALUE"""),"I")</f>
        <v>I</v>
      </c>
      <c r="G2155" s="124">
        <f ca="1">IFERROR(__xludf.DUMMYFUNCTION("""COMPUTED_VALUE"""),6)</f>
        <v>6</v>
      </c>
      <c r="H2155" s="124" t="str">
        <f ca="1">IFERROR(__xludf.DUMMYFUNCTION("""COMPUTED_VALUE"""),"WC")</f>
        <v>WC</v>
      </c>
      <c r="I2155" s="124">
        <f ca="1">IFERROR(__xludf.DUMMYFUNCTION("""COMPUTED_VALUE"""),6)</f>
        <v>6</v>
      </c>
      <c r="J2155" s="124">
        <f ca="1">IFERROR(__xludf.DUMMYFUNCTION("""COMPUTED_VALUE"""),4)</f>
        <v>4</v>
      </c>
      <c r="K2155" s="125">
        <f ca="1">IFERROR(__xludf.DUMMYFUNCTION("""COMPUTED_VALUE"""),91.2)</f>
        <v>91.2</v>
      </c>
      <c r="L2155" s="121"/>
      <c r="M2155" s="125">
        <f ca="1">IFERROR(__xludf.DUMMYFUNCTION("""COMPUTED_VALUE"""),87.95)</f>
        <v>87.95</v>
      </c>
      <c r="N2155" s="121"/>
      <c r="O2155" s="125">
        <f ca="1">IFERROR(__xludf.DUMMYFUNCTION("""COMPUTED_VALUE"""),86.5)</f>
        <v>86.5</v>
      </c>
      <c r="P2155" s="126"/>
      <c r="Q2155" s="127"/>
      <c r="R2155" s="127"/>
      <c r="S2155" s="127"/>
      <c r="T2155" s="127"/>
    </row>
    <row r="2156" spans="1:20" ht="13.8">
      <c r="A2156" s="118" t="str">
        <f ca="1">IFERROR(__xludf.DUMMYFUNCTION("""COMPUTED_VALUE"""),"WC")</f>
        <v>WC</v>
      </c>
      <c r="B2156" s="119" t="str">
        <f ca="1">IFERROR(__xludf.DUMMYFUNCTION("""COMPUTED_VALUE"""),"Eva Negrelli")</f>
        <v>Eva Negrelli</v>
      </c>
      <c r="C2156" s="118">
        <f ca="1">IFERROR(__xludf.DUMMYFUNCTION("""COMPUTED_VALUE"""),12)</f>
        <v>12</v>
      </c>
      <c r="D2156" s="118" t="str">
        <f ca="1">IFERROR(__xludf.DUMMYFUNCTION("""COMPUTED_VALUE"""),"G")</f>
        <v>G</v>
      </c>
      <c r="E2156" s="118" t="str">
        <f ca="1">IFERROR(__xludf.DUMMYFUNCTION("""COMPUTED_VALUE"""),"J")</f>
        <v>J</v>
      </c>
      <c r="F2156" s="124" t="str">
        <f ca="1">IFERROR(__xludf.DUMMYFUNCTION("""COMPUTED_VALUE"""),"I")</f>
        <v>I</v>
      </c>
      <c r="G2156" s="124">
        <f ca="1">IFERROR(__xludf.DUMMYFUNCTION("""COMPUTED_VALUE"""),6)</f>
        <v>6</v>
      </c>
      <c r="H2156" s="124" t="str">
        <f ca="1">IFERROR(__xludf.DUMMYFUNCTION("""COMPUTED_VALUE"""),"WC")</f>
        <v>WC</v>
      </c>
      <c r="I2156" s="124">
        <f ca="1">IFERROR(__xludf.DUMMYFUNCTION("""COMPUTED_VALUE"""),6)</f>
        <v>6</v>
      </c>
      <c r="J2156" s="124">
        <f ca="1">IFERROR(__xludf.DUMMYFUNCTION("""COMPUTED_VALUE"""),5)</f>
        <v>5</v>
      </c>
      <c r="K2156" s="125">
        <f ca="1">IFERROR(__xludf.DUMMYFUNCTION("""COMPUTED_VALUE"""),110.05)</f>
        <v>110.05</v>
      </c>
      <c r="L2156" s="121"/>
      <c r="M2156" s="125">
        <f ca="1">IFERROR(__xludf.DUMMYFUNCTION("""COMPUTED_VALUE"""),108)</f>
        <v>108</v>
      </c>
      <c r="N2156" s="121"/>
      <c r="O2156" s="125">
        <f ca="1">IFERROR(__xludf.DUMMYFUNCTION("""COMPUTED_VALUE"""),94.4)</f>
        <v>94.4</v>
      </c>
      <c r="P2156" s="126"/>
      <c r="Q2156" s="127"/>
      <c r="R2156" s="127"/>
      <c r="S2156" s="127"/>
      <c r="T2156" s="127"/>
    </row>
    <row r="2157" spans="1:20" ht="13.8">
      <c r="A2157" s="118" t="str">
        <f ca="1">IFERROR(__xludf.DUMMYFUNCTION("""COMPUTED_VALUE"""),"WC")</f>
        <v>WC</v>
      </c>
      <c r="B2157" s="119" t="str">
        <f ca="1">IFERROR(__xludf.DUMMYFUNCTION("""COMPUTED_VALUE"""),"Joelle Saunders")</f>
        <v>Joelle Saunders</v>
      </c>
      <c r="C2157" s="118">
        <f ca="1">IFERROR(__xludf.DUMMYFUNCTION("""COMPUTED_VALUE"""),12)</f>
        <v>12</v>
      </c>
      <c r="D2157" s="118" t="str">
        <f ca="1">IFERROR(__xludf.DUMMYFUNCTION("""COMPUTED_VALUE"""),"G")</f>
        <v>G</v>
      </c>
      <c r="E2157" s="118" t="str">
        <f ca="1">IFERROR(__xludf.DUMMYFUNCTION("""COMPUTED_VALUE"""),"J")</f>
        <v>J</v>
      </c>
      <c r="F2157" s="124" t="str">
        <f ca="1">IFERROR(__xludf.DUMMYFUNCTION("""COMPUTED_VALUE"""),"I")</f>
        <v>I</v>
      </c>
      <c r="G2157" s="124">
        <f ca="1">IFERROR(__xludf.DUMMYFUNCTION("""COMPUTED_VALUE"""),6)</f>
        <v>6</v>
      </c>
      <c r="H2157" s="124" t="str">
        <f ca="1">IFERROR(__xludf.DUMMYFUNCTION("""COMPUTED_VALUE"""),"WC")</f>
        <v>WC</v>
      </c>
      <c r="I2157" s="124">
        <f ca="1">IFERROR(__xludf.DUMMYFUNCTION("""COMPUTED_VALUE"""),6)</f>
        <v>6</v>
      </c>
      <c r="J2157" s="124">
        <f ca="1">IFERROR(__xludf.DUMMYFUNCTION("""COMPUTED_VALUE"""),2)</f>
        <v>2</v>
      </c>
      <c r="K2157" s="125">
        <f ca="1">IFERROR(__xludf.DUMMYFUNCTION("""COMPUTED_VALUE"""),81.4)</f>
        <v>81.400000000000006</v>
      </c>
      <c r="L2157" s="121"/>
      <c r="M2157" s="125"/>
      <c r="N2157" s="121"/>
      <c r="O2157" s="125">
        <f ca="1">IFERROR(__xludf.DUMMYFUNCTION("""COMPUTED_VALUE"""),81.4)</f>
        <v>81.400000000000006</v>
      </c>
      <c r="P2157" s="126"/>
      <c r="Q2157" s="127"/>
      <c r="R2157" s="127"/>
      <c r="S2157" s="127"/>
      <c r="T2157" s="127"/>
    </row>
    <row r="2158" spans="1:20" ht="13.8">
      <c r="A2158" s="118" t="str">
        <f ca="1">IFERROR(__xludf.DUMMYFUNCTION("""COMPUTED_VALUE"""),"WC")</f>
        <v>WC</v>
      </c>
      <c r="B2158" s="119" t="str">
        <f ca="1">IFERROR(__xludf.DUMMYFUNCTION("""COMPUTED_VALUE"""),"Katherine Walsh")</f>
        <v>Katherine Walsh</v>
      </c>
      <c r="C2158" s="118">
        <f ca="1">IFERROR(__xludf.DUMMYFUNCTION("""COMPUTED_VALUE"""),12)</f>
        <v>12</v>
      </c>
      <c r="D2158" s="118" t="str">
        <f ca="1">IFERROR(__xludf.DUMMYFUNCTION("""COMPUTED_VALUE"""),"G")</f>
        <v>G</v>
      </c>
      <c r="E2158" s="118" t="str">
        <f ca="1">IFERROR(__xludf.DUMMYFUNCTION("""COMPUTED_VALUE"""),"J")</f>
        <v>J</v>
      </c>
      <c r="F2158" s="124" t="str">
        <f ca="1">IFERROR(__xludf.DUMMYFUNCTION("""COMPUTED_VALUE"""),"I")</f>
        <v>I</v>
      </c>
      <c r="G2158" s="124">
        <f ca="1">IFERROR(__xludf.DUMMYFUNCTION("""COMPUTED_VALUE"""),6)</f>
        <v>6</v>
      </c>
      <c r="H2158" s="124" t="str">
        <f ca="1">IFERROR(__xludf.DUMMYFUNCTION("""COMPUTED_VALUE"""),"WC")</f>
        <v>WC</v>
      </c>
      <c r="I2158" s="124">
        <f ca="1">IFERROR(__xludf.DUMMYFUNCTION("""COMPUTED_VALUE"""),6)</f>
        <v>6</v>
      </c>
      <c r="J2158" s="124">
        <f ca="1">IFERROR(__xludf.DUMMYFUNCTION("""COMPUTED_VALUE"""),0)</f>
        <v>0</v>
      </c>
      <c r="K2158" s="125"/>
      <c r="L2158" s="121"/>
      <c r="M2158" s="125"/>
      <c r="N2158" s="121"/>
      <c r="O2158" s="125"/>
      <c r="P2158" s="126"/>
      <c r="Q2158" s="127"/>
      <c r="R2158" s="127"/>
      <c r="S2158" s="127"/>
      <c r="T2158" s="127"/>
    </row>
    <row r="2159" spans="1:20" ht="13.8">
      <c r="A2159" s="118" t="str">
        <f ca="1">IFERROR(__xludf.DUMMYFUNCTION("""COMPUTED_VALUE"""),"WC")</f>
        <v>WC</v>
      </c>
      <c r="B2159" s="119" t="str">
        <f ca="1">IFERROR(__xludf.DUMMYFUNCTION("""COMPUTED_VALUE"""),"Leila Adams")</f>
        <v>Leila Adams</v>
      </c>
      <c r="C2159" s="118">
        <f ca="1">IFERROR(__xludf.DUMMYFUNCTION("""COMPUTED_VALUE"""),12)</f>
        <v>12</v>
      </c>
      <c r="D2159" s="118" t="str">
        <f ca="1">IFERROR(__xludf.DUMMYFUNCTION("""COMPUTED_VALUE"""),"G")</f>
        <v>G</v>
      </c>
      <c r="E2159" s="118" t="str">
        <f ca="1">IFERROR(__xludf.DUMMYFUNCTION("""COMPUTED_VALUE"""),"J")</f>
        <v>J</v>
      </c>
      <c r="F2159" s="124" t="str">
        <f ca="1">IFERROR(__xludf.DUMMYFUNCTION("""COMPUTED_VALUE"""),"I")</f>
        <v>I</v>
      </c>
      <c r="G2159" s="124">
        <f ca="1">IFERROR(__xludf.DUMMYFUNCTION("""COMPUTED_VALUE"""),6)</f>
        <v>6</v>
      </c>
      <c r="H2159" s="124" t="str">
        <f ca="1">IFERROR(__xludf.DUMMYFUNCTION("""COMPUTED_VALUE"""),"WC")</f>
        <v>WC</v>
      </c>
      <c r="I2159" s="124">
        <f ca="1">IFERROR(__xludf.DUMMYFUNCTION("""COMPUTED_VALUE"""),6)</f>
        <v>6</v>
      </c>
      <c r="J2159" s="124">
        <f ca="1">IFERROR(__xludf.DUMMYFUNCTION("""COMPUTED_VALUE"""),4)</f>
        <v>4</v>
      </c>
      <c r="K2159" s="125">
        <f ca="1">IFERROR(__xludf.DUMMYFUNCTION("""COMPUTED_VALUE"""),76.3)</f>
        <v>76.3</v>
      </c>
      <c r="L2159" s="121"/>
      <c r="M2159" s="125">
        <f ca="1">IFERROR(__xludf.DUMMYFUNCTION("""COMPUTED_VALUE"""),57.8)</f>
        <v>57.8</v>
      </c>
      <c r="N2159" s="121"/>
      <c r="O2159" s="125"/>
      <c r="P2159" s="126"/>
      <c r="Q2159" s="127"/>
      <c r="R2159" s="127"/>
      <c r="S2159" s="127"/>
      <c r="T2159" s="127"/>
    </row>
    <row r="2160" spans="1:20" ht="13.8">
      <c r="A2160" s="118" t="str">
        <f ca="1">IFERROR(__xludf.DUMMYFUNCTION("""COMPUTED_VALUE"""),"WC")</f>
        <v>WC</v>
      </c>
      <c r="B2160" s="119" t="str">
        <f ca="1">IFERROR(__xludf.DUMMYFUNCTION("""COMPUTED_VALUE"""),"Sasha Demestihas")</f>
        <v>Sasha Demestihas</v>
      </c>
      <c r="C2160" s="118">
        <f ca="1">IFERROR(__xludf.DUMMYFUNCTION("""COMPUTED_VALUE"""),12)</f>
        <v>12</v>
      </c>
      <c r="D2160" s="118" t="str">
        <f ca="1">IFERROR(__xludf.DUMMYFUNCTION("""COMPUTED_VALUE"""),"G")</f>
        <v>G</v>
      </c>
      <c r="E2160" s="118" t="str">
        <f ca="1">IFERROR(__xludf.DUMMYFUNCTION("""COMPUTED_VALUE"""),"J")</f>
        <v>J</v>
      </c>
      <c r="F2160" s="124" t="str">
        <f ca="1">IFERROR(__xludf.DUMMYFUNCTION("""COMPUTED_VALUE"""),"I")</f>
        <v>I</v>
      </c>
      <c r="G2160" s="124">
        <f ca="1">IFERROR(__xludf.DUMMYFUNCTION("""COMPUTED_VALUE"""),6)</f>
        <v>6</v>
      </c>
      <c r="H2160" s="124" t="str">
        <f ca="1">IFERROR(__xludf.DUMMYFUNCTION("""COMPUTED_VALUE"""),"WC")</f>
        <v>WC</v>
      </c>
      <c r="I2160" s="124">
        <f ca="1">IFERROR(__xludf.DUMMYFUNCTION("""COMPUTED_VALUE"""),6)</f>
        <v>6</v>
      </c>
      <c r="J2160" s="124">
        <f ca="1">IFERROR(__xludf.DUMMYFUNCTION("""COMPUTED_VALUE"""),0)</f>
        <v>0</v>
      </c>
      <c r="K2160" s="125"/>
      <c r="L2160" s="121"/>
      <c r="M2160" s="125"/>
      <c r="N2160" s="121"/>
      <c r="O2160" s="125"/>
      <c r="P2160" s="126"/>
      <c r="Q2160" s="127"/>
      <c r="R2160" s="127"/>
      <c r="S2160" s="127"/>
      <c r="T2160" s="127"/>
    </row>
    <row r="2161" spans="1:20" ht="13.8">
      <c r="A2161" s="118" t="str">
        <f ca="1">IFERROR(__xludf.DUMMYFUNCTION("""COMPUTED_VALUE"""),"WC")</f>
        <v>WC</v>
      </c>
      <c r="B2161" s="119" t="str">
        <f ca="1">IFERROR(__xludf.DUMMYFUNCTION("""COMPUTED_VALUE"""),"Tanner Williams")</f>
        <v>Tanner Williams</v>
      </c>
      <c r="C2161" s="118">
        <f ca="1">IFERROR(__xludf.DUMMYFUNCTION("""COMPUTED_VALUE"""),11)</f>
        <v>11</v>
      </c>
      <c r="D2161" s="118" t="str">
        <f ca="1">IFERROR(__xludf.DUMMYFUNCTION("""COMPUTED_VALUE"""),"B")</f>
        <v>B</v>
      </c>
      <c r="E2161" s="118" t="str">
        <f ca="1">IFERROR(__xludf.DUMMYFUNCTION("""COMPUTED_VALUE"""),"J")</f>
        <v>J</v>
      </c>
      <c r="F2161" s="124" t="str">
        <f ca="1">IFERROR(__xludf.DUMMYFUNCTION("""COMPUTED_VALUE"""),"I")</f>
        <v>I</v>
      </c>
      <c r="G2161" s="124">
        <f ca="1">IFERROR(__xludf.DUMMYFUNCTION("""COMPUTED_VALUE"""),6)</f>
        <v>6</v>
      </c>
      <c r="H2161" s="124" t="str">
        <f ca="1">IFERROR(__xludf.DUMMYFUNCTION("""COMPUTED_VALUE"""),"WC")</f>
        <v>WC</v>
      </c>
      <c r="I2161" s="124">
        <f ca="1">IFERROR(__xludf.DUMMYFUNCTION("""COMPUTED_VALUE"""),7)</f>
        <v>7</v>
      </c>
      <c r="J2161" s="124">
        <f ca="1">IFERROR(__xludf.DUMMYFUNCTION("""COMPUTED_VALUE"""),2)</f>
        <v>2</v>
      </c>
      <c r="K2161" s="125">
        <f ca="1">IFERROR(__xludf.DUMMYFUNCTION("""COMPUTED_VALUE"""),71.05)</f>
        <v>71.05</v>
      </c>
      <c r="L2161" s="121"/>
      <c r="M2161" s="125"/>
      <c r="N2161" s="121"/>
      <c r="O2161" s="125"/>
      <c r="P2161" s="126"/>
      <c r="Q2161" s="127"/>
      <c r="R2161" s="127"/>
      <c r="S2161" s="127"/>
      <c r="T2161" s="127"/>
    </row>
    <row r="2162" spans="1:20" ht="13.8">
      <c r="A2162" s="118" t="str">
        <f ca="1">IFERROR(__xludf.DUMMYFUNCTION("""COMPUTED_VALUE"""),"WC")</f>
        <v>WC</v>
      </c>
      <c r="B2162" s="119" t="str">
        <f ca="1">IFERROR(__xludf.DUMMYFUNCTION("""COMPUTED_VALUE"""),"Thomson d'Amboise")</f>
        <v>Thomson d'Amboise</v>
      </c>
      <c r="C2162" s="118">
        <f ca="1">IFERROR(__xludf.DUMMYFUNCTION("""COMPUTED_VALUE"""),12)</f>
        <v>12</v>
      </c>
      <c r="D2162" s="118" t="str">
        <f ca="1">IFERROR(__xludf.DUMMYFUNCTION("""COMPUTED_VALUE"""),"B")</f>
        <v>B</v>
      </c>
      <c r="E2162" s="118" t="str">
        <f ca="1">IFERROR(__xludf.DUMMYFUNCTION("""COMPUTED_VALUE"""),"J")</f>
        <v>J</v>
      </c>
      <c r="F2162" s="124" t="str">
        <f ca="1">IFERROR(__xludf.DUMMYFUNCTION("""COMPUTED_VALUE"""),"I")</f>
        <v>I</v>
      </c>
      <c r="G2162" s="124">
        <f ca="1">IFERROR(__xludf.DUMMYFUNCTION("""COMPUTED_VALUE"""),6)</f>
        <v>6</v>
      </c>
      <c r="H2162" s="124" t="str">
        <f ca="1">IFERROR(__xludf.DUMMYFUNCTION("""COMPUTED_VALUE"""),"WC")</f>
        <v>WC</v>
      </c>
      <c r="I2162" s="124">
        <f ca="1">IFERROR(__xludf.DUMMYFUNCTION("""COMPUTED_VALUE"""),7)</f>
        <v>7</v>
      </c>
      <c r="J2162" s="124">
        <f ca="1">IFERROR(__xludf.DUMMYFUNCTION("""COMPUTED_VALUE"""),0)</f>
        <v>0</v>
      </c>
      <c r="K2162" s="125"/>
      <c r="L2162" s="121"/>
      <c r="M2162" s="125"/>
      <c r="N2162" s="121"/>
      <c r="O2162" s="125"/>
      <c r="P2162" s="126"/>
      <c r="Q2162" s="127"/>
      <c r="R2162" s="127"/>
      <c r="S2162" s="127"/>
      <c r="T2162" s="127"/>
    </row>
    <row r="2163" spans="1:20" ht="13.8">
      <c r="A2163" s="118" t="str">
        <f ca="1">IFERROR(__xludf.DUMMYFUNCTION("""COMPUTED_VALUE"""),"WC")</f>
        <v>WC</v>
      </c>
      <c r="B2163" s="119" t="str">
        <f ca="1">IFERROR(__xludf.DUMMYFUNCTION("""COMPUTED_VALUE"""),"Alexa Mansuy")</f>
        <v>Alexa Mansuy</v>
      </c>
      <c r="C2163" s="118">
        <f ca="1">IFERROR(__xludf.DUMMYFUNCTION("""COMPUTED_VALUE"""),14)</f>
        <v>14</v>
      </c>
      <c r="D2163" s="118" t="str">
        <f ca="1">IFERROR(__xludf.DUMMYFUNCTION("""COMPUTED_VALUE"""),"G")</f>
        <v>G</v>
      </c>
      <c r="E2163" s="118" t="str">
        <f ca="1">IFERROR(__xludf.DUMMYFUNCTION("""COMPUTED_VALUE"""),"I")</f>
        <v>I</v>
      </c>
      <c r="F2163" s="124" t="str">
        <f ca="1">IFERROR(__xludf.DUMMYFUNCTION("""COMPUTED_VALUE"""),"S")</f>
        <v>S</v>
      </c>
      <c r="G2163" s="124">
        <f ca="1">IFERROR(__xludf.DUMMYFUNCTION("""COMPUTED_VALUE"""),6)</f>
        <v>6</v>
      </c>
      <c r="H2163" s="124" t="str">
        <f ca="1">IFERROR(__xludf.DUMMYFUNCTION("""COMPUTED_VALUE"""),"WC")</f>
        <v>WC</v>
      </c>
      <c r="I2163" s="124">
        <f ca="1">IFERROR(__xludf.DUMMYFUNCTION("""COMPUTED_VALUE"""),8)</f>
        <v>8</v>
      </c>
      <c r="J2163" s="124">
        <f ca="1">IFERROR(__xludf.DUMMYFUNCTION("""COMPUTED_VALUE"""),5)</f>
        <v>5</v>
      </c>
      <c r="K2163" s="125">
        <f ca="1">IFERROR(__xludf.DUMMYFUNCTION("""COMPUTED_VALUE"""),146.65)</f>
        <v>146.65</v>
      </c>
      <c r="L2163" s="121"/>
      <c r="M2163" s="125">
        <f ca="1">IFERROR(__xludf.DUMMYFUNCTION("""COMPUTED_VALUE"""),146.65)</f>
        <v>146.65</v>
      </c>
      <c r="N2163" s="121"/>
      <c r="O2163" s="125">
        <f ca="1">IFERROR(__xludf.DUMMYFUNCTION("""COMPUTED_VALUE"""),134.6)</f>
        <v>134.6</v>
      </c>
      <c r="P2163" s="126"/>
      <c r="Q2163" s="127"/>
      <c r="R2163" s="127"/>
      <c r="S2163" s="127"/>
      <c r="T2163" s="127"/>
    </row>
    <row r="2164" spans="1:20" ht="13.8">
      <c r="A2164" s="118" t="str">
        <f ca="1">IFERROR(__xludf.DUMMYFUNCTION("""COMPUTED_VALUE"""),"WC")</f>
        <v>WC</v>
      </c>
      <c r="B2164" s="119" t="str">
        <f ca="1">IFERROR(__xludf.DUMMYFUNCTION("""COMPUTED_VALUE"""),"Annabelle Ebaugh")</f>
        <v>Annabelle Ebaugh</v>
      </c>
      <c r="C2164" s="118">
        <f ca="1">IFERROR(__xludf.DUMMYFUNCTION("""COMPUTED_VALUE"""),13)</f>
        <v>13</v>
      </c>
      <c r="D2164" s="118" t="str">
        <f ca="1">IFERROR(__xludf.DUMMYFUNCTION("""COMPUTED_VALUE"""),"G")</f>
        <v>G</v>
      </c>
      <c r="E2164" s="118" t="str">
        <f ca="1">IFERROR(__xludf.DUMMYFUNCTION("""COMPUTED_VALUE"""),"I")</f>
        <v>I</v>
      </c>
      <c r="F2164" s="124" t="str">
        <f ca="1">IFERROR(__xludf.DUMMYFUNCTION("""COMPUTED_VALUE"""),"S")</f>
        <v>S</v>
      </c>
      <c r="G2164" s="124">
        <f ca="1">IFERROR(__xludf.DUMMYFUNCTION("""COMPUTED_VALUE"""),6)</f>
        <v>6</v>
      </c>
      <c r="H2164" s="124" t="str">
        <f ca="1">IFERROR(__xludf.DUMMYFUNCTION("""COMPUTED_VALUE"""),"WC")</f>
        <v>WC</v>
      </c>
      <c r="I2164" s="124">
        <f ca="1">IFERROR(__xludf.DUMMYFUNCTION("""COMPUTED_VALUE"""),8)</f>
        <v>8</v>
      </c>
      <c r="J2164" s="124">
        <f ca="1">IFERROR(__xludf.DUMMYFUNCTION("""COMPUTED_VALUE"""),5)</f>
        <v>5</v>
      </c>
      <c r="K2164" s="125">
        <f ca="1">IFERROR(__xludf.DUMMYFUNCTION("""COMPUTED_VALUE"""),135.45)</f>
        <v>135.44999999999999</v>
      </c>
      <c r="L2164" s="121"/>
      <c r="M2164" s="125">
        <f ca="1">IFERROR(__xludf.DUMMYFUNCTION("""COMPUTED_VALUE"""),120.15)</f>
        <v>120.15</v>
      </c>
      <c r="N2164" s="121"/>
      <c r="O2164" s="125">
        <f ca="1">IFERROR(__xludf.DUMMYFUNCTION("""COMPUTED_VALUE"""),112.75)</f>
        <v>112.75</v>
      </c>
      <c r="P2164" s="126"/>
      <c r="Q2164" s="127"/>
      <c r="R2164" s="127"/>
      <c r="S2164" s="127"/>
      <c r="T2164" s="127"/>
    </row>
    <row r="2165" spans="1:20" ht="13.8">
      <c r="A2165" s="118" t="str">
        <f ca="1">IFERROR(__xludf.DUMMYFUNCTION("""COMPUTED_VALUE"""),"WC")</f>
        <v>WC</v>
      </c>
      <c r="B2165" s="119" t="str">
        <f ca="1">IFERROR(__xludf.DUMMYFUNCTION("""COMPUTED_VALUE"""),"Charlotte Fay")</f>
        <v>Charlotte Fay</v>
      </c>
      <c r="C2165" s="118">
        <f ca="1">IFERROR(__xludf.DUMMYFUNCTION("""COMPUTED_VALUE"""),14)</f>
        <v>14</v>
      </c>
      <c r="D2165" s="118" t="str">
        <f ca="1">IFERROR(__xludf.DUMMYFUNCTION("""COMPUTED_VALUE"""),"G")</f>
        <v>G</v>
      </c>
      <c r="E2165" s="118" t="str">
        <f ca="1">IFERROR(__xludf.DUMMYFUNCTION("""COMPUTED_VALUE"""),"I")</f>
        <v>I</v>
      </c>
      <c r="F2165" s="124" t="str">
        <f ca="1">IFERROR(__xludf.DUMMYFUNCTION("""COMPUTED_VALUE"""),"S")</f>
        <v>S</v>
      </c>
      <c r="G2165" s="124">
        <f ca="1">IFERROR(__xludf.DUMMYFUNCTION("""COMPUTED_VALUE"""),6)</f>
        <v>6</v>
      </c>
      <c r="H2165" s="124" t="str">
        <f ca="1">IFERROR(__xludf.DUMMYFUNCTION("""COMPUTED_VALUE"""),"WC")</f>
        <v>WC</v>
      </c>
      <c r="I2165" s="124">
        <f ca="1">IFERROR(__xludf.DUMMYFUNCTION("""COMPUTED_VALUE"""),8)</f>
        <v>8</v>
      </c>
      <c r="J2165" s="124">
        <f ca="1">IFERROR(__xludf.DUMMYFUNCTION("""COMPUTED_VALUE"""),5)</f>
        <v>5</v>
      </c>
      <c r="K2165" s="125">
        <f ca="1">IFERROR(__xludf.DUMMYFUNCTION("""COMPUTED_VALUE"""),139.25)</f>
        <v>139.25</v>
      </c>
      <c r="L2165" s="121"/>
      <c r="M2165" s="125">
        <f ca="1">IFERROR(__xludf.DUMMYFUNCTION("""COMPUTED_VALUE"""),129.95)</f>
        <v>129.94999999999999</v>
      </c>
      <c r="N2165" s="121"/>
      <c r="O2165" s="125">
        <f ca="1">IFERROR(__xludf.DUMMYFUNCTION("""COMPUTED_VALUE"""),124.25)</f>
        <v>124.25</v>
      </c>
      <c r="P2165" s="126"/>
      <c r="Q2165" s="127"/>
      <c r="R2165" s="127"/>
      <c r="S2165" s="127"/>
      <c r="T2165" s="127"/>
    </row>
    <row r="2166" spans="1:20" ht="13.8">
      <c r="A2166" s="118" t="str">
        <f ca="1">IFERROR(__xludf.DUMMYFUNCTION("""COMPUTED_VALUE"""),"WC")</f>
        <v>WC</v>
      </c>
      <c r="B2166" s="119" t="str">
        <f ca="1">IFERROR(__xludf.DUMMYFUNCTION("""COMPUTED_VALUE"""),"Amy Nam")</f>
        <v>Amy Nam</v>
      </c>
      <c r="C2166" s="118">
        <f ca="1">IFERROR(__xludf.DUMMYFUNCTION("""COMPUTED_VALUE"""),15)</f>
        <v>15</v>
      </c>
      <c r="D2166" s="118" t="str">
        <f ca="1">IFERROR(__xludf.DUMMYFUNCTION("""COMPUTED_VALUE"""),"G")</f>
        <v>G</v>
      </c>
      <c r="E2166" s="118" t="str">
        <f ca="1">IFERROR(__xludf.DUMMYFUNCTION("""COMPUTED_VALUE"""),"S")</f>
        <v>S</v>
      </c>
      <c r="F2166" s="124" t="str">
        <f ca="1">IFERROR(__xludf.DUMMYFUNCTION("""COMPUTED_VALUE"""),"S")</f>
        <v>S</v>
      </c>
      <c r="G2166" s="124">
        <f ca="1">IFERROR(__xludf.DUMMYFUNCTION("""COMPUTED_VALUE"""),6)</f>
        <v>6</v>
      </c>
      <c r="H2166" s="124" t="str">
        <f ca="1">IFERROR(__xludf.DUMMYFUNCTION("""COMPUTED_VALUE"""),"WC")</f>
        <v>WC</v>
      </c>
      <c r="I2166" s="124">
        <f ca="1">IFERROR(__xludf.DUMMYFUNCTION("""COMPUTED_VALUE"""),10)</f>
        <v>10</v>
      </c>
      <c r="J2166" s="124">
        <f ca="1">IFERROR(__xludf.DUMMYFUNCTION("""COMPUTED_VALUE"""),4)</f>
        <v>4</v>
      </c>
      <c r="K2166" s="125">
        <f ca="1">IFERROR(__xludf.DUMMYFUNCTION("""COMPUTED_VALUE"""),201.25)</f>
        <v>201.25</v>
      </c>
      <c r="L2166" s="121"/>
      <c r="M2166" s="125"/>
      <c r="N2166" s="121"/>
      <c r="O2166" s="125">
        <f ca="1">IFERROR(__xludf.DUMMYFUNCTION("""COMPUTED_VALUE"""),198.3)</f>
        <v>198.3</v>
      </c>
      <c r="P2166" s="126"/>
      <c r="Q2166" s="127"/>
      <c r="R2166" s="127"/>
      <c r="S2166" s="127"/>
      <c r="T2166" s="127"/>
    </row>
    <row r="2167" spans="1:20" ht="13.8">
      <c r="A2167" s="118" t="str">
        <f ca="1">IFERROR(__xludf.DUMMYFUNCTION("""COMPUTED_VALUE"""),"WC")</f>
        <v>WC</v>
      </c>
      <c r="B2167" s="119" t="str">
        <f ca="1">IFERROR(__xludf.DUMMYFUNCTION("""COMPUTED_VALUE"""),"Madison Ebaugh")</f>
        <v>Madison Ebaugh</v>
      </c>
      <c r="C2167" s="118">
        <f ca="1">IFERROR(__xludf.DUMMYFUNCTION("""COMPUTED_VALUE"""),15)</f>
        <v>15</v>
      </c>
      <c r="D2167" s="118" t="str">
        <f ca="1">IFERROR(__xludf.DUMMYFUNCTION("""COMPUTED_VALUE"""),"G")</f>
        <v>G</v>
      </c>
      <c r="E2167" s="118" t="str">
        <f ca="1">IFERROR(__xludf.DUMMYFUNCTION("""COMPUTED_VALUE"""),"S")</f>
        <v>S</v>
      </c>
      <c r="F2167" s="124" t="str">
        <f ca="1">IFERROR(__xludf.DUMMYFUNCTION("""COMPUTED_VALUE"""),"S")</f>
        <v>S</v>
      </c>
      <c r="G2167" s="124">
        <f ca="1">IFERROR(__xludf.DUMMYFUNCTION("""COMPUTED_VALUE"""),6)</f>
        <v>6</v>
      </c>
      <c r="H2167" s="124" t="str">
        <f ca="1">IFERROR(__xludf.DUMMYFUNCTION("""COMPUTED_VALUE"""),"WC")</f>
        <v>WC</v>
      </c>
      <c r="I2167" s="124">
        <f ca="1">IFERROR(__xludf.DUMMYFUNCTION("""COMPUTED_VALUE"""),10)</f>
        <v>10</v>
      </c>
      <c r="J2167" s="124">
        <f ca="1">IFERROR(__xludf.DUMMYFUNCTION("""COMPUTED_VALUE"""),4)</f>
        <v>4</v>
      </c>
      <c r="K2167" s="125">
        <f ca="1">IFERROR(__xludf.DUMMYFUNCTION("""COMPUTED_VALUE"""),170.75)</f>
        <v>170.75</v>
      </c>
      <c r="L2167" s="121"/>
      <c r="M2167" s="125">
        <f ca="1">IFERROR(__xludf.DUMMYFUNCTION("""COMPUTED_VALUE"""),134.7)</f>
        <v>134.69999999999999</v>
      </c>
      <c r="N2167" s="121"/>
      <c r="O2167" s="125">
        <f ca="1">IFERROR(__xludf.DUMMYFUNCTION("""COMPUTED_VALUE"""),169.1)</f>
        <v>169.1</v>
      </c>
      <c r="P2167" s="126"/>
      <c r="Q2167" s="127"/>
      <c r="R2167" s="127"/>
      <c r="S2167" s="127"/>
      <c r="T2167" s="127"/>
    </row>
    <row r="2168" spans="1:20" ht="13.8">
      <c r="A2168" s="118" t="str">
        <f ca="1">IFERROR(__xludf.DUMMYFUNCTION("""COMPUTED_VALUE"""),"WC")</f>
        <v>WC</v>
      </c>
      <c r="B2168" s="119" t="str">
        <f ca="1">IFERROR(__xludf.DUMMYFUNCTION("""COMPUTED_VALUE"""),"Luke Goodson")</f>
        <v>Luke Goodson</v>
      </c>
      <c r="C2168" s="118">
        <f ca="1">IFERROR(__xludf.DUMMYFUNCTION("""COMPUTED_VALUE"""),16)</f>
        <v>16</v>
      </c>
      <c r="D2168" s="118" t="str">
        <f ca="1">IFERROR(__xludf.DUMMYFUNCTION("""COMPUTED_VALUE"""),"B")</f>
        <v>B</v>
      </c>
      <c r="E2168" s="118" t="str">
        <f ca="1">IFERROR(__xludf.DUMMYFUNCTION("""COMPUTED_VALUE"""),"S")</f>
        <v>S</v>
      </c>
      <c r="F2168" s="124" t="str">
        <f ca="1">IFERROR(__xludf.DUMMYFUNCTION("""COMPUTED_VALUE"""),"S")</f>
        <v>S</v>
      </c>
      <c r="G2168" s="124">
        <f ca="1">IFERROR(__xludf.DUMMYFUNCTION("""COMPUTED_VALUE"""),6)</f>
        <v>6</v>
      </c>
      <c r="H2168" s="124" t="str">
        <f ca="1">IFERROR(__xludf.DUMMYFUNCTION("""COMPUTED_VALUE"""),"WC")</f>
        <v>WC</v>
      </c>
      <c r="I2168" s="124">
        <f ca="1">IFERROR(__xludf.DUMMYFUNCTION("""COMPUTED_VALUE"""),11)</f>
        <v>11</v>
      </c>
      <c r="J2168" s="124">
        <f ca="1">IFERROR(__xludf.DUMMYFUNCTION("""COMPUTED_VALUE"""),2)</f>
        <v>2</v>
      </c>
      <c r="K2168" s="125">
        <f ca="1">IFERROR(__xludf.DUMMYFUNCTION("""COMPUTED_VALUE"""),151.2)</f>
        <v>151.19999999999999</v>
      </c>
      <c r="L2168" s="121"/>
      <c r="M2168" s="125">
        <f ca="1">IFERROR(__xludf.DUMMYFUNCTION("""COMPUTED_VALUE"""),138.6)</f>
        <v>138.6</v>
      </c>
      <c r="N2168" s="121"/>
      <c r="O2168" s="125"/>
      <c r="P2168" s="126"/>
      <c r="Q2168" s="127"/>
      <c r="R2168" s="127"/>
      <c r="S2168" s="127"/>
      <c r="T2168" s="127"/>
    </row>
    <row r="2169" spans="1:20" ht="13.8">
      <c r="A2169" s="118" t="str">
        <f ca="1">IFERROR(__xludf.DUMMYFUNCTION("""COMPUTED_VALUE"""),"WC")</f>
        <v>WC</v>
      </c>
      <c r="B2169" s="119" t="str">
        <f ca="1">IFERROR(__xludf.DUMMYFUNCTION("""COMPUTED_VALUE"""),"Nathaniel Grannis")</f>
        <v>Nathaniel Grannis</v>
      </c>
      <c r="C2169" s="118">
        <f ca="1">IFERROR(__xludf.DUMMYFUNCTION("""COMPUTED_VALUE"""),16)</f>
        <v>16</v>
      </c>
      <c r="D2169" s="118" t="str">
        <f ca="1">IFERROR(__xludf.DUMMYFUNCTION("""COMPUTED_VALUE"""),"B")</f>
        <v>B</v>
      </c>
      <c r="E2169" s="118" t="str">
        <f ca="1">IFERROR(__xludf.DUMMYFUNCTION("""COMPUTED_VALUE"""),"S")</f>
        <v>S</v>
      </c>
      <c r="F2169" s="124" t="str">
        <f ca="1">IFERROR(__xludf.DUMMYFUNCTION("""COMPUTED_VALUE"""),"S")</f>
        <v>S</v>
      </c>
      <c r="G2169" s="124">
        <f ca="1">IFERROR(__xludf.DUMMYFUNCTION("""COMPUTED_VALUE"""),6)</f>
        <v>6</v>
      </c>
      <c r="H2169" s="124" t="str">
        <f ca="1">IFERROR(__xludf.DUMMYFUNCTION("""COMPUTED_VALUE"""),"WC")</f>
        <v>WC</v>
      </c>
      <c r="I2169" s="124">
        <f ca="1">IFERROR(__xludf.DUMMYFUNCTION("""COMPUTED_VALUE"""),11)</f>
        <v>11</v>
      </c>
      <c r="J2169" s="124">
        <f ca="1">IFERROR(__xludf.DUMMYFUNCTION("""COMPUTED_VALUE"""),4)</f>
        <v>4</v>
      </c>
      <c r="K2169" s="125">
        <f ca="1">IFERROR(__xludf.DUMMYFUNCTION("""COMPUTED_VALUE"""),297.75)</f>
        <v>297.75</v>
      </c>
      <c r="L2169" s="121"/>
      <c r="M2169" s="125"/>
      <c r="N2169" s="121"/>
      <c r="O2169" s="125">
        <f ca="1">IFERROR(__xludf.DUMMYFUNCTION("""COMPUTED_VALUE"""),291.85)</f>
        <v>291.85000000000002</v>
      </c>
      <c r="P2169" s="126"/>
      <c r="Q2169" s="127"/>
      <c r="R2169" s="127"/>
      <c r="S2169" s="127"/>
      <c r="T2169" s="127"/>
    </row>
    <row r="2170" spans="1:20" ht="13.8">
      <c r="A2170" s="118" t="str">
        <f ca="1">IFERROR(__xludf.DUMMYFUNCTION("""COMPUTED_VALUE"""),"WC")</f>
        <v>WC</v>
      </c>
      <c r="B2170" s="119" t="str">
        <f ca="1">IFERROR(__xludf.DUMMYFUNCTION("""COMPUTED_VALUE"""),"Seamus McNamara")</f>
        <v>Seamus McNamara</v>
      </c>
      <c r="C2170" s="118">
        <f ca="1">IFERROR(__xludf.DUMMYFUNCTION("""COMPUTED_VALUE"""),15)</f>
        <v>15</v>
      </c>
      <c r="D2170" s="118" t="str">
        <f ca="1">IFERROR(__xludf.DUMMYFUNCTION("""COMPUTED_VALUE"""),"B")</f>
        <v>B</v>
      </c>
      <c r="E2170" s="118" t="str">
        <f ca="1">IFERROR(__xludf.DUMMYFUNCTION("""COMPUTED_VALUE"""),"S")</f>
        <v>S</v>
      </c>
      <c r="F2170" s="124" t="str">
        <f ca="1">IFERROR(__xludf.DUMMYFUNCTION("""COMPUTED_VALUE"""),"S")</f>
        <v>S</v>
      </c>
      <c r="G2170" s="124">
        <f ca="1">IFERROR(__xludf.DUMMYFUNCTION("""COMPUTED_VALUE"""),6)</f>
        <v>6</v>
      </c>
      <c r="H2170" s="124" t="str">
        <f ca="1">IFERROR(__xludf.DUMMYFUNCTION("""COMPUTED_VALUE"""),"WC")</f>
        <v>WC</v>
      </c>
      <c r="I2170" s="124">
        <f ca="1">IFERROR(__xludf.DUMMYFUNCTION("""COMPUTED_VALUE"""),11)</f>
        <v>11</v>
      </c>
      <c r="J2170" s="124">
        <f ca="1">IFERROR(__xludf.DUMMYFUNCTION("""COMPUTED_VALUE"""),4)</f>
        <v>4</v>
      </c>
      <c r="K2170" s="125">
        <f ca="1">IFERROR(__xludf.DUMMYFUNCTION("""COMPUTED_VALUE"""),184.85)</f>
        <v>184.85</v>
      </c>
      <c r="L2170" s="121"/>
      <c r="M2170" s="125"/>
      <c r="N2170" s="121"/>
      <c r="O2170" s="125">
        <f ca="1">IFERROR(__xludf.DUMMYFUNCTION("""COMPUTED_VALUE"""),184.85)</f>
        <v>184.85</v>
      </c>
      <c r="P2170" s="126"/>
      <c r="Q2170" s="127"/>
      <c r="R2170" s="127"/>
      <c r="S2170" s="127"/>
      <c r="T2170" s="127"/>
    </row>
    <row r="2171" spans="1:20" ht="13.8">
      <c r="A2171" s="118" t="str">
        <f ca="1">IFERROR(__xludf.DUMMYFUNCTION("""COMPUTED_VALUE"""),"WG")</f>
        <v>WG</v>
      </c>
      <c r="B2171" s="119" t="str">
        <f ca="1">IFERROR(__xludf.DUMMYFUNCTION("""COMPUTED_VALUE"""),"Addison D'Avilar")</f>
        <v>Addison D'Avilar</v>
      </c>
      <c r="C2171" s="118">
        <f ca="1">IFERROR(__xludf.DUMMYFUNCTION("""COMPUTED_VALUE"""),8)</f>
        <v>8</v>
      </c>
      <c r="D2171" s="118" t="str">
        <f ca="1">IFERROR(__xludf.DUMMYFUNCTION("""COMPUTED_VALUE"""),"G")</f>
        <v>G</v>
      </c>
      <c r="E2171" s="118" t="str">
        <f ca="1">IFERROR(__xludf.DUMMYFUNCTION("""COMPUTED_VALUE"""),"F")</f>
        <v>F</v>
      </c>
      <c r="F2171" s="124" t="str">
        <f ca="1">IFERROR(__xludf.DUMMYFUNCTION("""COMPUTED_VALUE"""),"J")</f>
        <v>J</v>
      </c>
      <c r="G2171" s="124">
        <f ca="1">IFERROR(__xludf.DUMMYFUNCTION("""COMPUTED_VALUE"""),3)</f>
        <v>3</v>
      </c>
      <c r="H2171" s="124" t="str">
        <f ca="1">IFERROR(__xludf.DUMMYFUNCTION("""COMPUTED_VALUE"""),"WG")</f>
        <v>WG</v>
      </c>
      <c r="I2171" s="124">
        <f ca="1">IFERROR(__xludf.DUMMYFUNCTION("""COMPUTED_VALUE"""),4)</f>
        <v>4</v>
      </c>
      <c r="J2171" s="124">
        <f ca="1">IFERROR(__xludf.DUMMYFUNCTION("""COMPUTED_VALUE"""),0)</f>
        <v>0</v>
      </c>
      <c r="K2171" s="125"/>
      <c r="L2171" s="121"/>
      <c r="M2171" s="125"/>
      <c r="N2171" s="121"/>
      <c r="O2171" s="125"/>
      <c r="P2171" s="126"/>
      <c r="Q2171" s="127"/>
      <c r="R2171" s="127"/>
      <c r="S2171" s="127"/>
      <c r="T2171" s="127"/>
    </row>
    <row r="2172" spans="1:20" ht="13.8">
      <c r="A2172" s="118" t="str">
        <f ca="1">IFERROR(__xludf.DUMMYFUNCTION("""COMPUTED_VALUE"""),"WG")</f>
        <v>WG</v>
      </c>
      <c r="B2172" s="119" t="str">
        <f ca="1">IFERROR(__xludf.DUMMYFUNCTION("""COMPUTED_VALUE"""),"Anna Zrembski")</f>
        <v>Anna Zrembski</v>
      </c>
      <c r="C2172" s="118">
        <f ca="1">IFERROR(__xludf.DUMMYFUNCTION("""COMPUTED_VALUE"""),9)</f>
        <v>9</v>
      </c>
      <c r="D2172" s="118" t="str">
        <f ca="1">IFERROR(__xludf.DUMMYFUNCTION("""COMPUTED_VALUE"""),"G")</f>
        <v>G</v>
      </c>
      <c r="E2172" s="118" t="str">
        <f ca="1">IFERROR(__xludf.DUMMYFUNCTION("""COMPUTED_VALUE"""),"F")</f>
        <v>F</v>
      </c>
      <c r="F2172" s="124" t="str">
        <f ca="1">IFERROR(__xludf.DUMMYFUNCTION("""COMPUTED_VALUE"""),"J")</f>
        <v>J</v>
      </c>
      <c r="G2172" s="124">
        <f ca="1">IFERROR(__xludf.DUMMYFUNCTION("""COMPUTED_VALUE"""),3)</f>
        <v>3</v>
      </c>
      <c r="H2172" s="124" t="str">
        <f ca="1">IFERROR(__xludf.DUMMYFUNCTION("""COMPUTED_VALUE"""),"WG")</f>
        <v>WG</v>
      </c>
      <c r="I2172" s="124">
        <f ca="1">IFERROR(__xludf.DUMMYFUNCTION("""COMPUTED_VALUE"""),4)</f>
        <v>4</v>
      </c>
      <c r="J2172" s="124">
        <f ca="1">IFERROR(__xludf.DUMMYFUNCTION("""COMPUTED_VALUE"""),0)</f>
        <v>0</v>
      </c>
      <c r="K2172" s="125"/>
      <c r="L2172" s="121"/>
      <c r="M2172" s="125"/>
      <c r="N2172" s="121"/>
      <c r="O2172" s="125"/>
      <c r="P2172" s="126"/>
      <c r="Q2172" s="127"/>
      <c r="R2172" s="127"/>
      <c r="S2172" s="127"/>
      <c r="T2172" s="127"/>
    </row>
    <row r="2173" spans="1:20" ht="13.8">
      <c r="A2173" s="118" t="str">
        <f ca="1">IFERROR(__xludf.DUMMYFUNCTION("""COMPUTED_VALUE"""),"WG")</f>
        <v>WG</v>
      </c>
      <c r="B2173" s="119" t="str">
        <f ca="1">IFERROR(__xludf.DUMMYFUNCTION("""COMPUTED_VALUE"""),"Charlotte Rusnak")</f>
        <v>Charlotte Rusnak</v>
      </c>
      <c r="C2173" s="118">
        <f ca="1">IFERROR(__xludf.DUMMYFUNCTION("""COMPUTED_VALUE"""),7)</f>
        <v>7</v>
      </c>
      <c r="D2173" s="118" t="str">
        <f ca="1">IFERROR(__xludf.DUMMYFUNCTION("""COMPUTED_VALUE"""),"G")</f>
        <v>G</v>
      </c>
      <c r="E2173" s="118" t="str">
        <f ca="1">IFERROR(__xludf.DUMMYFUNCTION("""COMPUTED_VALUE"""),"F")</f>
        <v>F</v>
      </c>
      <c r="F2173" s="124" t="str">
        <f ca="1">IFERROR(__xludf.DUMMYFUNCTION("""COMPUTED_VALUE"""),"J")</f>
        <v>J</v>
      </c>
      <c r="G2173" s="124">
        <f ca="1">IFERROR(__xludf.DUMMYFUNCTION("""COMPUTED_VALUE"""),3)</f>
        <v>3</v>
      </c>
      <c r="H2173" s="124" t="str">
        <f ca="1">IFERROR(__xludf.DUMMYFUNCTION("""COMPUTED_VALUE"""),"WG")</f>
        <v>WG</v>
      </c>
      <c r="I2173" s="124">
        <f ca="1">IFERROR(__xludf.DUMMYFUNCTION("""COMPUTED_VALUE"""),4)</f>
        <v>4</v>
      </c>
      <c r="J2173" s="124">
        <f ca="1">IFERROR(__xludf.DUMMYFUNCTION("""COMPUTED_VALUE"""),5)</f>
        <v>5</v>
      </c>
      <c r="K2173" s="125">
        <f ca="1">IFERROR(__xludf.DUMMYFUNCTION("""COMPUTED_VALUE"""),42.35)</f>
        <v>42.35</v>
      </c>
      <c r="L2173" s="121"/>
      <c r="M2173" s="125">
        <f ca="1">IFERROR(__xludf.DUMMYFUNCTION("""COMPUTED_VALUE"""),42.35)</f>
        <v>42.35</v>
      </c>
      <c r="N2173" s="121"/>
      <c r="O2173" s="125">
        <f ca="1">IFERROR(__xludf.DUMMYFUNCTION("""COMPUTED_VALUE"""),33.75)</f>
        <v>33.75</v>
      </c>
      <c r="P2173" s="126"/>
      <c r="Q2173" s="127"/>
      <c r="R2173" s="127"/>
      <c r="S2173" s="127"/>
      <c r="T2173" s="127"/>
    </row>
    <row r="2174" spans="1:20" ht="13.8">
      <c r="A2174" s="118" t="str">
        <f ca="1">IFERROR(__xludf.DUMMYFUNCTION("""COMPUTED_VALUE"""),"WG")</f>
        <v>WG</v>
      </c>
      <c r="B2174" s="119" t="str">
        <f ca="1">IFERROR(__xludf.DUMMYFUNCTION("""COMPUTED_VALUE"""),"Eliska Brown")</f>
        <v>Eliska Brown</v>
      </c>
      <c r="C2174" s="118">
        <f ca="1">IFERROR(__xludf.DUMMYFUNCTION("""COMPUTED_VALUE"""),10)</f>
        <v>10</v>
      </c>
      <c r="D2174" s="118" t="str">
        <f ca="1">IFERROR(__xludf.DUMMYFUNCTION("""COMPUTED_VALUE"""),"G")</f>
        <v>G</v>
      </c>
      <c r="E2174" s="118" t="str">
        <f ca="1">IFERROR(__xludf.DUMMYFUNCTION("""COMPUTED_VALUE"""),"F")</f>
        <v>F</v>
      </c>
      <c r="F2174" s="124" t="str">
        <f ca="1">IFERROR(__xludf.DUMMYFUNCTION("""COMPUTED_VALUE"""),"J")</f>
        <v>J</v>
      </c>
      <c r="G2174" s="124">
        <f ca="1">IFERROR(__xludf.DUMMYFUNCTION("""COMPUTED_VALUE"""),3)</f>
        <v>3</v>
      </c>
      <c r="H2174" s="124" t="str">
        <f ca="1">IFERROR(__xludf.DUMMYFUNCTION("""COMPUTED_VALUE"""),"WG")</f>
        <v>WG</v>
      </c>
      <c r="I2174" s="124">
        <f ca="1">IFERROR(__xludf.DUMMYFUNCTION("""COMPUTED_VALUE"""),4)</f>
        <v>4</v>
      </c>
      <c r="J2174" s="124">
        <f ca="1">IFERROR(__xludf.DUMMYFUNCTION("""COMPUTED_VALUE"""),5)</f>
        <v>5</v>
      </c>
      <c r="K2174" s="125">
        <f ca="1">IFERROR(__xludf.DUMMYFUNCTION("""COMPUTED_VALUE"""),53.1)</f>
        <v>53.1</v>
      </c>
      <c r="L2174" s="121"/>
      <c r="M2174" s="125">
        <f ca="1">IFERROR(__xludf.DUMMYFUNCTION("""COMPUTED_VALUE"""),53.1)</f>
        <v>53.1</v>
      </c>
      <c r="N2174" s="121"/>
      <c r="O2174" s="125">
        <f ca="1">IFERROR(__xludf.DUMMYFUNCTION("""COMPUTED_VALUE"""),46.65)</f>
        <v>46.65</v>
      </c>
      <c r="P2174" s="126"/>
      <c r="Q2174" s="127"/>
      <c r="R2174" s="127"/>
      <c r="S2174" s="127"/>
      <c r="T2174" s="127"/>
    </row>
    <row r="2175" spans="1:20" ht="13.8">
      <c r="A2175" s="118" t="str">
        <f ca="1">IFERROR(__xludf.DUMMYFUNCTION("""COMPUTED_VALUE"""),"WG")</f>
        <v>WG</v>
      </c>
      <c r="B2175" s="119" t="str">
        <f ca="1">IFERROR(__xludf.DUMMYFUNCTION("""COMPUTED_VALUE"""),"Emma Phillips")</f>
        <v>Emma Phillips</v>
      </c>
      <c r="C2175" s="118">
        <f ca="1">IFERROR(__xludf.DUMMYFUNCTION("""COMPUTED_VALUE"""),9)</f>
        <v>9</v>
      </c>
      <c r="D2175" s="118" t="str">
        <f ca="1">IFERROR(__xludf.DUMMYFUNCTION("""COMPUTED_VALUE"""),"G")</f>
        <v>G</v>
      </c>
      <c r="E2175" s="118" t="str">
        <f ca="1">IFERROR(__xludf.DUMMYFUNCTION("""COMPUTED_VALUE"""),"F")</f>
        <v>F</v>
      </c>
      <c r="F2175" s="124" t="str">
        <f ca="1">IFERROR(__xludf.DUMMYFUNCTION("""COMPUTED_VALUE"""),"J")</f>
        <v>J</v>
      </c>
      <c r="G2175" s="124">
        <f ca="1">IFERROR(__xludf.DUMMYFUNCTION("""COMPUTED_VALUE"""),3)</f>
        <v>3</v>
      </c>
      <c r="H2175" s="124" t="str">
        <f ca="1">IFERROR(__xludf.DUMMYFUNCTION("""COMPUTED_VALUE"""),"WG")</f>
        <v>WG</v>
      </c>
      <c r="I2175" s="124">
        <f ca="1">IFERROR(__xludf.DUMMYFUNCTION("""COMPUTED_VALUE"""),4)</f>
        <v>4</v>
      </c>
      <c r="J2175" s="124">
        <f ca="1">IFERROR(__xludf.DUMMYFUNCTION("""COMPUTED_VALUE"""),4)</f>
        <v>4</v>
      </c>
      <c r="K2175" s="125">
        <f ca="1">IFERROR(__xludf.DUMMYFUNCTION("""COMPUTED_VALUE"""),63.95)</f>
        <v>63.95</v>
      </c>
      <c r="L2175" s="121"/>
      <c r="M2175" s="125">
        <f ca="1">IFERROR(__xludf.DUMMYFUNCTION("""COMPUTED_VALUE"""),63.95)</f>
        <v>63.95</v>
      </c>
      <c r="N2175" s="121"/>
      <c r="O2175" s="125">
        <f ca="1">IFERROR(__xludf.DUMMYFUNCTION("""COMPUTED_VALUE"""),61.4)</f>
        <v>61.4</v>
      </c>
      <c r="P2175" s="126"/>
      <c r="Q2175" s="127"/>
      <c r="R2175" s="127"/>
      <c r="S2175" s="127"/>
      <c r="T2175" s="127"/>
    </row>
    <row r="2176" spans="1:20" ht="13.8">
      <c r="A2176" s="118" t="str">
        <f ca="1">IFERROR(__xludf.DUMMYFUNCTION("""COMPUTED_VALUE"""),"WG")</f>
        <v>WG</v>
      </c>
      <c r="B2176" s="119" t="str">
        <f ca="1">IFERROR(__xludf.DUMMYFUNCTION("""COMPUTED_VALUE"""),"Lilly Cameron")</f>
        <v>Lilly Cameron</v>
      </c>
      <c r="C2176" s="118">
        <f ca="1">IFERROR(__xludf.DUMMYFUNCTION("""COMPUTED_VALUE"""),7)</f>
        <v>7</v>
      </c>
      <c r="D2176" s="118" t="str">
        <f ca="1">IFERROR(__xludf.DUMMYFUNCTION("""COMPUTED_VALUE"""),"G")</f>
        <v>G</v>
      </c>
      <c r="E2176" s="118" t="str">
        <f ca="1">IFERROR(__xludf.DUMMYFUNCTION("""COMPUTED_VALUE"""),"F")</f>
        <v>F</v>
      </c>
      <c r="F2176" s="124" t="str">
        <f ca="1">IFERROR(__xludf.DUMMYFUNCTION("""COMPUTED_VALUE"""),"J")</f>
        <v>J</v>
      </c>
      <c r="G2176" s="124">
        <f ca="1">IFERROR(__xludf.DUMMYFUNCTION("""COMPUTED_VALUE"""),3)</f>
        <v>3</v>
      </c>
      <c r="H2176" s="124" t="str">
        <f ca="1">IFERROR(__xludf.DUMMYFUNCTION("""COMPUTED_VALUE"""),"WG")</f>
        <v>WG</v>
      </c>
      <c r="I2176" s="124">
        <f ca="1">IFERROR(__xludf.DUMMYFUNCTION("""COMPUTED_VALUE"""),4)</f>
        <v>4</v>
      </c>
      <c r="J2176" s="124">
        <f ca="1">IFERROR(__xludf.DUMMYFUNCTION("""COMPUTED_VALUE"""),0)</f>
        <v>0</v>
      </c>
      <c r="K2176" s="125"/>
      <c r="L2176" s="121"/>
      <c r="M2176" s="125"/>
      <c r="N2176" s="121"/>
      <c r="O2176" s="125"/>
      <c r="P2176" s="126"/>
      <c r="Q2176" s="127"/>
      <c r="R2176" s="127"/>
      <c r="S2176" s="127"/>
      <c r="T2176" s="127"/>
    </row>
    <row r="2177" spans="1:20" ht="13.8">
      <c r="A2177" s="118" t="str">
        <f ca="1">IFERROR(__xludf.DUMMYFUNCTION("""COMPUTED_VALUE"""),"WG")</f>
        <v>WG</v>
      </c>
      <c r="B2177" s="119" t="str">
        <f ca="1">IFERROR(__xludf.DUMMYFUNCTION("""COMPUTED_VALUE"""),"Polina Lisnik")</f>
        <v>Polina Lisnik</v>
      </c>
      <c r="C2177" s="118">
        <f ca="1">IFERROR(__xludf.DUMMYFUNCTION("""COMPUTED_VALUE"""),8)</f>
        <v>8</v>
      </c>
      <c r="D2177" s="118" t="str">
        <f ca="1">IFERROR(__xludf.DUMMYFUNCTION("""COMPUTED_VALUE"""),"G")</f>
        <v>G</v>
      </c>
      <c r="E2177" s="118" t="str">
        <f ca="1">IFERROR(__xludf.DUMMYFUNCTION("""COMPUTED_VALUE"""),"F")</f>
        <v>F</v>
      </c>
      <c r="F2177" s="124" t="str">
        <f ca="1">IFERROR(__xludf.DUMMYFUNCTION("""COMPUTED_VALUE"""),"J")</f>
        <v>J</v>
      </c>
      <c r="G2177" s="124">
        <f ca="1">IFERROR(__xludf.DUMMYFUNCTION("""COMPUTED_VALUE"""),3)</f>
        <v>3</v>
      </c>
      <c r="H2177" s="124" t="str">
        <f ca="1">IFERROR(__xludf.DUMMYFUNCTION("""COMPUTED_VALUE"""),"WG")</f>
        <v>WG</v>
      </c>
      <c r="I2177" s="124">
        <f ca="1">IFERROR(__xludf.DUMMYFUNCTION("""COMPUTED_VALUE"""),4)</f>
        <v>4</v>
      </c>
      <c r="J2177" s="124">
        <f ca="1">IFERROR(__xludf.DUMMYFUNCTION("""COMPUTED_VALUE"""),2)</f>
        <v>2</v>
      </c>
      <c r="K2177" s="125">
        <f ca="1">IFERROR(__xludf.DUMMYFUNCTION("""COMPUTED_VALUE"""),21.6)</f>
        <v>21.6</v>
      </c>
      <c r="L2177" s="121"/>
      <c r="M2177" s="125"/>
      <c r="N2177" s="121"/>
      <c r="O2177" s="125"/>
      <c r="P2177" s="126"/>
      <c r="Q2177" s="127"/>
      <c r="R2177" s="127"/>
      <c r="S2177" s="127"/>
      <c r="T2177" s="127"/>
    </row>
    <row r="2178" spans="1:20" ht="13.8">
      <c r="A2178" s="118" t="str">
        <f ca="1">IFERROR(__xludf.DUMMYFUNCTION("""COMPUTED_VALUE"""),"WG")</f>
        <v>WG</v>
      </c>
      <c r="B2178" s="119" t="str">
        <f ca="1">IFERROR(__xludf.DUMMYFUNCTION("""COMPUTED_VALUE"""),"Samantha Lanthier")</f>
        <v>Samantha Lanthier</v>
      </c>
      <c r="C2178" s="118">
        <f ca="1">IFERROR(__xludf.DUMMYFUNCTION("""COMPUTED_VALUE"""),10)</f>
        <v>10</v>
      </c>
      <c r="D2178" s="118" t="str">
        <f ca="1">IFERROR(__xludf.DUMMYFUNCTION("""COMPUTED_VALUE"""),"G")</f>
        <v>G</v>
      </c>
      <c r="E2178" s="118" t="str">
        <f ca="1">IFERROR(__xludf.DUMMYFUNCTION("""COMPUTED_VALUE"""),"F")</f>
        <v>F</v>
      </c>
      <c r="F2178" s="124" t="str">
        <f ca="1">IFERROR(__xludf.DUMMYFUNCTION("""COMPUTED_VALUE"""),"J")</f>
        <v>J</v>
      </c>
      <c r="G2178" s="124">
        <f ca="1">IFERROR(__xludf.DUMMYFUNCTION("""COMPUTED_VALUE"""),3)</f>
        <v>3</v>
      </c>
      <c r="H2178" s="124" t="str">
        <f ca="1">IFERROR(__xludf.DUMMYFUNCTION("""COMPUTED_VALUE"""),"WG")</f>
        <v>WG</v>
      </c>
      <c r="I2178" s="124">
        <f ca="1">IFERROR(__xludf.DUMMYFUNCTION("""COMPUTED_VALUE"""),4)</f>
        <v>4</v>
      </c>
      <c r="J2178" s="124">
        <f ca="1">IFERROR(__xludf.DUMMYFUNCTION("""COMPUTED_VALUE"""),5)</f>
        <v>5</v>
      </c>
      <c r="K2178" s="125">
        <f ca="1">IFERROR(__xludf.DUMMYFUNCTION("""COMPUTED_VALUE"""),59.15)</f>
        <v>59.15</v>
      </c>
      <c r="L2178" s="121"/>
      <c r="M2178" s="125">
        <f ca="1">IFERROR(__xludf.DUMMYFUNCTION("""COMPUTED_VALUE"""),51.9)</f>
        <v>51.9</v>
      </c>
      <c r="N2178" s="121"/>
      <c r="O2178" s="125">
        <f ca="1">IFERROR(__xludf.DUMMYFUNCTION("""COMPUTED_VALUE"""),50.3)</f>
        <v>50.3</v>
      </c>
      <c r="P2178" s="126"/>
      <c r="Q2178" s="127"/>
      <c r="R2178" s="127"/>
      <c r="S2178" s="127"/>
      <c r="T2178" s="127"/>
    </row>
    <row r="2179" spans="1:20" ht="13.8">
      <c r="A2179" s="118" t="str">
        <f ca="1">IFERROR(__xludf.DUMMYFUNCTION("""COMPUTED_VALUE"""),"WG")</f>
        <v>WG</v>
      </c>
      <c r="B2179" s="119" t="str">
        <f ca="1">IFERROR(__xludf.DUMMYFUNCTION("""COMPUTED_VALUE"""),"Ahru Lee")</f>
        <v>Ahru Lee</v>
      </c>
      <c r="C2179" s="118">
        <f ca="1">IFERROR(__xludf.DUMMYFUNCTION("""COMPUTED_VALUE"""),8)</f>
        <v>8</v>
      </c>
      <c r="D2179" s="118" t="str">
        <f ca="1">IFERROR(__xludf.DUMMYFUNCTION("""COMPUTED_VALUE"""),"B")</f>
        <v>B</v>
      </c>
      <c r="E2179" s="118" t="str">
        <f ca="1">IFERROR(__xludf.DUMMYFUNCTION("""COMPUTED_VALUE"""),"F")</f>
        <v>F</v>
      </c>
      <c r="F2179" s="124" t="str">
        <f ca="1">IFERROR(__xludf.DUMMYFUNCTION("""COMPUTED_VALUE"""),"J")</f>
        <v>J</v>
      </c>
      <c r="G2179" s="124">
        <f ca="1">IFERROR(__xludf.DUMMYFUNCTION("""COMPUTED_VALUE"""),3)</f>
        <v>3</v>
      </c>
      <c r="H2179" s="124" t="str">
        <f ca="1">IFERROR(__xludf.DUMMYFUNCTION("""COMPUTED_VALUE"""),"WG")</f>
        <v>WG</v>
      </c>
      <c r="I2179" s="124">
        <f ca="1">IFERROR(__xludf.DUMMYFUNCTION("""COMPUTED_VALUE"""),5)</f>
        <v>5</v>
      </c>
      <c r="J2179" s="124">
        <f ca="1">IFERROR(__xludf.DUMMYFUNCTION("""COMPUTED_VALUE"""),2)</f>
        <v>2</v>
      </c>
      <c r="K2179" s="125">
        <f ca="1">IFERROR(__xludf.DUMMYFUNCTION("""COMPUTED_VALUE"""),22)</f>
        <v>22</v>
      </c>
      <c r="L2179" s="121"/>
      <c r="M2179" s="125"/>
      <c r="N2179" s="121"/>
      <c r="O2179" s="125"/>
      <c r="P2179" s="126"/>
      <c r="Q2179" s="127"/>
      <c r="R2179" s="127"/>
      <c r="S2179" s="127"/>
      <c r="T2179" s="127"/>
    </row>
    <row r="2180" spans="1:20" ht="13.8">
      <c r="A2180" s="118" t="str">
        <f ca="1">IFERROR(__xludf.DUMMYFUNCTION("""COMPUTED_VALUE"""),"WG")</f>
        <v>WG</v>
      </c>
      <c r="B2180" s="119" t="str">
        <f ca="1">IFERROR(__xludf.DUMMYFUNCTION("""COMPUTED_VALUE"""),"Augie Rusnak")</f>
        <v>Augie Rusnak</v>
      </c>
      <c r="C2180" s="118">
        <f ca="1">IFERROR(__xludf.DUMMYFUNCTION("""COMPUTED_VALUE"""),7)</f>
        <v>7</v>
      </c>
      <c r="D2180" s="118" t="str">
        <f ca="1">IFERROR(__xludf.DUMMYFUNCTION("""COMPUTED_VALUE"""),"B")</f>
        <v>B</v>
      </c>
      <c r="E2180" s="118" t="str">
        <f ca="1">IFERROR(__xludf.DUMMYFUNCTION("""COMPUTED_VALUE"""),"F")</f>
        <v>F</v>
      </c>
      <c r="F2180" s="124" t="str">
        <f ca="1">IFERROR(__xludf.DUMMYFUNCTION("""COMPUTED_VALUE"""),"J")</f>
        <v>J</v>
      </c>
      <c r="G2180" s="124">
        <f ca="1">IFERROR(__xludf.DUMMYFUNCTION("""COMPUTED_VALUE"""),3)</f>
        <v>3</v>
      </c>
      <c r="H2180" s="124" t="str">
        <f ca="1">IFERROR(__xludf.DUMMYFUNCTION("""COMPUTED_VALUE"""),"WG")</f>
        <v>WG</v>
      </c>
      <c r="I2180" s="124">
        <f ca="1">IFERROR(__xludf.DUMMYFUNCTION("""COMPUTED_VALUE"""),5)</f>
        <v>5</v>
      </c>
      <c r="J2180" s="124">
        <f ca="1">IFERROR(__xludf.DUMMYFUNCTION("""COMPUTED_VALUE"""),0)</f>
        <v>0</v>
      </c>
      <c r="K2180" s="125"/>
      <c r="L2180" s="121"/>
      <c r="M2180" s="125"/>
      <c r="N2180" s="121"/>
      <c r="O2180" s="125"/>
      <c r="P2180" s="126"/>
      <c r="Q2180" s="127"/>
      <c r="R2180" s="127"/>
      <c r="S2180" s="127"/>
      <c r="T2180" s="127"/>
    </row>
    <row r="2181" spans="1:20" ht="13.8">
      <c r="A2181" s="118" t="str">
        <f ca="1">IFERROR(__xludf.DUMMYFUNCTION("""COMPUTED_VALUE"""),"WG")</f>
        <v>WG</v>
      </c>
      <c r="B2181" s="119" t="str">
        <f ca="1">IFERROR(__xludf.DUMMYFUNCTION("""COMPUTED_VALUE"""),"Caelum Cox")</f>
        <v>Caelum Cox</v>
      </c>
      <c r="C2181" s="118">
        <f ca="1">IFERROR(__xludf.DUMMYFUNCTION("""COMPUTED_VALUE"""),7)</f>
        <v>7</v>
      </c>
      <c r="D2181" s="118" t="str">
        <f ca="1">IFERROR(__xludf.DUMMYFUNCTION("""COMPUTED_VALUE"""),"B")</f>
        <v>B</v>
      </c>
      <c r="E2181" s="118" t="str">
        <f ca="1">IFERROR(__xludf.DUMMYFUNCTION("""COMPUTED_VALUE"""),"F")</f>
        <v>F</v>
      </c>
      <c r="F2181" s="124" t="str">
        <f ca="1">IFERROR(__xludf.DUMMYFUNCTION("""COMPUTED_VALUE"""),"J")</f>
        <v>J</v>
      </c>
      <c r="G2181" s="124">
        <f ca="1">IFERROR(__xludf.DUMMYFUNCTION("""COMPUTED_VALUE"""),3)</f>
        <v>3</v>
      </c>
      <c r="H2181" s="124" t="str">
        <f ca="1">IFERROR(__xludf.DUMMYFUNCTION("""COMPUTED_VALUE"""),"WG")</f>
        <v>WG</v>
      </c>
      <c r="I2181" s="124">
        <f ca="1">IFERROR(__xludf.DUMMYFUNCTION("""COMPUTED_VALUE"""),5)</f>
        <v>5</v>
      </c>
      <c r="J2181" s="124">
        <f ca="1">IFERROR(__xludf.DUMMYFUNCTION("""COMPUTED_VALUE"""),4)</f>
        <v>4</v>
      </c>
      <c r="K2181" s="125">
        <f ca="1">IFERROR(__xludf.DUMMYFUNCTION("""COMPUTED_VALUE"""),40.55)</f>
        <v>40.549999999999997</v>
      </c>
      <c r="L2181" s="121"/>
      <c r="M2181" s="125"/>
      <c r="N2181" s="121"/>
      <c r="O2181" s="125">
        <f ca="1">IFERROR(__xludf.DUMMYFUNCTION("""COMPUTED_VALUE"""),40.55)</f>
        <v>40.549999999999997</v>
      </c>
      <c r="P2181" s="126"/>
      <c r="Q2181" s="127"/>
      <c r="R2181" s="127"/>
      <c r="S2181" s="127"/>
      <c r="T2181" s="127"/>
    </row>
    <row r="2182" spans="1:20" ht="13.8">
      <c r="A2182" s="118" t="str">
        <f ca="1">IFERROR(__xludf.DUMMYFUNCTION("""COMPUTED_VALUE"""),"WG")</f>
        <v>WG</v>
      </c>
      <c r="B2182" s="119" t="str">
        <f ca="1">IFERROR(__xludf.DUMMYFUNCTION("""COMPUTED_VALUE"""),"Ethan Peebles")</f>
        <v>Ethan Peebles</v>
      </c>
      <c r="C2182" s="118">
        <f ca="1">IFERROR(__xludf.DUMMYFUNCTION("""COMPUTED_VALUE"""),7)</f>
        <v>7</v>
      </c>
      <c r="D2182" s="118" t="str">
        <f ca="1">IFERROR(__xludf.DUMMYFUNCTION("""COMPUTED_VALUE"""),"B")</f>
        <v>B</v>
      </c>
      <c r="E2182" s="118" t="str">
        <f ca="1">IFERROR(__xludf.DUMMYFUNCTION("""COMPUTED_VALUE"""),"F")</f>
        <v>F</v>
      </c>
      <c r="F2182" s="124" t="str">
        <f ca="1">IFERROR(__xludf.DUMMYFUNCTION("""COMPUTED_VALUE"""),"J")</f>
        <v>J</v>
      </c>
      <c r="G2182" s="124">
        <f ca="1">IFERROR(__xludf.DUMMYFUNCTION("""COMPUTED_VALUE"""),3)</f>
        <v>3</v>
      </c>
      <c r="H2182" s="124" t="str">
        <f ca="1">IFERROR(__xludf.DUMMYFUNCTION("""COMPUTED_VALUE"""),"WG")</f>
        <v>WG</v>
      </c>
      <c r="I2182" s="124">
        <f ca="1">IFERROR(__xludf.DUMMYFUNCTION("""COMPUTED_VALUE"""),5)</f>
        <v>5</v>
      </c>
      <c r="J2182" s="124">
        <f ca="1">IFERROR(__xludf.DUMMYFUNCTION("""COMPUTED_VALUE"""),4)</f>
        <v>4</v>
      </c>
      <c r="K2182" s="125">
        <f ca="1">IFERROR(__xludf.DUMMYFUNCTION("""COMPUTED_VALUE"""),40.05)</f>
        <v>40.049999999999997</v>
      </c>
      <c r="L2182" s="121"/>
      <c r="M2182" s="125"/>
      <c r="N2182" s="121"/>
      <c r="O2182" s="125">
        <f ca="1">IFERROR(__xludf.DUMMYFUNCTION("""COMPUTED_VALUE"""),29.85)</f>
        <v>29.85</v>
      </c>
      <c r="P2182" s="126"/>
      <c r="Q2182" s="127"/>
      <c r="R2182" s="127"/>
      <c r="S2182" s="127"/>
      <c r="T2182" s="127"/>
    </row>
    <row r="2183" spans="1:20" ht="13.8">
      <c r="A2183" s="118" t="str">
        <f ca="1">IFERROR(__xludf.DUMMYFUNCTION("""COMPUTED_VALUE"""),"WG")</f>
        <v>WG</v>
      </c>
      <c r="B2183" s="119" t="str">
        <f ca="1">IFERROR(__xludf.DUMMYFUNCTION("""COMPUTED_VALUE"""),"Klim Lisnik")</f>
        <v>Klim Lisnik</v>
      </c>
      <c r="C2183" s="118">
        <f ca="1">IFERROR(__xludf.DUMMYFUNCTION("""COMPUTED_VALUE"""),10)</f>
        <v>10</v>
      </c>
      <c r="D2183" s="118" t="str">
        <f ca="1">IFERROR(__xludf.DUMMYFUNCTION("""COMPUTED_VALUE"""),"B")</f>
        <v>B</v>
      </c>
      <c r="E2183" s="118" t="str">
        <f ca="1">IFERROR(__xludf.DUMMYFUNCTION("""COMPUTED_VALUE"""),"F")</f>
        <v>F</v>
      </c>
      <c r="F2183" s="124" t="str">
        <f ca="1">IFERROR(__xludf.DUMMYFUNCTION("""COMPUTED_VALUE"""),"J")</f>
        <v>J</v>
      </c>
      <c r="G2183" s="124">
        <f ca="1">IFERROR(__xludf.DUMMYFUNCTION("""COMPUTED_VALUE"""),3)</f>
        <v>3</v>
      </c>
      <c r="H2183" s="124" t="str">
        <f ca="1">IFERROR(__xludf.DUMMYFUNCTION("""COMPUTED_VALUE"""),"WG")</f>
        <v>WG</v>
      </c>
      <c r="I2183" s="124">
        <f ca="1">IFERROR(__xludf.DUMMYFUNCTION("""COMPUTED_VALUE"""),5)</f>
        <v>5</v>
      </c>
      <c r="J2183" s="124">
        <f ca="1">IFERROR(__xludf.DUMMYFUNCTION("""COMPUTED_VALUE"""),2)</f>
        <v>2</v>
      </c>
      <c r="K2183" s="125">
        <f ca="1">IFERROR(__xludf.DUMMYFUNCTION("""COMPUTED_VALUE"""),23.1)</f>
        <v>23.1</v>
      </c>
      <c r="L2183" s="121"/>
      <c r="M2183" s="125"/>
      <c r="N2183" s="121"/>
      <c r="O2183" s="125"/>
      <c r="P2183" s="126"/>
      <c r="Q2183" s="127"/>
      <c r="R2183" s="127"/>
      <c r="S2183" s="127"/>
      <c r="T2183" s="127"/>
    </row>
    <row r="2184" spans="1:20" ht="13.8">
      <c r="A2184" s="118" t="str">
        <f ca="1">IFERROR(__xludf.DUMMYFUNCTION("""COMPUTED_VALUE"""),"WG")</f>
        <v>WG</v>
      </c>
      <c r="B2184" s="119" t="str">
        <f ca="1">IFERROR(__xludf.DUMMYFUNCTION("""COMPUTED_VALUE"""),"Maty Brown")</f>
        <v>Maty Brown</v>
      </c>
      <c r="C2184" s="118">
        <f ca="1">IFERROR(__xludf.DUMMYFUNCTION("""COMPUTED_VALUE"""),8)</f>
        <v>8</v>
      </c>
      <c r="D2184" s="118" t="str">
        <f ca="1">IFERROR(__xludf.DUMMYFUNCTION("""COMPUTED_VALUE"""),"B")</f>
        <v>B</v>
      </c>
      <c r="E2184" s="118" t="str">
        <f ca="1">IFERROR(__xludf.DUMMYFUNCTION("""COMPUTED_VALUE"""),"F")</f>
        <v>F</v>
      </c>
      <c r="F2184" s="124" t="str">
        <f ca="1">IFERROR(__xludf.DUMMYFUNCTION("""COMPUTED_VALUE"""),"J")</f>
        <v>J</v>
      </c>
      <c r="G2184" s="124">
        <f ca="1">IFERROR(__xludf.DUMMYFUNCTION("""COMPUTED_VALUE"""),3)</f>
        <v>3</v>
      </c>
      <c r="H2184" s="124" t="str">
        <f ca="1">IFERROR(__xludf.DUMMYFUNCTION("""COMPUTED_VALUE"""),"WG")</f>
        <v>WG</v>
      </c>
      <c r="I2184" s="124">
        <f ca="1">IFERROR(__xludf.DUMMYFUNCTION("""COMPUTED_VALUE"""),5)</f>
        <v>5</v>
      </c>
      <c r="J2184" s="124">
        <f ca="1">IFERROR(__xludf.DUMMYFUNCTION("""COMPUTED_VALUE"""),5)</f>
        <v>5</v>
      </c>
      <c r="K2184" s="125">
        <f ca="1">IFERROR(__xludf.DUMMYFUNCTION("""COMPUTED_VALUE"""),54.6)</f>
        <v>54.6</v>
      </c>
      <c r="L2184" s="121"/>
      <c r="M2184" s="125">
        <f ca="1">IFERROR(__xludf.DUMMYFUNCTION("""COMPUTED_VALUE"""),35.95)</f>
        <v>35.950000000000003</v>
      </c>
      <c r="N2184" s="121"/>
      <c r="O2184" s="125">
        <f ca="1">IFERROR(__xludf.DUMMYFUNCTION("""COMPUTED_VALUE"""),54.6)</f>
        <v>54.6</v>
      </c>
      <c r="P2184" s="126"/>
      <c r="Q2184" s="127"/>
      <c r="R2184" s="127"/>
      <c r="S2184" s="127"/>
      <c r="T2184" s="127"/>
    </row>
    <row r="2185" spans="1:20" ht="13.8">
      <c r="A2185" s="118" t="str">
        <f ca="1">IFERROR(__xludf.DUMMYFUNCTION("""COMPUTED_VALUE"""),"WG")</f>
        <v>WG</v>
      </c>
      <c r="B2185" s="119" t="str">
        <f ca="1">IFERROR(__xludf.DUMMYFUNCTION("""COMPUTED_VALUE"""),"Max Pera")</f>
        <v>Max Pera</v>
      </c>
      <c r="C2185" s="118">
        <f ca="1">IFERROR(__xludf.DUMMYFUNCTION("""COMPUTED_VALUE"""),9)</f>
        <v>9</v>
      </c>
      <c r="D2185" s="118" t="str">
        <f ca="1">IFERROR(__xludf.DUMMYFUNCTION("""COMPUTED_VALUE"""),"B")</f>
        <v>B</v>
      </c>
      <c r="E2185" s="118" t="str">
        <f ca="1">IFERROR(__xludf.DUMMYFUNCTION("""COMPUTED_VALUE"""),"F")</f>
        <v>F</v>
      </c>
      <c r="F2185" s="124" t="str">
        <f ca="1">IFERROR(__xludf.DUMMYFUNCTION("""COMPUTED_VALUE"""),"J")</f>
        <v>J</v>
      </c>
      <c r="G2185" s="124">
        <f ca="1">IFERROR(__xludf.DUMMYFUNCTION("""COMPUTED_VALUE"""),3)</f>
        <v>3</v>
      </c>
      <c r="H2185" s="124" t="str">
        <f ca="1">IFERROR(__xludf.DUMMYFUNCTION("""COMPUTED_VALUE"""),"WG")</f>
        <v>WG</v>
      </c>
      <c r="I2185" s="124">
        <f ca="1">IFERROR(__xludf.DUMMYFUNCTION("""COMPUTED_VALUE"""),5)</f>
        <v>5</v>
      </c>
      <c r="J2185" s="124">
        <f ca="1">IFERROR(__xludf.DUMMYFUNCTION("""COMPUTED_VALUE"""),2)</f>
        <v>2</v>
      </c>
      <c r="K2185" s="125">
        <f ca="1">IFERROR(__xludf.DUMMYFUNCTION("""COMPUTED_VALUE"""),50.35)</f>
        <v>50.35</v>
      </c>
      <c r="L2185" s="121"/>
      <c r="M2185" s="125"/>
      <c r="N2185" s="121"/>
      <c r="O2185" s="125">
        <f ca="1">IFERROR(__xludf.DUMMYFUNCTION("""COMPUTED_VALUE"""),50.35)</f>
        <v>50.35</v>
      </c>
      <c r="P2185" s="126"/>
      <c r="Q2185" s="127"/>
      <c r="R2185" s="127"/>
      <c r="S2185" s="127"/>
      <c r="T2185" s="127"/>
    </row>
    <row r="2186" spans="1:20" ht="13.8">
      <c r="A2186" s="118" t="str">
        <f ca="1">IFERROR(__xludf.DUMMYFUNCTION("""COMPUTED_VALUE"""),"WG")</f>
        <v>WG</v>
      </c>
      <c r="B2186" s="119" t="str">
        <f ca="1">IFERROR(__xludf.DUMMYFUNCTION("""COMPUTED_VALUE"""),"Stellan Stoltz")</f>
        <v>Stellan Stoltz</v>
      </c>
      <c r="C2186" s="118">
        <f ca="1">IFERROR(__xludf.DUMMYFUNCTION("""COMPUTED_VALUE"""),8)</f>
        <v>8</v>
      </c>
      <c r="D2186" s="118" t="str">
        <f ca="1">IFERROR(__xludf.DUMMYFUNCTION("""COMPUTED_VALUE"""),"B")</f>
        <v>B</v>
      </c>
      <c r="E2186" s="118" t="str">
        <f ca="1">IFERROR(__xludf.DUMMYFUNCTION("""COMPUTED_VALUE"""),"F")</f>
        <v>F</v>
      </c>
      <c r="F2186" s="124" t="str">
        <f ca="1">IFERROR(__xludf.DUMMYFUNCTION("""COMPUTED_VALUE"""),"J")</f>
        <v>J</v>
      </c>
      <c r="G2186" s="124">
        <f ca="1">IFERROR(__xludf.DUMMYFUNCTION("""COMPUTED_VALUE"""),3)</f>
        <v>3</v>
      </c>
      <c r="H2186" s="124" t="str">
        <f ca="1">IFERROR(__xludf.DUMMYFUNCTION("""COMPUTED_VALUE"""),"WG")</f>
        <v>WG</v>
      </c>
      <c r="I2186" s="124">
        <f ca="1">IFERROR(__xludf.DUMMYFUNCTION("""COMPUTED_VALUE"""),5)</f>
        <v>5</v>
      </c>
      <c r="J2186" s="124">
        <f ca="1">IFERROR(__xludf.DUMMYFUNCTION("""COMPUTED_VALUE"""),0)</f>
        <v>0</v>
      </c>
      <c r="K2186" s="125"/>
      <c r="L2186" s="121"/>
      <c r="M2186" s="125"/>
      <c r="N2186" s="121"/>
      <c r="O2186" s="125"/>
      <c r="P2186" s="126"/>
      <c r="Q2186" s="127"/>
      <c r="R2186" s="127"/>
      <c r="S2186" s="127"/>
      <c r="T2186" s="127"/>
    </row>
    <row r="2187" spans="1:20" ht="13.8">
      <c r="A2187" s="118" t="str">
        <f ca="1">IFERROR(__xludf.DUMMYFUNCTION("""COMPUTED_VALUE"""),"WG")</f>
        <v>WG</v>
      </c>
      <c r="B2187" s="119" t="str">
        <f ca="1">IFERROR(__xludf.DUMMYFUNCTION("""COMPUTED_VALUE"""),"Elin Geraghty")</f>
        <v>Elin Geraghty</v>
      </c>
      <c r="C2187" s="118">
        <f ca="1">IFERROR(__xludf.DUMMYFUNCTION("""COMPUTED_VALUE"""),12)</f>
        <v>12</v>
      </c>
      <c r="D2187" s="118" t="str">
        <f ca="1">IFERROR(__xludf.DUMMYFUNCTION("""COMPUTED_VALUE"""),"G")</f>
        <v>G</v>
      </c>
      <c r="E2187" s="118" t="str">
        <f ca="1">IFERROR(__xludf.DUMMYFUNCTION("""COMPUTED_VALUE"""),"J")</f>
        <v>J</v>
      </c>
      <c r="F2187" s="124" t="str">
        <f ca="1">IFERROR(__xludf.DUMMYFUNCTION("""COMPUTED_VALUE"""),"I")</f>
        <v>I</v>
      </c>
      <c r="G2187" s="124">
        <f ca="1">IFERROR(__xludf.DUMMYFUNCTION("""COMPUTED_VALUE"""),3)</f>
        <v>3</v>
      </c>
      <c r="H2187" s="124" t="str">
        <f ca="1">IFERROR(__xludf.DUMMYFUNCTION("""COMPUTED_VALUE"""),"WG")</f>
        <v>WG</v>
      </c>
      <c r="I2187" s="124">
        <f ca="1">IFERROR(__xludf.DUMMYFUNCTION("""COMPUTED_VALUE"""),6)</f>
        <v>6</v>
      </c>
      <c r="J2187" s="124">
        <f ca="1">IFERROR(__xludf.DUMMYFUNCTION("""COMPUTED_VALUE"""),4)</f>
        <v>4</v>
      </c>
      <c r="K2187" s="125">
        <f ca="1">IFERROR(__xludf.DUMMYFUNCTION("""COMPUTED_VALUE"""),-115.65)</f>
        <v>-115.65</v>
      </c>
      <c r="L2187" s="121"/>
      <c r="M2187" s="125">
        <f ca="1">IFERROR(__xludf.DUMMYFUNCTION("""COMPUTED_VALUE"""),-115.65)</f>
        <v>-115.65</v>
      </c>
      <c r="N2187" s="121"/>
      <c r="O2187" s="125">
        <f ca="1">IFERROR(__xludf.DUMMYFUNCTION("""COMPUTED_VALUE"""),-117.45)</f>
        <v>-117.45</v>
      </c>
      <c r="P2187" s="126"/>
      <c r="Q2187" s="127"/>
      <c r="R2187" s="127"/>
      <c r="S2187" s="127"/>
      <c r="T2187" s="127"/>
    </row>
    <row r="2188" spans="1:20" ht="13.8">
      <c r="A2188" s="118" t="str">
        <f ca="1">IFERROR(__xludf.DUMMYFUNCTION("""COMPUTED_VALUE"""),"WG")</f>
        <v>WG</v>
      </c>
      <c r="B2188" s="119" t="str">
        <f ca="1">IFERROR(__xludf.DUMMYFUNCTION("""COMPUTED_VALUE"""),"Ramona Greeney")</f>
        <v>Ramona Greeney</v>
      </c>
      <c r="C2188" s="118">
        <f ca="1">IFERROR(__xludf.DUMMYFUNCTION("""COMPUTED_VALUE"""),11)</f>
        <v>11</v>
      </c>
      <c r="D2188" s="118" t="str">
        <f ca="1">IFERROR(__xludf.DUMMYFUNCTION("""COMPUTED_VALUE"""),"G")</f>
        <v>G</v>
      </c>
      <c r="E2188" s="118" t="str">
        <f ca="1">IFERROR(__xludf.DUMMYFUNCTION("""COMPUTED_VALUE"""),"J")</f>
        <v>J</v>
      </c>
      <c r="F2188" s="124" t="str">
        <f ca="1">IFERROR(__xludf.DUMMYFUNCTION("""COMPUTED_VALUE"""),"I")</f>
        <v>I</v>
      </c>
      <c r="G2188" s="124">
        <f ca="1">IFERROR(__xludf.DUMMYFUNCTION("""COMPUTED_VALUE"""),3)</f>
        <v>3</v>
      </c>
      <c r="H2188" s="124" t="str">
        <f ca="1">IFERROR(__xludf.DUMMYFUNCTION("""COMPUTED_VALUE"""),"WG")</f>
        <v>WG</v>
      </c>
      <c r="I2188" s="124">
        <f ca="1">IFERROR(__xludf.DUMMYFUNCTION("""COMPUTED_VALUE"""),6)</f>
        <v>6</v>
      </c>
      <c r="J2188" s="124">
        <f ca="1">IFERROR(__xludf.DUMMYFUNCTION("""COMPUTED_VALUE"""),4)</f>
        <v>4</v>
      </c>
      <c r="K2188" s="125">
        <f ca="1">IFERROR(__xludf.DUMMYFUNCTION("""COMPUTED_VALUE"""),91.5)</f>
        <v>91.5</v>
      </c>
      <c r="L2188" s="121"/>
      <c r="M2188" s="125">
        <f ca="1">IFERROR(__xludf.DUMMYFUNCTION("""COMPUTED_VALUE"""),85.45)</f>
        <v>85.45</v>
      </c>
      <c r="N2188" s="121"/>
      <c r="O2188" s="125">
        <f ca="1">IFERROR(__xludf.DUMMYFUNCTION("""COMPUTED_VALUE"""),87)</f>
        <v>87</v>
      </c>
      <c r="P2188" s="126"/>
      <c r="Q2188" s="127"/>
      <c r="R2188" s="127"/>
      <c r="S2188" s="127"/>
      <c r="T2188" s="127"/>
    </row>
    <row r="2189" spans="1:20" ht="13.8">
      <c r="A2189" s="118" t="str">
        <f ca="1">IFERROR(__xludf.DUMMYFUNCTION("""COMPUTED_VALUE"""),"WG")</f>
        <v>WG</v>
      </c>
      <c r="B2189" s="119" t="str">
        <f ca="1">IFERROR(__xludf.DUMMYFUNCTION("""COMPUTED_VALUE"""),"Asher Cameron")</f>
        <v>Asher Cameron</v>
      </c>
      <c r="C2189" s="118">
        <f ca="1">IFERROR(__xludf.DUMMYFUNCTION("""COMPUTED_VALUE"""),11)</f>
        <v>11</v>
      </c>
      <c r="D2189" s="118" t="str">
        <f ca="1">IFERROR(__xludf.DUMMYFUNCTION("""COMPUTED_VALUE"""),"B")</f>
        <v>B</v>
      </c>
      <c r="E2189" s="118" t="str">
        <f ca="1">IFERROR(__xludf.DUMMYFUNCTION("""COMPUTED_VALUE"""),"J")</f>
        <v>J</v>
      </c>
      <c r="F2189" s="124" t="str">
        <f ca="1">IFERROR(__xludf.DUMMYFUNCTION("""COMPUTED_VALUE"""),"I")</f>
        <v>I</v>
      </c>
      <c r="G2189" s="124">
        <f ca="1">IFERROR(__xludf.DUMMYFUNCTION("""COMPUTED_VALUE"""),3)</f>
        <v>3</v>
      </c>
      <c r="H2189" s="124" t="str">
        <f ca="1">IFERROR(__xludf.DUMMYFUNCTION("""COMPUTED_VALUE"""),"WG")</f>
        <v>WG</v>
      </c>
      <c r="I2189" s="124">
        <f ca="1">IFERROR(__xludf.DUMMYFUNCTION("""COMPUTED_VALUE"""),7)</f>
        <v>7</v>
      </c>
      <c r="J2189" s="124">
        <f ca="1">IFERROR(__xludf.DUMMYFUNCTION("""COMPUTED_VALUE"""),3)</f>
        <v>3</v>
      </c>
      <c r="K2189" s="125">
        <f ca="1">IFERROR(__xludf.DUMMYFUNCTION("""COMPUTED_VALUE"""),61.2)</f>
        <v>61.2</v>
      </c>
      <c r="L2189" s="121"/>
      <c r="M2189" s="125"/>
      <c r="N2189" s="121"/>
      <c r="O2189" s="125">
        <f ca="1">IFERROR(__xludf.DUMMYFUNCTION("""COMPUTED_VALUE"""),61.2)</f>
        <v>61.2</v>
      </c>
      <c r="P2189" s="126"/>
      <c r="Q2189" s="127"/>
      <c r="R2189" s="127"/>
      <c r="S2189" s="127"/>
      <c r="T2189" s="127"/>
    </row>
    <row r="2190" spans="1:20" ht="13.8">
      <c r="A2190" s="118" t="str">
        <f ca="1">IFERROR(__xludf.DUMMYFUNCTION("""COMPUTED_VALUE"""),"WG")</f>
        <v>WG</v>
      </c>
      <c r="B2190" s="119" t="str">
        <f ca="1">IFERROR(__xludf.DUMMYFUNCTION("""COMPUTED_VALUE"""),"Judah Stoltz")</f>
        <v>Judah Stoltz</v>
      </c>
      <c r="C2190" s="118">
        <f ca="1">IFERROR(__xludf.DUMMYFUNCTION("""COMPUTED_VALUE"""),11)</f>
        <v>11</v>
      </c>
      <c r="D2190" s="118" t="str">
        <f ca="1">IFERROR(__xludf.DUMMYFUNCTION("""COMPUTED_VALUE"""),"B")</f>
        <v>B</v>
      </c>
      <c r="E2190" s="118" t="str">
        <f ca="1">IFERROR(__xludf.DUMMYFUNCTION("""COMPUTED_VALUE"""),"J")</f>
        <v>J</v>
      </c>
      <c r="F2190" s="124" t="str">
        <f ca="1">IFERROR(__xludf.DUMMYFUNCTION("""COMPUTED_VALUE"""),"I")</f>
        <v>I</v>
      </c>
      <c r="G2190" s="124">
        <f ca="1">IFERROR(__xludf.DUMMYFUNCTION("""COMPUTED_VALUE"""),3)</f>
        <v>3</v>
      </c>
      <c r="H2190" s="124" t="str">
        <f ca="1">IFERROR(__xludf.DUMMYFUNCTION("""COMPUTED_VALUE"""),"WG")</f>
        <v>WG</v>
      </c>
      <c r="I2190" s="124">
        <f ca="1">IFERROR(__xludf.DUMMYFUNCTION("""COMPUTED_VALUE"""),7)</f>
        <v>7</v>
      </c>
      <c r="J2190" s="124">
        <f ca="1">IFERROR(__xludf.DUMMYFUNCTION("""COMPUTED_VALUE"""),0)</f>
        <v>0</v>
      </c>
      <c r="K2190" s="125"/>
      <c r="L2190" s="121"/>
      <c r="M2190" s="125"/>
      <c r="N2190" s="121"/>
      <c r="O2190" s="125"/>
      <c r="P2190" s="126"/>
      <c r="Q2190" s="127"/>
      <c r="R2190" s="127"/>
      <c r="S2190" s="127"/>
      <c r="T2190" s="127"/>
    </row>
    <row r="2191" spans="1:20" ht="13.8">
      <c r="A2191" s="118" t="str">
        <f ca="1">IFERROR(__xludf.DUMMYFUNCTION("""COMPUTED_VALUE"""),"WG")</f>
        <v>WG</v>
      </c>
      <c r="B2191" s="119" t="str">
        <f ca="1">IFERROR(__xludf.DUMMYFUNCTION("""COMPUTED_VALUE"""),"Ansley Cameron")</f>
        <v>Ansley Cameron</v>
      </c>
      <c r="C2191" s="118">
        <f ca="1">IFERROR(__xludf.DUMMYFUNCTION("""COMPUTED_VALUE"""),13)</f>
        <v>13</v>
      </c>
      <c r="D2191" s="118" t="str">
        <f ca="1">IFERROR(__xludf.DUMMYFUNCTION("""COMPUTED_VALUE"""),"G")</f>
        <v>G</v>
      </c>
      <c r="E2191" s="118" t="str">
        <f ca="1">IFERROR(__xludf.DUMMYFUNCTION("""COMPUTED_VALUE"""),"I")</f>
        <v>I</v>
      </c>
      <c r="F2191" s="124" t="str">
        <f ca="1">IFERROR(__xludf.DUMMYFUNCTION("""COMPUTED_VALUE"""),"S")</f>
        <v>S</v>
      </c>
      <c r="G2191" s="124">
        <f ca="1">IFERROR(__xludf.DUMMYFUNCTION("""COMPUTED_VALUE"""),3)</f>
        <v>3</v>
      </c>
      <c r="H2191" s="124" t="str">
        <f ca="1">IFERROR(__xludf.DUMMYFUNCTION("""COMPUTED_VALUE"""),"WG")</f>
        <v>WG</v>
      </c>
      <c r="I2191" s="124">
        <f ca="1">IFERROR(__xludf.DUMMYFUNCTION("""COMPUTED_VALUE"""),8)</f>
        <v>8</v>
      </c>
      <c r="J2191" s="124">
        <f ca="1">IFERROR(__xludf.DUMMYFUNCTION("""COMPUTED_VALUE"""),0)</f>
        <v>0</v>
      </c>
      <c r="K2191" s="125"/>
      <c r="L2191" s="121"/>
      <c r="M2191" s="125"/>
      <c r="N2191" s="121"/>
      <c r="O2191" s="125"/>
      <c r="P2191" s="126"/>
      <c r="Q2191" s="127"/>
      <c r="R2191" s="127"/>
      <c r="S2191" s="127"/>
      <c r="T2191" s="127"/>
    </row>
    <row r="2192" spans="1:20" ht="13.8">
      <c r="A2192" s="118" t="str">
        <f ca="1">IFERROR(__xludf.DUMMYFUNCTION("""COMPUTED_VALUE"""),"WG")</f>
        <v>WG</v>
      </c>
      <c r="B2192" s="119" t="str">
        <f ca="1">IFERROR(__xludf.DUMMYFUNCTION("""COMPUTED_VALUE"""),"Mya Merkel")</f>
        <v>Mya Merkel</v>
      </c>
      <c r="C2192" s="118">
        <f ca="1">IFERROR(__xludf.DUMMYFUNCTION("""COMPUTED_VALUE"""),14)</f>
        <v>14</v>
      </c>
      <c r="D2192" s="118" t="str">
        <f ca="1">IFERROR(__xludf.DUMMYFUNCTION("""COMPUTED_VALUE"""),"G")</f>
        <v>G</v>
      </c>
      <c r="E2192" s="118" t="str">
        <f ca="1">IFERROR(__xludf.DUMMYFUNCTION("""COMPUTED_VALUE"""),"I")</f>
        <v>I</v>
      </c>
      <c r="F2192" s="124" t="str">
        <f ca="1">IFERROR(__xludf.DUMMYFUNCTION("""COMPUTED_VALUE"""),"S")</f>
        <v>S</v>
      </c>
      <c r="G2192" s="124">
        <f ca="1">IFERROR(__xludf.DUMMYFUNCTION("""COMPUTED_VALUE"""),3)</f>
        <v>3</v>
      </c>
      <c r="H2192" s="124" t="str">
        <f ca="1">IFERROR(__xludf.DUMMYFUNCTION("""COMPUTED_VALUE"""),"WG")</f>
        <v>WG</v>
      </c>
      <c r="I2192" s="124">
        <f ca="1">IFERROR(__xludf.DUMMYFUNCTION("""COMPUTED_VALUE"""),8)</f>
        <v>8</v>
      </c>
      <c r="J2192" s="124">
        <f ca="1">IFERROR(__xludf.DUMMYFUNCTION("""COMPUTED_VALUE"""),2)</f>
        <v>2</v>
      </c>
      <c r="K2192" s="125">
        <f ca="1">IFERROR(__xludf.DUMMYFUNCTION("""COMPUTED_VALUE"""),78.95)</f>
        <v>78.95</v>
      </c>
      <c r="L2192" s="121"/>
      <c r="M2192" s="125"/>
      <c r="N2192" s="121"/>
      <c r="O2192" s="125"/>
      <c r="P2192" s="126"/>
      <c r="Q2192" s="127"/>
      <c r="R2192" s="127"/>
      <c r="S2192" s="127"/>
      <c r="T2192" s="127"/>
    </row>
    <row r="2193" spans="1:20" ht="13.8">
      <c r="A2193" s="118" t="str">
        <f ca="1">IFERROR(__xludf.DUMMYFUNCTION("""COMPUTED_VALUE"""),"WG")</f>
        <v>WG</v>
      </c>
      <c r="B2193" s="119" t="str">
        <f ca="1">IFERROR(__xludf.DUMMYFUNCTION("""COMPUTED_VALUE"""),"Asher Lanthier")</f>
        <v>Asher Lanthier</v>
      </c>
      <c r="C2193" s="118">
        <f ca="1">IFERROR(__xludf.DUMMYFUNCTION("""COMPUTED_VALUE"""),14)</f>
        <v>14</v>
      </c>
      <c r="D2193" s="118" t="str">
        <f ca="1">IFERROR(__xludf.DUMMYFUNCTION("""COMPUTED_VALUE"""),"B")</f>
        <v>B</v>
      </c>
      <c r="E2193" s="118" t="str">
        <f ca="1">IFERROR(__xludf.DUMMYFUNCTION("""COMPUTED_VALUE"""),"I")</f>
        <v>I</v>
      </c>
      <c r="F2193" s="124" t="str">
        <f ca="1">IFERROR(__xludf.DUMMYFUNCTION("""COMPUTED_VALUE"""),"S")</f>
        <v>S</v>
      </c>
      <c r="G2193" s="124">
        <f ca="1">IFERROR(__xludf.DUMMYFUNCTION("""COMPUTED_VALUE"""),3)</f>
        <v>3</v>
      </c>
      <c r="H2193" s="124" t="str">
        <f ca="1">IFERROR(__xludf.DUMMYFUNCTION("""COMPUTED_VALUE"""),"WG")</f>
        <v>WG</v>
      </c>
      <c r="I2193" s="124">
        <f ca="1">IFERROR(__xludf.DUMMYFUNCTION("""COMPUTED_VALUE"""),9)</f>
        <v>9</v>
      </c>
      <c r="J2193" s="124">
        <f ca="1">IFERROR(__xludf.DUMMYFUNCTION("""COMPUTED_VALUE"""),5)</f>
        <v>5</v>
      </c>
      <c r="K2193" s="125">
        <f ca="1">IFERROR(__xludf.DUMMYFUNCTION("""COMPUTED_VALUE"""),124.35)</f>
        <v>124.35</v>
      </c>
      <c r="L2193" s="121"/>
      <c r="M2193" s="125">
        <f ca="1">IFERROR(__xludf.DUMMYFUNCTION("""COMPUTED_VALUE"""),110.9)</f>
        <v>110.9</v>
      </c>
      <c r="N2193" s="121"/>
      <c r="O2193" s="125">
        <f ca="1">IFERROR(__xludf.DUMMYFUNCTION("""COMPUTED_VALUE"""),117.9)</f>
        <v>117.9</v>
      </c>
      <c r="P2193" s="126"/>
      <c r="Q2193" s="127"/>
      <c r="R2193" s="127"/>
      <c r="S2193" s="127"/>
      <c r="T2193" s="127"/>
    </row>
    <row r="2194" spans="1:20" ht="13.8">
      <c r="A2194" s="118" t="str">
        <f ca="1">IFERROR(__xludf.DUMMYFUNCTION("""COMPUTED_VALUE"""),"WG")</f>
        <v>WG</v>
      </c>
      <c r="B2194" s="119" t="str">
        <f ca="1">IFERROR(__xludf.DUMMYFUNCTION("""COMPUTED_VALUE"""),"Jonah Lanthier")</f>
        <v>Jonah Lanthier</v>
      </c>
      <c r="C2194" s="118">
        <f ca="1">IFERROR(__xludf.DUMMYFUNCTION("""COMPUTED_VALUE"""),13)</f>
        <v>13</v>
      </c>
      <c r="D2194" s="118" t="str">
        <f ca="1">IFERROR(__xludf.DUMMYFUNCTION("""COMPUTED_VALUE"""),"B")</f>
        <v>B</v>
      </c>
      <c r="E2194" s="118" t="str">
        <f ca="1">IFERROR(__xludf.DUMMYFUNCTION("""COMPUTED_VALUE"""),"I")</f>
        <v>I</v>
      </c>
      <c r="F2194" s="124" t="str">
        <f ca="1">IFERROR(__xludf.DUMMYFUNCTION("""COMPUTED_VALUE"""),"S")</f>
        <v>S</v>
      </c>
      <c r="G2194" s="124">
        <f ca="1">IFERROR(__xludf.DUMMYFUNCTION("""COMPUTED_VALUE"""),3)</f>
        <v>3</v>
      </c>
      <c r="H2194" s="124" t="str">
        <f ca="1">IFERROR(__xludf.DUMMYFUNCTION("""COMPUTED_VALUE"""),"WG")</f>
        <v>WG</v>
      </c>
      <c r="I2194" s="124">
        <f ca="1">IFERROR(__xludf.DUMMYFUNCTION("""COMPUTED_VALUE"""),9)</f>
        <v>9</v>
      </c>
      <c r="J2194" s="124">
        <f ca="1">IFERROR(__xludf.DUMMYFUNCTION("""COMPUTED_VALUE"""),5)</f>
        <v>5</v>
      </c>
      <c r="K2194" s="125">
        <f ca="1">IFERROR(__xludf.DUMMYFUNCTION("""COMPUTED_VALUE"""),122.8)</f>
        <v>122.8</v>
      </c>
      <c r="L2194" s="121"/>
      <c r="M2194" s="125">
        <f ca="1">IFERROR(__xludf.DUMMYFUNCTION("""COMPUTED_VALUE"""),122.15)</f>
        <v>122.15</v>
      </c>
      <c r="N2194" s="121"/>
      <c r="O2194" s="125">
        <f ca="1">IFERROR(__xludf.DUMMYFUNCTION("""COMPUTED_VALUE"""),122.8)</f>
        <v>122.8</v>
      </c>
      <c r="P2194" s="126"/>
      <c r="Q2194" s="127"/>
      <c r="R2194" s="127"/>
      <c r="S2194" s="127"/>
      <c r="T2194" s="127"/>
    </row>
    <row r="2195" spans="1:20" ht="13.8">
      <c r="A2195" s="118" t="str">
        <f ca="1">IFERROR(__xludf.DUMMYFUNCTION("""COMPUTED_VALUE"""),"WG")</f>
        <v>WG</v>
      </c>
      <c r="B2195" s="119" t="str">
        <f ca="1">IFERROR(__xludf.DUMMYFUNCTION("""COMPUTED_VALUE"""),"Bryn Cameron")</f>
        <v>Bryn Cameron</v>
      </c>
      <c r="C2195" s="118">
        <f ca="1">IFERROR(__xludf.DUMMYFUNCTION("""COMPUTED_VALUE"""),16)</f>
        <v>16</v>
      </c>
      <c r="D2195" s="118" t="str">
        <f ca="1">IFERROR(__xludf.DUMMYFUNCTION("""COMPUTED_VALUE"""),"G")</f>
        <v>G</v>
      </c>
      <c r="E2195" s="118" t="str">
        <f ca="1">IFERROR(__xludf.DUMMYFUNCTION("""COMPUTED_VALUE"""),"S")</f>
        <v>S</v>
      </c>
      <c r="F2195" s="124" t="str">
        <f ca="1">IFERROR(__xludf.DUMMYFUNCTION("""COMPUTED_VALUE"""),"S")</f>
        <v>S</v>
      </c>
      <c r="G2195" s="124">
        <f ca="1">IFERROR(__xludf.DUMMYFUNCTION("""COMPUTED_VALUE"""),3)</f>
        <v>3</v>
      </c>
      <c r="H2195" s="124" t="str">
        <f ca="1">IFERROR(__xludf.DUMMYFUNCTION("""COMPUTED_VALUE"""),"WG")</f>
        <v>WG</v>
      </c>
      <c r="I2195" s="124">
        <f ca="1">IFERROR(__xludf.DUMMYFUNCTION("""COMPUTED_VALUE"""),10)</f>
        <v>10</v>
      </c>
      <c r="J2195" s="124">
        <f ca="1">IFERROR(__xludf.DUMMYFUNCTION("""COMPUTED_VALUE"""),3)</f>
        <v>3</v>
      </c>
      <c r="K2195" s="125">
        <f ca="1">IFERROR(__xludf.DUMMYFUNCTION("""COMPUTED_VALUE"""),89.7)</f>
        <v>89.7</v>
      </c>
      <c r="L2195" s="121"/>
      <c r="M2195" s="125"/>
      <c r="N2195" s="121"/>
      <c r="O2195" s="125">
        <f ca="1">IFERROR(__xludf.DUMMYFUNCTION("""COMPUTED_VALUE"""),86.9)</f>
        <v>86.9</v>
      </c>
      <c r="P2195" s="126"/>
      <c r="Q2195" s="127"/>
      <c r="R2195" s="127"/>
      <c r="S2195" s="127"/>
      <c r="T2195" s="127"/>
    </row>
    <row r="2196" spans="1:20" ht="13.8">
      <c r="A2196" s="118" t="str">
        <f ca="1">IFERROR(__xludf.DUMMYFUNCTION("""COMPUTED_VALUE"""),"WG")</f>
        <v>WG</v>
      </c>
      <c r="B2196" s="119" t="str">
        <f ca="1">IFERROR(__xludf.DUMMYFUNCTION("""COMPUTED_VALUE"""),"Charlotte Petrick")</f>
        <v>Charlotte Petrick</v>
      </c>
      <c r="C2196" s="118">
        <f ca="1">IFERROR(__xludf.DUMMYFUNCTION("""COMPUTED_VALUE"""),16)</f>
        <v>16</v>
      </c>
      <c r="D2196" s="118" t="str">
        <f ca="1">IFERROR(__xludf.DUMMYFUNCTION("""COMPUTED_VALUE"""),"G")</f>
        <v>G</v>
      </c>
      <c r="E2196" s="118" t="str">
        <f ca="1">IFERROR(__xludf.DUMMYFUNCTION("""COMPUTED_VALUE"""),"S")</f>
        <v>S</v>
      </c>
      <c r="F2196" s="124" t="str">
        <f ca="1">IFERROR(__xludf.DUMMYFUNCTION("""COMPUTED_VALUE"""),"S")</f>
        <v>S</v>
      </c>
      <c r="G2196" s="124">
        <f ca="1">IFERROR(__xludf.DUMMYFUNCTION("""COMPUTED_VALUE"""),3)</f>
        <v>3</v>
      </c>
      <c r="H2196" s="124" t="str">
        <f ca="1">IFERROR(__xludf.DUMMYFUNCTION("""COMPUTED_VALUE"""),"WG")</f>
        <v>WG</v>
      </c>
      <c r="I2196" s="124">
        <f ca="1">IFERROR(__xludf.DUMMYFUNCTION("""COMPUTED_VALUE"""),10)</f>
        <v>10</v>
      </c>
      <c r="J2196" s="124">
        <f ca="1">IFERROR(__xludf.DUMMYFUNCTION("""COMPUTED_VALUE"""),5)</f>
        <v>5</v>
      </c>
      <c r="K2196" s="125">
        <f ca="1">IFERROR(__xludf.DUMMYFUNCTION("""COMPUTED_VALUE"""),187.4)</f>
        <v>187.4</v>
      </c>
      <c r="L2196" s="121"/>
      <c r="M2196" s="125">
        <f ca="1">IFERROR(__xludf.DUMMYFUNCTION("""COMPUTED_VALUE"""),151.95)</f>
        <v>151.94999999999999</v>
      </c>
      <c r="N2196" s="121"/>
      <c r="O2196" s="125">
        <f ca="1">IFERROR(__xludf.DUMMYFUNCTION("""COMPUTED_VALUE"""),187.4)</f>
        <v>187.4</v>
      </c>
      <c r="P2196" s="126"/>
      <c r="Q2196" s="127"/>
      <c r="R2196" s="127"/>
      <c r="S2196" s="127"/>
      <c r="T2196" s="127"/>
    </row>
    <row r="2197" spans="1:20" ht="13.8">
      <c r="A2197" s="118" t="str">
        <f ca="1">IFERROR(__xludf.DUMMYFUNCTION("""COMPUTED_VALUE"""),"WG")</f>
        <v>WG</v>
      </c>
      <c r="B2197" s="119" t="str">
        <f ca="1">IFERROR(__xludf.DUMMYFUNCTION("""COMPUTED_VALUE"""),"Jessica Buechler")</f>
        <v>Jessica Buechler</v>
      </c>
      <c r="C2197" s="118">
        <f ca="1">IFERROR(__xludf.DUMMYFUNCTION("""COMPUTED_VALUE"""),15)</f>
        <v>15</v>
      </c>
      <c r="D2197" s="118" t="str">
        <f ca="1">IFERROR(__xludf.DUMMYFUNCTION("""COMPUTED_VALUE"""),"G")</f>
        <v>G</v>
      </c>
      <c r="E2197" s="118" t="str">
        <f ca="1">IFERROR(__xludf.DUMMYFUNCTION("""COMPUTED_VALUE"""),"S")</f>
        <v>S</v>
      </c>
      <c r="F2197" s="124" t="str">
        <f ca="1">IFERROR(__xludf.DUMMYFUNCTION("""COMPUTED_VALUE"""),"S")</f>
        <v>S</v>
      </c>
      <c r="G2197" s="124">
        <f ca="1">IFERROR(__xludf.DUMMYFUNCTION("""COMPUTED_VALUE"""),3)</f>
        <v>3</v>
      </c>
      <c r="H2197" s="124" t="str">
        <f ca="1">IFERROR(__xludf.DUMMYFUNCTION("""COMPUTED_VALUE"""),"WG")</f>
        <v>WG</v>
      </c>
      <c r="I2197" s="124">
        <f ca="1">IFERROR(__xludf.DUMMYFUNCTION("""COMPUTED_VALUE"""),10)</f>
        <v>10</v>
      </c>
      <c r="J2197" s="124">
        <f ca="1">IFERROR(__xludf.DUMMYFUNCTION("""COMPUTED_VALUE"""),5)</f>
        <v>5</v>
      </c>
      <c r="K2197" s="125">
        <f ca="1">IFERROR(__xludf.DUMMYFUNCTION("""COMPUTED_VALUE"""),180.55)</f>
        <v>180.55</v>
      </c>
      <c r="L2197" s="121"/>
      <c r="M2197" s="125">
        <f ca="1">IFERROR(__xludf.DUMMYFUNCTION("""COMPUTED_VALUE"""),167.15)</f>
        <v>167.15</v>
      </c>
      <c r="N2197" s="121"/>
      <c r="O2197" s="125">
        <f ca="1">IFERROR(__xludf.DUMMYFUNCTION("""COMPUTED_VALUE"""),177.4)</f>
        <v>177.4</v>
      </c>
      <c r="P2197" s="126"/>
      <c r="Q2197" s="127"/>
      <c r="R2197" s="127"/>
      <c r="S2197" s="127"/>
      <c r="T2197" s="127"/>
    </row>
    <row r="2198" spans="1:20" ht="13.8">
      <c r="A2198" s="118" t="str">
        <f ca="1">IFERROR(__xludf.DUMMYFUNCTION("""COMPUTED_VALUE"""),"WG")</f>
        <v>WG</v>
      </c>
      <c r="B2198" s="119" t="str">
        <f ca="1">IFERROR(__xludf.DUMMYFUNCTION("""COMPUTED_VALUE"""),"Mirabella Lanthier")</f>
        <v>Mirabella Lanthier</v>
      </c>
      <c r="C2198" s="118">
        <f ca="1">IFERROR(__xludf.DUMMYFUNCTION("""COMPUTED_VALUE"""),16)</f>
        <v>16</v>
      </c>
      <c r="D2198" s="118" t="str">
        <f ca="1">IFERROR(__xludf.DUMMYFUNCTION("""COMPUTED_VALUE"""),"G")</f>
        <v>G</v>
      </c>
      <c r="E2198" s="118" t="str">
        <f ca="1">IFERROR(__xludf.DUMMYFUNCTION("""COMPUTED_VALUE"""),"S")</f>
        <v>S</v>
      </c>
      <c r="F2198" s="124" t="str">
        <f ca="1">IFERROR(__xludf.DUMMYFUNCTION("""COMPUTED_VALUE"""),"S")</f>
        <v>S</v>
      </c>
      <c r="G2198" s="124">
        <f ca="1">IFERROR(__xludf.DUMMYFUNCTION("""COMPUTED_VALUE"""),3)</f>
        <v>3</v>
      </c>
      <c r="H2198" s="124" t="str">
        <f ca="1">IFERROR(__xludf.DUMMYFUNCTION("""COMPUTED_VALUE"""),"WG")</f>
        <v>WG</v>
      </c>
      <c r="I2198" s="124">
        <f ca="1">IFERROR(__xludf.DUMMYFUNCTION("""COMPUTED_VALUE"""),10)</f>
        <v>10</v>
      </c>
      <c r="J2198" s="124">
        <f ca="1">IFERROR(__xludf.DUMMYFUNCTION("""COMPUTED_VALUE"""),3)</f>
        <v>3</v>
      </c>
      <c r="K2198" s="125">
        <f ca="1">IFERROR(__xludf.DUMMYFUNCTION("""COMPUTED_VALUE"""),129.25)</f>
        <v>129.25</v>
      </c>
      <c r="L2198" s="121"/>
      <c r="M2198" s="125">
        <f ca="1">IFERROR(__xludf.DUMMYFUNCTION("""COMPUTED_VALUE"""),129.25)</f>
        <v>129.25</v>
      </c>
      <c r="N2198" s="121"/>
      <c r="O2198" s="125"/>
      <c r="P2198" s="126"/>
      <c r="Q2198" s="127"/>
      <c r="R2198" s="127"/>
      <c r="S2198" s="127"/>
      <c r="T2198" s="127"/>
    </row>
    <row r="2199" spans="1:20" ht="13.8">
      <c r="A2199" s="118" t="str">
        <f ca="1">IFERROR(__xludf.DUMMYFUNCTION("""COMPUTED_VALUE"""),"WG")</f>
        <v>WG</v>
      </c>
      <c r="B2199" s="119" t="str">
        <f ca="1">IFERROR(__xludf.DUMMYFUNCTION("""COMPUTED_VALUE"""),"Sophia Gettty")</f>
        <v>Sophia Gettty</v>
      </c>
      <c r="C2199" s="118">
        <f ca="1">IFERROR(__xludf.DUMMYFUNCTION("""COMPUTED_VALUE"""),18)</f>
        <v>18</v>
      </c>
      <c r="D2199" s="118" t="str">
        <f ca="1">IFERROR(__xludf.DUMMYFUNCTION("""COMPUTED_VALUE"""),"G")</f>
        <v>G</v>
      </c>
      <c r="E2199" s="118" t="str">
        <f ca="1">IFERROR(__xludf.DUMMYFUNCTION("""COMPUTED_VALUE"""),"S")</f>
        <v>S</v>
      </c>
      <c r="F2199" s="124" t="str">
        <f ca="1">IFERROR(__xludf.DUMMYFUNCTION("""COMPUTED_VALUE"""),"S")</f>
        <v>S</v>
      </c>
      <c r="G2199" s="124">
        <f ca="1">IFERROR(__xludf.DUMMYFUNCTION("""COMPUTED_VALUE"""),3)</f>
        <v>3</v>
      </c>
      <c r="H2199" s="124" t="str">
        <f ca="1">IFERROR(__xludf.DUMMYFUNCTION("""COMPUTED_VALUE"""),"WG")</f>
        <v>WG</v>
      </c>
      <c r="I2199" s="124">
        <f ca="1">IFERROR(__xludf.DUMMYFUNCTION("""COMPUTED_VALUE"""),10)</f>
        <v>10</v>
      </c>
      <c r="J2199" s="124">
        <f ca="1">IFERROR(__xludf.DUMMYFUNCTION("""COMPUTED_VALUE"""),5)</f>
        <v>5</v>
      </c>
      <c r="K2199" s="125">
        <f ca="1">IFERROR(__xludf.DUMMYFUNCTION("""COMPUTED_VALUE"""),118.4)</f>
        <v>118.4</v>
      </c>
      <c r="L2199" s="121"/>
      <c r="M2199" s="125">
        <f ca="1">IFERROR(__xludf.DUMMYFUNCTION("""COMPUTED_VALUE"""),113.85)</f>
        <v>113.85</v>
      </c>
      <c r="N2199" s="121"/>
      <c r="O2199" s="125">
        <f ca="1">IFERROR(__xludf.DUMMYFUNCTION("""COMPUTED_VALUE"""),118.4)</f>
        <v>118.4</v>
      </c>
      <c r="P2199" s="126"/>
      <c r="Q2199" s="127"/>
      <c r="R2199" s="127"/>
      <c r="S2199" s="127"/>
      <c r="T2199" s="127"/>
    </row>
    <row r="2200" spans="1:20" ht="13.8">
      <c r="A2200" s="118" t="str">
        <f ca="1">IFERROR(__xludf.DUMMYFUNCTION("""COMPUTED_VALUE"""),"WG")</f>
        <v>WG</v>
      </c>
      <c r="B2200" s="119" t="str">
        <f ca="1">IFERROR(__xludf.DUMMYFUNCTION("""COMPUTED_VALUE"""),"Aidan McGarry")</f>
        <v>Aidan McGarry</v>
      </c>
      <c r="C2200" s="118">
        <f ca="1">IFERROR(__xludf.DUMMYFUNCTION("""COMPUTED_VALUE"""),18)</f>
        <v>18</v>
      </c>
      <c r="D2200" s="118" t="str">
        <f ca="1">IFERROR(__xludf.DUMMYFUNCTION("""COMPUTED_VALUE"""),"B")</f>
        <v>B</v>
      </c>
      <c r="E2200" s="118" t="str">
        <f ca="1">IFERROR(__xludf.DUMMYFUNCTION("""COMPUTED_VALUE"""),"S")</f>
        <v>S</v>
      </c>
      <c r="F2200" s="124" t="str">
        <f ca="1">IFERROR(__xludf.DUMMYFUNCTION("""COMPUTED_VALUE"""),"S")</f>
        <v>S</v>
      </c>
      <c r="G2200" s="124">
        <f ca="1">IFERROR(__xludf.DUMMYFUNCTION("""COMPUTED_VALUE"""),3)</f>
        <v>3</v>
      </c>
      <c r="H2200" s="124" t="str">
        <f ca="1">IFERROR(__xludf.DUMMYFUNCTION("""COMPUTED_VALUE"""),"WG")</f>
        <v>WG</v>
      </c>
      <c r="I2200" s="124">
        <f ca="1">IFERROR(__xludf.DUMMYFUNCTION("""COMPUTED_VALUE"""),11)</f>
        <v>11</v>
      </c>
      <c r="J2200" s="124">
        <f ca="1">IFERROR(__xludf.DUMMYFUNCTION("""COMPUTED_VALUE"""),4)</f>
        <v>4</v>
      </c>
      <c r="K2200" s="125">
        <f ca="1">IFERROR(__xludf.DUMMYFUNCTION("""COMPUTED_VALUE"""),123.1)</f>
        <v>123.1</v>
      </c>
      <c r="L2200" s="121"/>
      <c r="M2200" s="125"/>
      <c r="N2200" s="121"/>
      <c r="O2200" s="125">
        <f ca="1">IFERROR(__xludf.DUMMYFUNCTION("""COMPUTED_VALUE"""),113.6)</f>
        <v>113.6</v>
      </c>
      <c r="P2200" s="126"/>
      <c r="Q2200" s="127"/>
      <c r="R2200" s="127"/>
      <c r="S2200" s="127"/>
      <c r="T2200" s="127"/>
    </row>
    <row r="2201" spans="1:20" ht="13.8">
      <c r="A2201" s="118" t="str">
        <f ca="1">IFERROR(__xludf.DUMMYFUNCTION("""COMPUTED_VALUE"""),"WG")</f>
        <v>WG</v>
      </c>
      <c r="B2201" s="119" t="str">
        <f ca="1">IFERROR(__xludf.DUMMYFUNCTION("""COMPUTED_VALUE"""),"Aidan Smith")</f>
        <v>Aidan Smith</v>
      </c>
      <c r="C2201" s="118">
        <f ca="1">IFERROR(__xludf.DUMMYFUNCTION("""COMPUTED_VALUE"""),18)</f>
        <v>18</v>
      </c>
      <c r="D2201" s="118" t="str">
        <f ca="1">IFERROR(__xludf.DUMMYFUNCTION("""COMPUTED_VALUE"""),"B")</f>
        <v>B</v>
      </c>
      <c r="E2201" s="118" t="str">
        <f ca="1">IFERROR(__xludf.DUMMYFUNCTION("""COMPUTED_VALUE"""),"S")</f>
        <v>S</v>
      </c>
      <c r="F2201" s="124" t="str">
        <f ca="1">IFERROR(__xludf.DUMMYFUNCTION("""COMPUTED_VALUE"""),"S")</f>
        <v>S</v>
      </c>
      <c r="G2201" s="124">
        <f ca="1">IFERROR(__xludf.DUMMYFUNCTION("""COMPUTED_VALUE"""),3)</f>
        <v>3</v>
      </c>
      <c r="H2201" s="124" t="str">
        <f ca="1">IFERROR(__xludf.DUMMYFUNCTION("""COMPUTED_VALUE"""),"WG")</f>
        <v>WG</v>
      </c>
      <c r="I2201" s="124">
        <f ca="1">IFERROR(__xludf.DUMMYFUNCTION("""COMPUTED_VALUE"""),11)</f>
        <v>11</v>
      </c>
      <c r="J2201" s="124">
        <f ca="1">IFERROR(__xludf.DUMMYFUNCTION("""COMPUTED_VALUE"""),5)</f>
        <v>5</v>
      </c>
      <c r="K2201" s="125">
        <f ca="1">IFERROR(__xludf.DUMMYFUNCTION("""COMPUTED_VALUE"""),173.5)</f>
        <v>173.5</v>
      </c>
      <c r="L2201" s="121"/>
      <c r="M2201" s="125">
        <f ca="1">IFERROR(__xludf.DUMMYFUNCTION("""COMPUTED_VALUE"""),161.5)</f>
        <v>161.5</v>
      </c>
      <c r="N2201" s="121"/>
      <c r="O2201" s="125">
        <f ca="1">IFERROR(__xludf.DUMMYFUNCTION("""COMPUTED_VALUE"""),173.5)</f>
        <v>173.5</v>
      </c>
      <c r="P2201" s="126"/>
      <c r="Q2201" s="127"/>
      <c r="R2201" s="127"/>
      <c r="S2201" s="127"/>
      <c r="T2201" s="127"/>
    </row>
    <row r="2202" spans="1:20" ht="13.8">
      <c r="A2202" s="118" t="str">
        <f ca="1">IFERROR(__xludf.DUMMYFUNCTION("""COMPUTED_VALUE"""),"WG")</f>
        <v>WG</v>
      </c>
      <c r="B2202" s="119" t="str">
        <f ca="1">IFERROR(__xludf.DUMMYFUNCTION("""COMPUTED_VALUE"""),"Jaden Buecher")</f>
        <v>Jaden Buecher</v>
      </c>
      <c r="C2202" s="118">
        <f ca="1">IFERROR(__xludf.DUMMYFUNCTION("""COMPUTED_VALUE"""),17)</f>
        <v>17</v>
      </c>
      <c r="D2202" s="118" t="str">
        <f ca="1">IFERROR(__xludf.DUMMYFUNCTION("""COMPUTED_VALUE"""),"B")</f>
        <v>B</v>
      </c>
      <c r="E2202" s="118" t="str">
        <f ca="1">IFERROR(__xludf.DUMMYFUNCTION("""COMPUTED_VALUE"""),"S")</f>
        <v>S</v>
      </c>
      <c r="F2202" s="124" t="str">
        <f ca="1">IFERROR(__xludf.DUMMYFUNCTION("""COMPUTED_VALUE"""),"S")</f>
        <v>S</v>
      </c>
      <c r="G2202" s="124">
        <f ca="1">IFERROR(__xludf.DUMMYFUNCTION("""COMPUTED_VALUE"""),3)</f>
        <v>3</v>
      </c>
      <c r="H2202" s="124" t="str">
        <f ca="1">IFERROR(__xludf.DUMMYFUNCTION("""COMPUTED_VALUE"""),"WG")</f>
        <v>WG</v>
      </c>
      <c r="I2202" s="124">
        <f ca="1">IFERROR(__xludf.DUMMYFUNCTION("""COMPUTED_VALUE"""),11)</f>
        <v>11</v>
      </c>
      <c r="J2202" s="124">
        <f ca="1">IFERROR(__xludf.DUMMYFUNCTION("""COMPUTED_VALUE"""),5)</f>
        <v>5</v>
      </c>
      <c r="K2202" s="125">
        <f ca="1">IFERROR(__xludf.DUMMYFUNCTION("""COMPUTED_VALUE"""),183.9)</f>
        <v>183.9</v>
      </c>
      <c r="L2202" s="121"/>
      <c r="M2202" s="125">
        <f ca="1">IFERROR(__xludf.DUMMYFUNCTION("""COMPUTED_VALUE"""),176.95)</f>
        <v>176.95</v>
      </c>
      <c r="N2202" s="121"/>
      <c r="O2202" s="125">
        <f ca="1">IFERROR(__xludf.DUMMYFUNCTION("""COMPUTED_VALUE"""),165.15)</f>
        <v>165.15</v>
      </c>
      <c r="P2202" s="126"/>
      <c r="Q2202" s="127"/>
      <c r="R2202" s="127"/>
      <c r="S2202" s="127"/>
      <c r="T2202" s="127"/>
    </row>
    <row r="2203" spans="1:20" ht="13.8">
      <c r="A2203" s="118" t="str">
        <f ca="1">IFERROR(__xludf.DUMMYFUNCTION("""COMPUTED_VALUE"""),"WG")</f>
        <v>WG</v>
      </c>
      <c r="B2203" s="119" t="str">
        <f ca="1">IFERROR(__xludf.DUMMYFUNCTION("""COMPUTED_VALUE"""),"Joe Clardy")</f>
        <v>Joe Clardy</v>
      </c>
      <c r="C2203" s="118">
        <f ca="1">IFERROR(__xludf.DUMMYFUNCTION("""COMPUTED_VALUE"""),17)</f>
        <v>17</v>
      </c>
      <c r="D2203" s="118" t="str">
        <f ca="1">IFERROR(__xludf.DUMMYFUNCTION("""COMPUTED_VALUE"""),"B")</f>
        <v>B</v>
      </c>
      <c r="E2203" s="118" t="str">
        <f ca="1">IFERROR(__xludf.DUMMYFUNCTION("""COMPUTED_VALUE"""),"S")</f>
        <v>S</v>
      </c>
      <c r="F2203" s="124" t="str">
        <f ca="1">IFERROR(__xludf.DUMMYFUNCTION("""COMPUTED_VALUE"""),"S")</f>
        <v>S</v>
      </c>
      <c r="G2203" s="124">
        <f ca="1">IFERROR(__xludf.DUMMYFUNCTION("""COMPUTED_VALUE"""),3)</f>
        <v>3</v>
      </c>
      <c r="H2203" s="124" t="str">
        <f ca="1">IFERROR(__xludf.DUMMYFUNCTION("""COMPUTED_VALUE"""),"WG")</f>
        <v>WG</v>
      </c>
      <c r="I2203" s="124">
        <f ca="1">IFERROR(__xludf.DUMMYFUNCTION("""COMPUTED_VALUE"""),11)</f>
        <v>11</v>
      </c>
      <c r="J2203" s="124">
        <f ca="1">IFERROR(__xludf.DUMMYFUNCTION("""COMPUTED_VALUE"""),4)</f>
        <v>4</v>
      </c>
      <c r="K2203" s="125">
        <f ca="1">IFERROR(__xludf.DUMMYFUNCTION("""COMPUTED_VALUE"""),121.75)</f>
        <v>121.75</v>
      </c>
      <c r="L2203" s="121"/>
      <c r="M2203" s="125">
        <f ca="1">IFERROR(__xludf.DUMMYFUNCTION("""COMPUTED_VALUE"""),106.75)</f>
        <v>106.75</v>
      </c>
      <c r="N2203" s="121"/>
      <c r="O2203" s="125">
        <f ca="1">IFERROR(__xludf.DUMMYFUNCTION("""COMPUTED_VALUE"""),121.75)</f>
        <v>121.75</v>
      </c>
      <c r="P2203" s="126"/>
      <c r="Q2203" s="127"/>
      <c r="R2203" s="127"/>
      <c r="S2203" s="127"/>
      <c r="T2203" s="127"/>
    </row>
    <row r="2204" spans="1:20" ht="13.8">
      <c r="A2204" s="118" t="str">
        <f ca="1">IFERROR(__xludf.DUMMYFUNCTION("""COMPUTED_VALUE"""),"WG")</f>
        <v>WG</v>
      </c>
      <c r="B2204" s="119" t="str">
        <f ca="1">IFERROR(__xludf.DUMMYFUNCTION("""COMPUTED_VALUE"""),"Noah Pera")</f>
        <v>Noah Pera</v>
      </c>
      <c r="C2204" s="118">
        <f ca="1">IFERROR(__xludf.DUMMYFUNCTION("""COMPUTED_VALUE"""),15)</f>
        <v>15</v>
      </c>
      <c r="D2204" s="118" t="str">
        <f ca="1">IFERROR(__xludf.DUMMYFUNCTION("""COMPUTED_VALUE"""),"B")</f>
        <v>B</v>
      </c>
      <c r="E2204" s="118" t="str">
        <f ca="1">IFERROR(__xludf.DUMMYFUNCTION("""COMPUTED_VALUE"""),"S")</f>
        <v>S</v>
      </c>
      <c r="F2204" s="124" t="str">
        <f ca="1">IFERROR(__xludf.DUMMYFUNCTION("""COMPUTED_VALUE"""),"S")</f>
        <v>S</v>
      </c>
      <c r="G2204" s="124">
        <f ca="1">IFERROR(__xludf.DUMMYFUNCTION("""COMPUTED_VALUE"""),3)</f>
        <v>3</v>
      </c>
      <c r="H2204" s="124" t="str">
        <f ca="1">IFERROR(__xludf.DUMMYFUNCTION("""COMPUTED_VALUE"""),"WG")</f>
        <v>WG</v>
      </c>
      <c r="I2204" s="124">
        <f ca="1">IFERROR(__xludf.DUMMYFUNCTION("""COMPUTED_VALUE"""),11)</f>
        <v>11</v>
      </c>
      <c r="J2204" s="124">
        <f ca="1">IFERROR(__xludf.DUMMYFUNCTION("""COMPUTED_VALUE"""),3)</f>
        <v>3</v>
      </c>
      <c r="K2204" s="125">
        <f ca="1">IFERROR(__xludf.DUMMYFUNCTION("""COMPUTED_VALUE"""),130.1)</f>
        <v>130.1</v>
      </c>
      <c r="L2204" s="121"/>
      <c r="M2204" s="125">
        <f ca="1">IFERROR(__xludf.DUMMYFUNCTION("""COMPUTED_VALUE"""),118.3)</f>
        <v>118.3</v>
      </c>
      <c r="N2204" s="121"/>
      <c r="O2204" s="125">
        <f ca="1">IFERROR(__xludf.DUMMYFUNCTION("""COMPUTED_VALUE"""),130.1)</f>
        <v>130.1</v>
      </c>
      <c r="P2204" s="126"/>
      <c r="Q2204" s="127"/>
      <c r="R2204" s="127"/>
      <c r="S2204" s="127"/>
      <c r="T2204" s="127"/>
    </row>
    <row r="2205" spans="1:20" ht="13.8">
      <c r="A2205" s="118" t="str">
        <f ca="1">IFERROR(__xludf.DUMMYFUNCTION("""COMPUTED_VALUE"""),"WG")</f>
        <v>WG</v>
      </c>
      <c r="B2205" s="119" t="str">
        <f ca="1">IFERROR(__xludf.DUMMYFUNCTION("""COMPUTED_VALUE"""),"Ramsay Latham")</f>
        <v>Ramsay Latham</v>
      </c>
      <c r="C2205" s="118">
        <f ca="1">IFERROR(__xludf.DUMMYFUNCTION("""COMPUTED_VALUE"""),15)</f>
        <v>15</v>
      </c>
      <c r="D2205" s="118" t="str">
        <f ca="1">IFERROR(__xludf.DUMMYFUNCTION("""COMPUTED_VALUE"""),"B")</f>
        <v>B</v>
      </c>
      <c r="E2205" s="118" t="str">
        <f ca="1">IFERROR(__xludf.DUMMYFUNCTION("""COMPUTED_VALUE"""),"S")</f>
        <v>S</v>
      </c>
      <c r="F2205" s="124" t="str">
        <f ca="1">IFERROR(__xludf.DUMMYFUNCTION("""COMPUTED_VALUE"""),"S")</f>
        <v>S</v>
      </c>
      <c r="G2205" s="124">
        <f ca="1">IFERROR(__xludf.DUMMYFUNCTION("""COMPUTED_VALUE"""),3)</f>
        <v>3</v>
      </c>
      <c r="H2205" s="124" t="str">
        <f ca="1">IFERROR(__xludf.DUMMYFUNCTION("""COMPUTED_VALUE"""),"WG")</f>
        <v>WG</v>
      </c>
      <c r="I2205" s="124">
        <f ca="1">IFERROR(__xludf.DUMMYFUNCTION("""COMPUTED_VALUE"""),11)</f>
        <v>11</v>
      </c>
      <c r="J2205" s="124">
        <f ca="1">IFERROR(__xludf.DUMMYFUNCTION("""COMPUTED_VALUE"""),5)</f>
        <v>5</v>
      </c>
      <c r="K2205" s="125">
        <f ca="1">IFERROR(__xludf.DUMMYFUNCTION("""COMPUTED_VALUE"""),140.35)</f>
        <v>140.35</v>
      </c>
      <c r="L2205" s="121"/>
      <c r="M2205" s="125">
        <f ca="1">IFERROR(__xludf.DUMMYFUNCTION("""COMPUTED_VALUE"""),108.45)</f>
        <v>108.45</v>
      </c>
      <c r="N2205" s="121"/>
      <c r="O2205" s="125">
        <f ca="1">IFERROR(__xludf.DUMMYFUNCTION("""COMPUTED_VALUE"""),140.35)</f>
        <v>140.35</v>
      </c>
      <c r="P2205" s="126"/>
      <c r="Q2205" s="127"/>
      <c r="R2205" s="127"/>
      <c r="S2205" s="127"/>
      <c r="T2205" s="127"/>
    </row>
    <row r="2206" spans="1:20" ht="13.8">
      <c r="A2206" s="118" t="str">
        <f ca="1">IFERROR(__xludf.DUMMYFUNCTION("""COMPUTED_VALUE"""),"ZZ")</f>
        <v>ZZ</v>
      </c>
      <c r="B2206" s="119" t="str">
        <f ca="1">IFERROR(__xludf.DUMMYFUNCTION("""COMPUTED_VALUE"""),"***Late Roster Add After Opening CJ***")</f>
        <v>***Late Roster Add After Opening CJ***</v>
      </c>
      <c r="C2206" s="118"/>
      <c r="D2206" s="118"/>
      <c r="E2206" s="118"/>
      <c r="F2206" s="124"/>
      <c r="G2206" s="124"/>
      <c r="H2206" s="124" t="str">
        <f ca="1">IFERROR(__xludf.DUMMYFUNCTION("""COMPUTED_VALUE"""),"ZZ")</f>
        <v>ZZ</v>
      </c>
      <c r="I2206" s="124"/>
      <c r="J2206" s="124">
        <f ca="1">IFERROR(__xludf.DUMMYFUNCTION("""COMPUTED_VALUE"""),0)</f>
        <v>0</v>
      </c>
      <c r="K2206" s="125"/>
      <c r="L2206" s="121"/>
      <c r="M2206" s="125"/>
      <c r="N2206" s="121"/>
      <c r="O2206" s="125"/>
      <c r="P2206" s="126"/>
      <c r="Q2206" s="127"/>
      <c r="R2206" s="127"/>
      <c r="S2206" s="127"/>
      <c r="T2206" s="127"/>
    </row>
    <row r="2207" spans="1:20" ht="13.8">
      <c r="A2207" s="118"/>
      <c r="B2207" s="119"/>
      <c r="C2207" s="118"/>
      <c r="D2207" s="118"/>
      <c r="E2207" s="118"/>
      <c r="F2207" s="124"/>
      <c r="G2207" s="124"/>
      <c r="H2207" s="124"/>
      <c r="I2207" s="124"/>
      <c r="J2207" s="124"/>
      <c r="K2207" s="125"/>
      <c r="L2207" s="121"/>
      <c r="M2207" s="125"/>
      <c r="N2207" s="121"/>
      <c r="O2207" s="125"/>
      <c r="P2207" s="126"/>
      <c r="Q2207" s="127"/>
      <c r="R2207" s="127"/>
      <c r="S2207" s="127"/>
      <c r="T2207" s="127"/>
    </row>
    <row r="2208" spans="1:20" ht="13.8">
      <c r="A2208" s="118"/>
      <c r="B2208" s="119"/>
      <c r="C2208" s="118"/>
      <c r="D2208" s="118"/>
      <c r="E2208" s="118"/>
      <c r="F2208" s="124"/>
      <c r="G2208" s="124"/>
      <c r="H2208" s="124"/>
      <c r="I2208" s="124"/>
      <c r="J2208" s="124"/>
      <c r="K2208" s="125"/>
      <c r="L2208" s="121"/>
      <c r="M2208" s="125"/>
      <c r="N2208" s="121"/>
      <c r="O2208" s="125"/>
      <c r="P2208" s="126"/>
      <c r="Q2208" s="127"/>
      <c r="R2208" s="127"/>
      <c r="S2208" s="127"/>
      <c r="T2208" s="127"/>
    </row>
    <row r="2209" spans="1:20" ht="13.8">
      <c r="A2209" s="118"/>
      <c r="B2209" s="119"/>
      <c r="C2209" s="118"/>
      <c r="D2209" s="118"/>
      <c r="E2209" s="118"/>
      <c r="F2209" s="124"/>
      <c r="G2209" s="124"/>
      <c r="H2209" s="124"/>
      <c r="I2209" s="124"/>
      <c r="J2209" s="124"/>
      <c r="K2209" s="125"/>
      <c r="L2209" s="121"/>
      <c r="M2209" s="125"/>
      <c r="N2209" s="121"/>
      <c r="O2209" s="125"/>
      <c r="P2209" s="126"/>
      <c r="Q2209" s="127"/>
      <c r="R2209" s="127"/>
      <c r="S2209" s="127"/>
      <c r="T2209" s="127"/>
    </row>
    <row r="2210" spans="1:20" ht="13.8">
      <c r="A2210" s="118"/>
      <c r="B2210" s="119"/>
      <c r="C2210" s="118"/>
      <c r="D2210" s="118"/>
      <c r="E2210" s="118"/>
      <c r="F2210" s="124"/>
      <c r="G2210" s="124"/>
      <c r="H2210" s="124"/>
      <c r="I2210" s="124"/>
      <c r="J2210" s="124"/>
      <c r="K2210" s="125"/>
      <c r="L2210" s="121"/>
      <c r="M2210" s="125"/>
      <c r="N2210" s="121"/>
      <c r="O2210" s="125"/>
      <c r="P2210" s="126"/>
      <c r="Q2210" s="127"/>
      <c r="R2210" s="127"/>
      <c r="S2210" s="127"/>
      <c r="T2210" s="127"/>
    </row>
    <row r="2211" spans="1:20" ht="13.8">
      <c r="A2211" s="118"/>
      <c r="B2211" s="119"/>
      <c r="C2211" s="118"/>
      <c r="D2211" s="118"/>
      <c r="E2211" s="118"/>
      <c r="F2211" s="124"/>
      <c r="G2211" s="124"/>
      <c r="H2211" s="124"/>
      <c r="I2211" s="124"/>
      <c r="J2211" s="124"/>
      <c r="K2211" s="125"/>
      <c r="L2211" s="121"/>
      <c r="M2211" s="125"/>
      <c r="N2211" s="121"/>
      <c r="O2211" s="125"/>
      <c r="P2211" s="126"/>
      <c r="Q2211" s="127"/>
      <c r="R2211" s="127"/>
      <c r="S2211" s="127"/>
      <c r="T2211" s="127"/>
    </row>
    <row r="2212" spans="1:20" ht="13.8">
      <c r="A2212" s="118"/>
      <c r="B2212" s="119"/>
      <c r="C2212" s="118"/>
      <c r="D2212" s="118"/>
      <c r="E2212" s="118"/>
      <c r="F2212" s="124"/>
      <c r="G2212" s="124"/>
      <c r="H2212" s="124"/>
      <c r="I2212" s="124"/>
      <c r="J2212" s="124"/>
      <c r="K2212" s="125"/>
      <c r="L2212" s="121"/>
      <c r="M2212" s="125"/>
      <c r="N2212" s="121"/>
      <c r="O2212" s="125"/>
      <c r="P2212" s="126"/>
      <c r="Q2212" s="127"/>
      <c r="R2212" s="127"/>
      <c r="S2212" s="127"/>
      <c r="T2212" s="127"/>
    </row>
    <row r="2213" spans="1:20" ht="13.8">
      <c r="A2213" s="118"/>
      <c r="B2213" s="119"/>
      <c r="C2213" s="118"/>
      <c r="D2213" s="118"/>
      <c r="E2213" s="118"/>
      <c r="F2213" s="124"/>
      <c r="G2213" s="124"/>
      <c r="H2213" s="124"/>
      <c r="I2213" s="124"/>
      <c r="J2213" s="124"/>
      <c r="K2213" s="125"/>
      <c r="L2213" s="121"/>
      <c r="M2213" s="125"/>
      <c r="N2213" s="121"/>
      <c r="O2213" s="125"/>
      <c r="P2213" s="126"/>
      <c r="Q2213" s="127"/>
      <c r="R2213" s="127"/>
      <c r="S2213" s="127"/>
      <c r="T2213" s="127"/>
    </row>
    <row r="2214" spans="1:20" ht="13.8">
      <c r="A2214" s="118"/>
      <c r="B2214" s="119"/>
      <c r="C2214" s="118"/>
      <c r="D2214" s="118"/>
      <c r="E2214" s="118"/>
      <c r="F2214" s="124"/>
      <c r="G2214" s="124"/>
      <c r="H2214" s="124"/>
      <c r="I2214" s="124"/>
      <c r="J2214" s="124"/>
      <c r="K2214" s="125"/>
      <c r="L2214" s="121"/>
      <c r="M2214" s="125"/>
      <c r="N2214" s="121"/>
      <c r="O2214" s="125"/>
      <c r="P2214" s="126"/>
      <c r="Q2214" s="127"/>
      <c r="R2214" s="127"/>
      <c r="S2214" s="127"/>
      <c r="T2214" s="127"/>
    </row>
    <row r="2215" spans="1:20" ht="13.8">
      <c r="A2215" s="118"/>
      <c r="B2215" s="119"/>
      <c r="C2215" s="118"/>
      <c r="D2215" s="118"/>
      <c r="E2215" s="118"/>
      <c r="F2215" s="124"/>
      <c r="G2215" s="124"/>
      <c r="H2215" s="124"/>
      <c r="I2215" s="124"/>
      <c r="J2215" s="124"/>
      <c r="K2215" s="125"/>
      <c r="L2215" s="121"/>
      <c r="M2215" s="125"/>
      <c r="N2215" s="121"/>
      <c r="O2215" s="125"/>
      <c r="P2215" s="126"/>
      <c r="Q2215" s="127"/>
      <c r="R2215" s="127"/>
      <c r="S2215" s="127"/>
      <c r="T2215" s="127"/>
    </row>
    <row r="2216" spans="1:20" ht="13.8">
      <c r="A2216" s="118"/>
      <c r="B2216" s="119"/>
      <c r="C2216" s="118"/>
      <c r="D2216" s="118"/>
      <c r="E2216" s="118"/>
      <c r="F2216" s="124"/>
      <c r="G2216" s="124"/>
      <c r="H2216" s="124"/>
      <c r="I2216" s="124"/>
      <c r="J2216" s="124"/>
      <c r="K2216" s="125"/>
      <c r="L2216" s="121"/>
      <c r="M2216" s="125"/>
      <c r="N2216" s="121"/>
      <c r="O2216" s="125"/>
      <c r="P2216" s="126"/>
      <c r="Q2216" s="127"/>
      <c r="R2216" s="127"/>
      <c r="S2216" s="127"/>
      <c r="T2216" s="127"/>
    </row>
    <row r="2217" spans="1:20" ht="13.8">
      <c r="A2217" s="118"/>
      <c r="B2217" s="119"/>
      <c r="C2217" s="118"/>
      <c r="D2217" s="118"/>
      <c r="E2217" s="118"/>
      <c r="F2217" s="124"/>
      <c r="G2217" s="124"/>
      <c r="H2217" s="124"/>
      <c r="I2217" s="124"/>
      <c r="J2217" s="124"/>
      <c r="K2217" s="125"/>
      <c r="L2217" s="121"/>
      <c r="M2217" s="125"/>
      <c r="N2217" s="121"/>
      <c r="O2217" s="125"/>
      <c r="P2217" s="126"/>
      <c r="Q2217" s="127"/>
      <c r="R2217" s="127"/>
      <c r="S2217" s="127"/>
      <c r="T2217" s="127"/>
    </row>
    <row r="2218" spans="1:20" ht="13.8">
      <c r="A2218" s="118"/>
      <c r="B2218" s="119"/>
      <c r="C2218" s="118"/>
      <c r="D2218" s="118"/>
      <c r="E2218" s="118"/>
      <c r="F2218" s="124"/>
      <c r="G2218" s="124"/>
      <c r="H2218" s="124"/>
      <c r="I2218" s="124"/>
      <c r="J2218" s="124"/>
      <c r="K2218" s="125"/>
      <c r="L2218" s="121"/>
      <c r="M2218" s="125"/>
      <c r="N2218" s="121"/>
      <c r="O2218" s="125"/>
      <c r="P2218" s="126"/>
      <c r="Q2218" s="127"/>
      <c r="R2218" s="127"/>
      <c r="S2218" s="127"/>
      <c r="T2218" s="127"/>
    </row>
    <row r="2219" spans="1:20" ht="13.8">
      <c r="A2219" s="118"/>
      <c r="B2219" s="119"/>
      <c r="C2219" s="118"/>
      <c r="D2219" s="118"/>
      <c r="E2219" s="118"/>
      <c r="F2219" s="124"/>
      <c r="G2219" s="124"/>
      <c r="H2219" s="124"/>
      <c r="I2219" s="124"/>
      <c r="J2219" s="124"/>
      <c r="K2219" s="125"/>
      <c r="L2219" s="121"/>
      <c r="M2219" s="125"/>
      <c r="N2219" s="121"/>
      <c r="O2219" s="125"/>
      <c r="P2219" s="126"/>
      <c r="Q2219" s="127"/>
      <c r="R2219" s="127"/>
      <c r="S2219" s="127"/>
      <c r="T2219" s="127"/>
    </row>
    <row r="2220" spans="1:20" ht="13.8">
      <c r="A2220" s="118"/>
      <c r="B2220" s="119"/>
      <c r="C2220" s="118"/>
      <c r="D2220" s="118"/>
      <c r="E2220" s="118"/>
      <c r="F2220" s="124"/>
      <c r="G2220" s="124"/>
      <c r="H2220" s="124"/>
      <c r="I2220" s="124"/>
      <c r="J2220" s="124"/>
      <c r="K2220" s="125"/>
      <c r="L2220" s="121"/>
      <c r="M2220" s="125"/>
      <c r="N2220" s="121"/>
      <c r="O2220" s="125"/>
      <c r="P2220" s="126"/>
      <c r="Q2220" s="127"/>
      <c r="R2220" s="127"/>
      <c r="S2220" s="127"/>
      <c r="T2220" s="127"/>
    </row>
    <row r="2221" spans="1:20" ht="13.8">
      <c r="A2221" s="118"/>
      <c r="B2221" s="119"/>
      <c r="C2221" s="118"/>
      <c r="D2221" s="118"/>
      <c r="E2221" s="118"/>
      <c r="F2221" s="124"/>
      <c r="G2221" s="124"/>
      <c r="H2221" s="124"/>
      <c r="I2221" s="124"/>
      <c r="J2221" s="124"/>
      <c r="K2221" s="125"/>
      <c r="L2221" s="121"/>
      <c r="M2221" s="125"/>
      <c r="N2221" s="121"/>
      <c r="O2221" s="125"/>
      <c r="P2221" s="126"/>
      <c r="Q2221" s="127"/>
      <c r="R2221" s="127"/>
      <c r="S2221" s="127"/>
      <c r="T2221" s="127"/>
    </row>
    <row r="2222" spans="1:20" ht="13.8">
      <c r="A2222" s="118"/>
      <c r="B2222" s="119"/>
      <c r="C2222" s="118"/>
      <c r="D2222" s="118"/>
      <c r="E2222" s="118"/>
      <c r="F2222" s="124"/>
      <c r="G2222" s="124"/>
      <c r="H2222" s="124"/>
      <c r="I2222" s="124"/>
      <c r="J2222" s="124"/>
      <c r="K2222" s="125"/>
      <c r="L2222" s="121"/>
      <c r="M2222" s="125"/>
      <c r="N2222" s="121"/>
      <c r="O2222" s="125"/>
      <c r="P2222" s="126"/>
      <c r="Q2222" s="127"/>
      <c r="R2222" s="127"/>
      <c r="S2222" s="127"/>
      <c r="T2222" s="127"/>
    </row>
    <row r="2223" spans="1:20" ht="13.8">
      <c r="A2223" s="118"/>
      <c r="B2223" s="119"/>
      <c r="C2223" s="118"/>
      <c r="D2223" s="118"/>
      <c r="E2223" s="118"/>
      <c r="F2223" s="124"/>
      <c r="G2223" s="124"/>
      <c r="H2223" s="124"/>
      <c r="I2223" s="124"/>
      <c r="J2223" s="124"/>
      <c r="K2223" s="125"/>
      <c r="L2223" s="121"/>
      <c r="M2223" s="125"/>
      <c r="N2223" s="121"/>
      <c r="O2223" s="125"/>
      <c r="P2223" s="126"/>
      <c r="Q2223" s="127"/>
      <c r="R2223" s="127"/>
      <c r="S2223" s="127"/>
      <c r="T2223" s="127"/>
    </row>
    <row r="2224" spans="1:20" ht="13.8">
      <c r="A2224" s="118"/>
      <c r="B2224" s="119"/>
      <c r="C2224" s="118"/>
      <c r="D2224" s="118"/>
      <c r="E2224" s="118"/>
      <c r="F2224" s="124"/>
      <c r="G2224" s="124"/>
      <c r="H2224" s="124"/>
      <c r="I2224" s="124"/>
      <c r="J2224" s="124"/>
      <c r="K2224" s="125"/>
      <c r="L2224" s="121"/>
      <c r="M2224" s="125"/>
      <c r="N2224" s="121"/>
      <c r="O2224" s="125"/>
      <c r="P2224" s="126"/>
      <c r="Q2224" s="127"/>
      <c r="R2224" s="127"/>
      <c r="S2224" s="127"/>
      <c r="T2224" s="127"/>
    </row>
    <row r="2225" spans="1:20" ht="13.8">
      <c r="A2225" s="118"/>
      <c r="B2225" s="119"/>
      <c r="C2225" s="118"/>
      <c r="D2225" s="118"/>
      <c r="E2225" s="118"/>
      <c r="F2225" s="124"/>
      <c r="G2225" s="124"/>
      <c r="H2225" s="124"/>
      <c r="I2225" s="124"/>
      <c r="J2225" s="124"/>
      <c r="K2225" s="125"/>
      <c r="L2225" s="121"/>
      <c r="M2225" s="125"/>
      <c r="N2225" s="121"/>
      <c r="O2225" s="125"/>
      <c r="P2225" s="126"/>
      <c r="Q2225" s="127"/>
      <c r="R2225" s="127"/>
      <c r="S2225" s="127"/>
      <c r="T2225" s="127"/>
    </row>
    <row r="2226" spans="1:20" ht="13.8">
      <c r="A2226" s="118"/>
      <c r="B2226" s="119"/>
      <c r="C2226" s="118"/>
      <c r="D2226" s="118"/>
      <c r="E2226" s="118"/>
      <c r="F2226" s="124"/>
      <c r="G2226" s="124"/>
      <c r="H2226" s="124"/>
      <c r="I2226" s="124"/>
      <c r="J2226" s="124"/>
      <c r="K2226" s="125"/>
      <c r="L2226" s="121"/>
      <c r="M2226" s="125"/>
      <c r="N2226" s="121"/>
      <c r="O2226" s="125"/>
      <c r="P2226" s="126"/>
      <c r="Q2226" s="127"/>
      <c r="R2226" s="127"/>
      <c r="S2226" s="127"/>
      <c r="T2226" s="127"/>
    </row>
    <row r="2227" spans="1:20" ht="13.8">
      <c r="A2227" s="118"/>
      <c r="B2227" s="119"/>
      <c r="C2227" s="118"/>
      <c r="D2227" s="118"/>
      <c r="E2227" s="118"/>
      <c r="F2227" s="124"/>
      <c r="G2227" s="124"/>
      <c r="H2227" s="124"/>
      <c r="I2227" s="124"/>
      <c r="J2227" s="124"/>
      <c r="K2227" s="125"/>
      <c r="L2227" s="121"/>
      <c r="M2227" s="125"/>
      <c r="N2227" s="121"/>
      <c r="O2227" s="125"/>
      <c r="P2227" s="126"/>
      <c r="Q2227" s="127"/>
      <c r="R2227" s="127"/>
      <c r="S2227" s="127"/>
      <c r="T2227" s="127"/>
    </row>
    <row r="2228" spans="1:20" ht="13.8">
      <c r="A2228" s="118"/>
      <c r="B2228" s="119"/>
      <c r="C2228" s="118"/>
      <c r="D2228" s="118"/>
      <c r="E2228" s="118"/>
      <c r="F2228" s="124"/>
      <c r="G2228" s="124"/>
      <c r="H2228" s="124"/>
      <c r="I2228" s="124"/>
      <c r="J2228" s="124"/>
      <c r="K2228" s="125"/>
      <c r="L2228" s="121"/>
      <c r="M2228" s="125"/>
      <c r="N2228" s="121"/>
      <c r="O2228" s="125"/>
      <c r="P2228" s="126"/>
      <c r="Q2228" s="127"/>
      <c r="R2228" s="127"/>
      <c r="S2228" s="127"/>
      <c r="T2228" s="127"/>
    </row>
    <row r="2229" spans="1:20" ht="13.8">
      <c r="A2229" s="118"/>
      <c r="B2229" s="119"/>
      <c r="C2229" s="118"/>
      <c r="D2229" s="118"/>
      <c r="E2229" s="118"/>
      <c r="F2229" s="124"/>
      <c r="G2229" s="124"/>
      <c r="H2229" s="124"/>
      <c r="I2229" s="124"/>
      <c r="J2229" s="124"/>
      <c r="K2229" s="125"/>
      <c r="L2229" s="121"/>
      <c r="M2229" s="125"/>
      <c r="N2229" s="121"/>
      <c r="O2229" s="125"/>
      <c r="P2229" s="126"/>
      <c r="Q2229" s="127"/>
      <c r="R2229" s="127"/>
      <c r="S2229" s="127"/>
      <c r="T2229" s="127"/>
    </row>
    <row r="2230" spans="1:20" ht="13.8">
      <c r="A2230" s="118"/>
      <c r="B2230" s="119"/>
      <c r="C2230" s="118"/>
      <c r="D2230" s="118"/>
      <c r="E2230" s="118"/>
      <c r="F2230" s="124"/>
      <c r="G2230" s="124"/>
      <c r="H2230" s="124"/>
      <c r="I2230" s="124"/>
      <c r="J2230" s="124"/>
      <c r="K2230" s="125"/>
      <c r="L2230" s="121"/>
      <c r="M2230" s="125"/>
      <c r="N2230" s="121"/>
      <c r="O2230" s="125"/>
      <c r="P2230" s="126"/>
      <c r="Q2230" s="127"/>
      <c r="R2230" s="127"/>
      <c r="S2230" s="127"/>
      <c r="T2230" s="127"/>
    </row>
    <row r="2231" spans="1:20" ht="13.8">
      <c r="A2231" s="118"/>
      <c r="B2231" s="119"/>
      <c r="C2231" s="118"/>
      <c r="D2231" s="118"/>
      <c r="E2231" s="118"/>
      <c r="F2231" s="124"/>
      <c r="G2231" s="124"/>
      <c r="H2231" s="124"/>
      <c r="I2231" s="124"/>
      <c r="J2231" s="124"/>
      <c r="K2231" s="125"/>
      <c r="L2231" s="121"/>
      <c r="M2231" s="125"/>
      <c r="N2231" s="121"/>
      <c r="O2231" s="125"/>
      <c r="P2231" s="126"/>
      <c r="Q2231" s="127"/>
      <c r="R2231" s="127"/>
      <c r="S2231" s="127"/>
      <c r="T2231" s="127"/>
    </row>
    <row r="2232" spans="1:20" ht="13.8">
      <c r="A2232" s="118"/>
      <c r="B2232" s="119"/>
      <c r="C2232" s="118"/>
      <c r="D2232" s="118"/>
      <c r="E2232" s="118"/>
      <c r="F2232" s="124"/>
      <c r="G2232" s="124"/>
      <c r="H2232" s="124"/>
      <c r="I2232" s="124"/>
      <c r="J2232" s="124"/>
      <c r="K2232" s="125"/>
      <c r="L2232" s="121"/>
      <c r="M2232" s="125"/>
      <c r="N2232" s="121"/>
      <c r="O2232" s="125"/>
      <c r="P2232" s="126"/>
      <c r="Q2232" s="127"/>
      <c r="R2232" s="127"/>
      <c r="S2232" s="127"/>
      <c r="T2232" s="127"/>
    </row>
    <row r="2233" spans="1:20" ht="13.8">
      <c r="A2233" s="118"/>
      <c r="B2233" s="119"/>
      <c r="C2233" s="118"/>
      <c r="D2233" s="118"/>
      <c r="E2233" s="118"/>
      <c r="F2233" s="124"/>
      <c r="G2233" s="124"/>
      <c r="H2233" s="124"/>
      <c r="I2233" s="124"/>
      <c r="J2233" s="124"/>
      <c r="K2233" s="125"/>
      <c r="L2233" s="121"/>
      <c r="M2233" s="125"/>
      <c r="N2233" s="121"/>
      <c r="O2233" s="125"/>
      <c r="P2233" s="126"/>
      <c r="Q2233" s="127"/>
      <c r="R2233" s="127"/>
      <c r="S2233" s="127"/>
      <c r="T2233" s="127"/>
    </row>
    <row r="2234" spans="1:20" ht="13.8">
      <c r="A2234" s="118"/>
      <c r="B2234" s="119"/>
      <c r="C2234" s="118"/>
      <c r="D2234" s="118"/>
      <c r="E2234" s="118"/>
      <c r="F2234" s="124"/>
      <c r="G2234" s="124"/>
      <c r="H2234" s="124"/>
      <c r="I2234" s="124"/>
      <c r="J2234" s="124"/>
      <c r="K2234" s="125"/>
      <c r="L2234" s="121"/>
      <c r="M2234" s="125"/>
      <c r="N2234" s="121"/>
      <c r="O2234" s="125"/>
      <c r="P2234" s="126"/>
      <c r="Q2234" s="127"/>
      <c r="R2234" s="127"/>
      <c r="S2234" s="127"/>
      <c r="T2234" s="127"/>
    </row>
    <row r="2235" spans="1:20" ht="13.8">
      <c r="A2235" s="118"/>
      <c r="B2235" s="119"/>
      <c r="C2235" s="118"/>
      <c r="D2235" s="118"/>
      <c r="E2235" s="118"/>
      <c r="F2235" s="124"/>
      <c r="G2235" s="124"/>
      <c r="H2235" s="124"/>
      <c r="I2235" s="124"/>
      <c r="J2235" s="124"/>
      <c r="K2235" s="125"/>
      <c r="L2235" s="121"/>
      <c r="M2235" s="125"/>
      <c r="N2235" s="121"/>
      <c r="O2235" s="125"/>
      <c r="P2235" s="126"/>
      <c r="Q2235" s="127"/>
      <c r="R2235" s="127"/>
      <c r="S2235" s="127"/>
      <c r="T2235" s="127"/>
    </row>
    <row r="2236" spans="1:20" ht="13.8">
      <c r="A2236" s="118"/>
      <c r="B2236" s="119"/>
      <c r="C2236" s="118"/>
      <c r="D2236" s="118"/>
      <c r="E2236" s="118"/>
      <c r="F2236" s="124"/>
      <c r="G2236" s="124"/>
      <c r="H2236" s="124"/>
      <c r="I2236" s="124"/>
      <c r="J2236" s="124"/>
      <c r="K2236" s="125"/>
      <c r="L2236" s="121"/>
      <c r="M2236" s="125"/>
      <c r="N2236" s="121"/>
      <c r="O2236" s="125"/>
      <c r="P2236" s="126"/>
      <c r="Q2236" s="127"/>
      <c r="R2236" s="127"/>
      <c r="S2236" s="127"/>
      <c r="T2236" s="127"/>
    </row>
    <row r="2237" spans="1:20" ht="13.8">
      <c r="A2237" s="118"/>
      <c r="B2237" s="119"/>
      <c r="C2237" s="118"/>
      <c r="D2237" s="118"/>
      <c r="E2237" s="118"/>
      <c r="F2237" s="124"/>
      <c r="G2237" s="124"/>
      <c r="H2237" s="124"/>
      <c r="I2237" s="124"/>
      <c r="J2237" s="124"/>
      <c r="K2237" s="125"/>
      <c r="L2237" s="121"/>
      <c r="M2237" s="125"/>
      <c r="N2237" s="121"/>
      <c r="O2237" s="125"/>
      <c r="P2237" s="126"/>
      <c r="Q2237" s="127"/>
      <c r="R2237" s="127"/>
      <c r="S2237" s="127"/>
      <c r="T2237" s="127"/>
    </row>
    <row r="2238" spans="1:20" ht="13.8">
      <c r="A2238" s="118"/>
      <c r="B2238" s="119"/>
      <c r="C2238" s="118"/>
      <c r="D2238" s="118"/>
      <c r="E2238" s="118"/>
      <c r="F2238" s="124"/>
      <c r="G2238" s="124"/>
      <c r="H2238" s="124"/>
      <c r="I2238" s="124"/>
      <c r="J2238" s="124"/>
      <c r="K2238" s="125"/>
      <c r="L2238" s="121"/>
      <c r="M2238" s="125"/>
      <c r="N2238" s="121"/>
      <c r="O2238" s="125"/>
      <c r="P2238" s="126"/>
      <c r="Q2238" s="127"/>
      <c r="R2238" s="127"/>
      <c r="S2238" s="127"/>
      <c r="T2238" s="127"/>
    </row>
    <row r="2239" spans="1:20" ht="13.8">
      <c r="A2239" s="118"/>
      <c r="B2239" s="119"/>
      <c r="C2239" s="118"/>
      <c r="D2239" s="118"/>
      <c r="E2239" s="118"/>
      <c r="F2239" s="124"/>
      <c r="G2239" s="124"/>
      <c r="H2239" s="124"/>
      <c r="I2239" s="124"/>
      <c r="J2239" s="124"/>
      <c r="K2239" s="125"/>
      <c r="L2239" s="121"/>
      <c r="M2239" s="125"/>
      <c r="N2239" s="121"/>
      <c r="O2239" s="125"/>
      <c r="P2239" s="126"/>
      <c r="Q2239" s="127"/>
      <c r="R2239" s="127"/>
      <c r="S2239" s="127"/>
      <c r="T2239" s="127"/>
    </row>
    <row r="2240" spans="1:20" ht="13.8">
      <c r="A2240" s="118"/>
      <c r="B2240" s="119"/>
      <c r="C2240" s="118"/>
      <c r="D2240" s="118"/>
      <c r="E2240" s="118"/>
      <c r="F2240" s="124"/>
      <c r="G2240" s="124"/>
      <c r="H2240" s="124"/>
      <c r="I2240" s="124"/>
      <c r="J2240" s="124"/>
      <c r="K2240" s="125"/>
      <c r="L2240" s="121"/>
      <c r="M2240" s="125"/>
      <c r="N2240" s="121"/>
      <c r="O2240" s="125"/>
      <c r="P2240" s="126"/>
      <c r="Q2240" s="127"/>
      <c r="R2240" s="127"/>
      <c r="S2240" s="127"/>
      <c r="T2240" s="127"/>
    </row>
    <row r="2241" spans="1:20" ht="13.8">
      <c r="A2241" s="118"/>
      <c r="B2241" s="119"/>
      <c r="C2241" s="118"/>
      <c r="D2241" s="118"/>
      <c r="E2241" s="118"/>
      <c r="F2241" s="124"/>
      <c r="G2241" s="124"/>
      <c r="H2241" s="124"/>
      <c r="I2241" s="124"/>
      <c r="J2241" s="124"/>
      <c r="K2241" s="125"/>
      <c r="L2241" s="121"/>
      <c r="M2241" s="125"/>
      <c r="N2241" s="121"/>
      <c r="O2241" s="125"/>
      <c r="P2241" s="126"/>
      <c r="Q2241" s="127"/>
      <c r="R2241" s="127"/>
      <c r="S2241" s="127"/>
      <c r="T2241" s="127"/>
    </row>
    <row r="2242" spans="1:20" ht="13.8">
      <c r="A2242" s="118"/>
      <c r="B2242" s="119"/>
      <c r="C2242" s="118"/>
      <c r="D2242" s="118"/>
      <c r="E2242" s="118"/>
      <c r="F2242" s="124"/>
      <c r="G2242" s="124"/>
      <c r="H2242" s="124"/>
      <c r="I2242" s="124"/>
      <c r="J2242" s="124"/>
      <c r="K2242" s="125"/>
      <c r="L2242" s="121"/>
      <c r="M2242" s="125"/>
      <c r="N2242" s="121"/>
      <c r="O2242" s="125"/>
      <c r="P2242" s="126"/>
      <c r="Q2242" s="127"/>
      <c r="R2242" s="127"/>
      <c r="S2242" s="127"/>
      <c r="T2242" s="127"/>
    </row>
    <row r="2243" spans="1:20" ht="13.8">
      <c r="A2243" s="118"/>
      <c r="B2243" s="119"/>
      <c r="C2243" s="118"/>
      <c r="D2243" s="118"/>
      <c r="E2243" s="118"/>
      <c r="F2243" s="124"/>
      <c r="G2243" s="124"/>
      <c r="H2243" s="124"/>
      <c r="I2243" s="124"/>
      <c r="J2243" s="124"/>
      <c r="K2243" s="125"/>
      <c r="L2243" s="121"/>
      <c r="M2243" s="125"/>
      <c r="N2243" s="121"/>
      <c r="O2243" s="125"/>
      <c r="P2243" s="126"/>
      <c r="Q2243" s="127"/>
      <c r="R2243" s="127"/>
      <c r="S2243" s="127"/>
      <c r="T2243" s="127"/>
    </row>
    <row r="2244" spans="1:20" ht="13.8">
      <c r="A2244" s="118"/>
      <c r="B2244" s="119"/>
      <c r="C2244" s="118"/>
      <c r="D2244" s="118"/>
      <c r="E2244" s="118"/>
      <c r="F2244" s="124"/>
      <c r="G2244" s="124"/>
      <c r="H2244" s="124"/>
      <c r="I2244" s="124"/>
      <c r="J2244" s="124"/>
      <c r="K2244" s="125"/>
      <c r="L2244" s="121"/>
      <c r="M2244" s="125"/>
      <c r="N2244" s="121"/>
      <c r="O2244" s="125"/>
      <c r="P2244" s="126"/>
      <c r="Q2244" s="127"/>
      <c r="R2244" s="127"/>
      <c r="S2244" s="127"/>
      <c r="T2244" s="127"/>
    </row>
    <row r="2245" spans="1:20" ht="13.8">
      <c r="A2245" s="118"/>
      <c r="B2245" s="119"/>
      <c r="C2245" s="118"/>
      <c r="D2245" s="118"/>
      <c r="E2245" s="118"/>
      <c r="F2245" s="124"/>
      <c r="G2245" s="124"/>
      <c r="H2245" s="124"/>
      <c r="I2245" s="124"/>
      <c r="J2245" s="124"/>
      <c r="K2245" s="125"/>
      <c r="L2245" s="121"/>
      <c r="M2245" s="125"/>
      <c r="N2245" s="121"/>
      <c r="O2245" s="125"/>
      <c r="P2245" s="126"/>
      <c r="Q2245" s="127"/>
      <c r="R2245" s="127"/>
      <c r="S2245" s="127"/>
      <c r="T2245" s="127"/>
    </row>
    <row r="2246" spans="1:20" ht="13.8">
      <c r="A2246" s="118"/>
      <c r="B2246" s="119"/>
      <c r="C2246" s="118"/>
      <c r="D2246" s="118"/>
      <c r="E2246" s="118"/>
      <c r="F2246" s="124"/>
      <c r="G2246" s="124"/>
      <c r="H2246" s="124"/>
      <c r="I2246" s="124"/>
      <c r="J2246" s="124"/>
      <c r="K2246" s="125"/>
      <c r="L2246" s="121"/>
      <c r="M2246" s="125"/>
      <c r="N2246" s="121"/>
      <c r="O2246" s="125"/>
      <c r="P2246" s="126"/>
      <c r="Q2246" s="127"/>
      <c r="R2246" s="127"/>
      <c r="S2246" s="127"/>
      <c r="T2246" s="127"/>
    </row>
    <row r="2247" spans="1:20" ht="13.8">
      <c r="A2247" s="118"/>
      <c r="B2247" s="119"/>
      <c r="C2247" s="118"/>
      <c r="D2247" s="118"/>
      <c r="E2247" s="118"/>
      <c r="F2247" s="124"/>
      <c r="G2247" s="124"/>
      <c r="H2247" s="124"/>
      <c r="I2247" s="124"/>
      <c r="J2247" s="124"/>
      <c r="K2247" s="125"/>
      <c r="L2247" s="121"/>
      <c r="M2247" s="125"/>
      <c r="N2247" s="121"/>
      <c r="O2247" s="125"/>
      <c r="P2247" s="126"/>
      <c r="Q2247" s="127"/>
      <c r="R2247" s="127"/>
      <c r="S2247" s="127"/>
      <c r="T2247" s="127"/>
    </row>
    <row r="2248" spans="1:20" ht="13.8">
      <c r="A2248" s="118"/>
      <c r="B2248" s="119"/>
      <c r="C2248" s="118"/>
      <c r="D2248" s="118"/>
      <c r="E2248" s="118"/>
      <c r="F2248" s="124"/>
      <c r="G2248" s="124"/>
      <c r="H2248" s="124"/>
      <c r="I2248" s="124"/>
      <c r="J2248" s="124"/>
      <c r="K2248" s="125"/>
      <c r="L2248" s="121"/>
      <c r="M2248" s="125"/>
      <c r="N2248" s="121"/>
      <c r="O2248" s="125"/>
      <c r="P2248" s="126"/>
      <c r="Q2248" s="127"/>
      <c r="R2248" s="127"/>
      <c r="S2248" s="127"/>
      <c r="T2248" s="127"/>
    </row>
    <row r="2249" spans="1:20" ht="13.8">
      <c r="A2249" s="118"/>
      <c r="B2249" s="119"/>
      <c r="C2249" s="118"/>
      <c r="D2249" s="118"/>
      <c r="E2249" s="118"/>
      <c r="F2249" s="124"/>
      <c r="G2249" s="124"/>
      <c r="H2249" s="124"/>
      <c r="I2249" s="124"/>
      <c r="J2249" s="124"/>
      <c r="K2249" s="125"/>
      <c r="L2249" s="121"/>
      <c r="M2249" s="125"/>
      <c r="N2249" s="121"/>
      <c r="O2249" s="125"/>
      <c r="P2249" s="126"/>
      <c r="Q2249" s="127"/>
      <c r="R2249" s="127"/>
      <c r="S2249" s="127"/>
      <c r="T2249" s="127"/>
    </row>
    <row r="2250" spans="1:20" ht="13.8">
      <c r="A2250" s="118"/>
      <c r="B2250" s="119"/>
      <c r="C2250" s="118"/>
      <c r="D2250" s="118"/>
      <c r="E2250" s="118"/>
      <c r="F2250" s="124"/>
      <c r="G2250" s="124"/>
      <c r="H2250" s="124"/>
      <c r="I2250" s="124"/>
      <c r="J2250" s="124"/>
      <c r="K2250" s="125"/>
      <c r="L2250" s="121"/>
      <c r="M2250" s="125"/>
      <c r="N2250" s="121"/>
      <c r="O2250" s="125"/>
      <c r="P2250" s="126"/>
      <c r="Q2250" s="127"/>
      <c r="R2250" s="127"/>
      <c r="S2250" s="127"/>
      <c r="T2250" s="127"/>
    </row>
    <row r="2251" spans="1:20" ht="13.8">
      <c r="A2251" s="118"/>
      <c r="B2251" s="119"/>
      <c r="C2251" s="118"/>
      <c r="D2251" s="118"/>
      <c r="E2251" s="118"/>
      <c r="F2251" s="124"/>
      <c r="G2251" s="124"/>
      <c r="H2251" s="124"/>
      <c r="I2251" s="124"/>
      <c r="J2251" s="124"/>
      <c r="K2251" s="125"/>
      <c r="L2251" s="121"/>
      <c r="M2251" s="125"/>
      <c r="N2251" s="121"/>
      <c r="O2251" s="125"/>
      <c r="P2251" s="126"/>
      <c r="Q2251" s="127"/>
      <c r="R2251" s="127"/>
      <c r="S2251" s="127"/>
      <c r="T2251" s="127"/>
    </row>
    <row r="2252" spans="1:20" ht="13.8">
      <c r="A2252" s="118"/>
      <c r="B2252" s="119"/>
      <c r="C2252" s="118"/>
      <c r="D2252" s="118"/>
      <c r="E2252" s="118"/>
      <c r="F2252" s="124"/>
      <c r="G2252" s="124"/>
      <c r="H2252" s="124"/>
      <c r="I2252" s="124"/>
      <c r="J2252" s="124"/>
      <c r="K2252" s="125"/>
      <c r="L2252" s="121"/>
      <c r="M2252" s="125"/>
      <c r="N2252" s="121"/>
      <c r="O2252" s="125"/>
      <c r="P2252" s="126"/>
      <c r="Q2252" s="127"/>
      <c r="R2252" s="127"/>
      <c r="S2252" s="127"/>
      <c r="T2252" s="127"/>
    </row>
    <row r="2253" spans="1:20" ht="13.8">
      <c r="A2253" s="118"/>
      <c r="B2253" s="119"/>
      <c r="C2253" s="118"/>
      <c r="D2253" s="118"/>
      <c r="E2253" s="118"/>
      <c r="F2253" s="124"/>
      <c r="G2253" s="124"/>
      <c r="H2253" s="124"/>
      <c r="I2253" s="124"/>
      <c r="J2253" s="124"/>
      <c r="K2253" s="125"/>
      <c r="L2253" s="121"/>
      <c r="M2253" s="125"/>
      <c r="N2253" s="121"/>
      <c r="O2253" s="125"/>
      <c r="P2253" s="126"/>
      <c r="Q2253" s="127"/>
      <c r="R2253" s="127"/>
      <c r="S2253" s="127"/>
      <c r="T2253" s="127"/>
    </row>
    <row r="2254" spans="1:20" ht="13.8">
      <c r="A2254" s="118"/>
      <c r="B2254" s="119"/>
      <c r="C2254" s="118"/>
      <c r="D2254" s="118"/>
      <c r="E2254" s="118"/>
      <c r="F2254" s="124"/>
      <c r="G2254" s="124"/>
      <c r="H2254" s="124"/>
      <c r="I2254" s="124"/>
      <c r="J2254" s="124"/>
      <c r="K2254" s="125"/>
      <c r="L2254" s="121"/>
      <c r="M2254" s="125"/>
      <c r="N2254" s="121"/>
      <c r="O2254" s="125"/>
      <c r="P2254" s="126"/>
      <c r="Q2254" s="127"/>
      <c r="R2254" s="127"/>
      <c r="S2254" s="127"/>
      <c r="T2254" s="127"/>
    </row>
    <row r="2255" spans="1:20" ht="13.8">
      <c r="A2255" s="118"/>
      <c r="B2255" s="119"/>
      <c r="C2255" s="118"/>
      <c r="D2255" s="118"/>
      <c r="E2255" s="118"/>
      <c r="F2255" s="124"/>
      <c r="G2255" s="124"/>
      <c r="H2255" s="124"/>
      <c r="I2255" s="124"/>
      <c r="J2255" s="124"/>
      <c r="K2255" s="125"/>
      <c r="L2255" s="121"/>
      <c r="M2255" s="125"/>
      <c r="N2255" s="121"/>
      <c r="O2255" s="125"/>
      <c r="P2255" s="126"/>
      <c r="Q2255" s="127"/>
      <c r="R2255" s="127"/>
      <c r="S2255" s="127"/>
      <c r="T2255" s="127"/>
    </row>
    <row r="2256" spans="1:20" ht="13.8">
      <c r="A2256" s="118"/>
      <c r="B2256" s="119"/>
      <c r="C2256" s="118"/>
      <c r="D2256" s="118"/>
      <c r="E2256" s="118"/>
      <c r="F2256" s="124"/>
      <c r="G2256" s="124"/>
      <c r="H2256" s="124"/>
      <c r="I2256" s="124"/>
      <c r="J2256" s="124"/>
      <c r="K2256" s="125"/>
      <c r="L2256" s="121"/>
      <c r="M2256" s="125"/>
      <c r="N2256" s="121"/>
      <c r="O2256" s="125"/>
      <c r="P2256" s="126"/>
      <c r="Q2256" s="127"/>
      <c r="R2256" s="127"/>
      <c r="S2256" s="127"/>
      <c r="T2256" s="127"/>
    </row>
    <row r="2257" spans="1:20" ht="13.8">
      <c r="A2257" s="118"/>
      <c r="B2257" s="119"/>
      <c r="C2257" s="118"/>
      <c r="D2257" s="118"/>
      <c r="E2257" s="118"/>
      <c r="F2257" s="124"/>
      <c r="G2257" s="124"/>
      <c r="H2257" s="124"/>
      <c r="I2257" s="124"/>
      <c r="J2257" s="124"/>
      <c r="K2257" s="125"/>
      <c r="L2257" s="121"/>
      <c r="M2257" s="125"/>
      <c r="N2257" s="121"/>
      <c r="O2257" s="125"/>
      <c r="P2257" s="126"/>
      <c r="Q2257" s="127"/>
      <c r="R2257" s="127"/>
      <c r="S2257" s="127"/>
      <c r="T2257" s="127"/>
    </row>
    <row r="2258" spans="1:20" ht="13.8">
      <c r="A2258" s="118"/>
      <c r="B2258" s="119"/>
      <c r="C2258" s="118"/>
      <c r="D2258" s="118"/>
      <c r="E2258" s="118"/>
      <c r="F2258" s="124"/>
      <c r="G2258" s="124"/>
      <c r="H2258" s="124"/>
      <c r="I2258" s="124"/>
      <c r="J2258" s="124"/>
      <c r="K2258" s="125"/>
      <c r="L2258" s="121"/>
      <c r="M2258" s="125"/>
      <c r="N2258" s="121"/>
      <c r="O2258" s="125"/>
      <c r="P2258" s="126"/>
      <c r="Q2258" s="127"/>
      <c r="R2258" s="127"/>
      <c r="S2258" s="127"/>
      <c r="T2258" s="127"/>
    </row>
    <row r="2259" spans="1:20" ht="13.8">
      <c r="A2259" s="118"/>
      <c r="B2259" s="119"/>
      <c r="C2259" s="118"/>
      <c r="D2259" s="118"/>
      <c r="E2259" s="118"/>
      <c r="F2259" s="124"/>
      <c r="G2259" s="124"/>
      <c r="H2259" s="124"/>
      <c r="I2259" s="124"/>
      <c r="J2259" s="124"/>
      <c r="K2259" s="125"/>
      <c r="L2259" s="121"/>
      <c r="M2259" s="125"/>
      <c r="N2259" s="121"/>
      <c r="O2259" s="125"/>
      <c r="P2259" s="126"/>
      <c r="Q2259" s="127"/>
      <c r="R2259" s="127"/>
      <c r="S2259" s="127"/>
      <c r="T2259" s="127"/>
    </row>
    <row r="2260" spans="1:20" ht="13.8">
      <c r="A2260" s="118"/>
      <c r="B2260" s="119"/>
      <c r="C2260" s="118"/>
      <c r="D2260" s="118"/>
      <c r="E2260" s="118"/>
      <c r="F2260" s="124"/>
      <c r="G2260" s="124"/>
      <c r="H2260" s="124"/>
      <c r="I2260" s="124"/>
      <c r="J2260" s="124"/>
      <c r="K2260" s="125"/>
      <c r="L2260" s="121"/>
      <c r="M2260" s="125"/>
      <c r="N2260" s="121"/>
      <c r="O2260" s="125"/>
      <c r="P2260" s="126"/>
      <c r="Q2260" s="127"/>
      <c r="R2260" s="127"/>
      <c r="S2260" s="127"/>
      <c r="T2260" s="127"/>
    </row>
    <row r="2261" spans="1:20" ht="13.8">
      <c r="A2261" s="118"/>
      <c r="B2261" s="119"/>
      <c r="C2261" s="118"/>
      <c r="D2261" s="118"/>
      <c r="E2261" s="118"/>
      <c r="F2261" s="124"/>
      <c r="G2261" s="124"/>
      <c r="H2261" s="124"/>
      <c r="I2261" s="124"/>
      <c r="J2261" s="124"/>
      <c r="K2261" s="125"/>
      <c r="L2261" s="121"/>
      <c r="M2261" s="125"/>
      <c r="N2261" s="121"/>
      <c r="O2261" s="125"/>
      <c r="P2261" s="126"/>
      <c r="Q2261" s="127"/>
      <c r="R2261" s="127"/>
      <c r="S2261" s="127"/>
      <c r="T2261" s="127"/>
    </row>
    <row r="2262" spans="1:20" ht="13.8">
      <c r="A2262" s="118"/>
      <c r="B2262" s="119"/>
      <c r="C2262" s="118"/>
      <c r="D2262" s="118"/>
      <c r="E2262" s="118"/>
      <c r="F2262" s="124"/>
      <c r="G2262" s="124"/>
      <c r="H2262" s="124"/>
      <c r="I2262" s="124"/>
      <c r="J2262" s="124"/>
      <c r="K2262" s="125"/>
      <c r="L2262" s="121"/>
      <c r="M2262" s="125"/>
      <c r="N2262" s="121"/>
      <c r="O2262" s="125"/>
      <c r="P2262" s="126"/>
      <c r="Q2262" s="127"/>
      <c r="R2262" s="127"/>
      <c r="S2262" s="127"/>
      <c r="T2262" s="127"/>
    </row>
    <row r="2263" spans="1:20" ht="13.8">
      <c r="A2263" s="118"/>
      <c r="B2263" s="119"/>
      <c r="C2263" s="118"/>
      <c r="D2263" s="118"/>
      <c r="E2263" s="118"/>
      <c r="F2263" s="124"/>
      <c r="G2263" s="124"/>
      <c r="H2263" s="124"/>
      <c r="I2263" s="124"/>
      <c r="J2263" s="124"/>
      <c r="K2263" s="125"/>
      <c r="L2263" s="121"/>
      <c r="M2263" s="125"/>
      <c r="N2263" s="121"/>
      <c r="O2263" s="125"/>
      <c r="P2263" s="126"/>
      <c r="Q2263" s="127"/>
      <c r="R2263" s="127"/>
      <c r="S2263" s="127"/>
      <c r="T2263" s="127"/>
    </row>
    <row r="2264" spans="1:20" ht="13.8">
      <c r="A2264" s="118"/>
      <c r="B2264" s="119"/>
      <c r="C2264" s="118"/>
      <c r="D2264" s="118"/>
      <c r="E2264" s="118"/>
      <c r="F2264" s="124"/>
      <c r="G2264" s="124"/>
      <c r="H2264" s="124"/>
      <c r="I2264" s="124"/>
      <c r="J2264" s="124"/>
      <c r="K2264" s="125"/>
      <c r="L2264" s="121"/>
      <c r="M2264" s="125"/>
      <c r="N2264" s="121"/>
      <c r="O2264" s="125"/>
      <c r="P2264" s="126"/>
      <c r="Q2264" s="127"/>
      <c r="R2264" s="127"/>
      <c r="S2264" s="127"/>
      <c r="T2264" s="127"/>
    </row>
    <row r="2265" spans="1:20" ht="13.8">
      <c r="A2265" s="118"/>
      <c r="B2265" s="119"/>
      <c r="C2265" s="118"/>
      <c r="D2265" s="118"/>
      <c r="E2265" s="118"/>
      <c r="F2265" s="124"/>
      <c r="G2265" s="124"/>
      <c r="H2265" s="124"/>
      <c r="I2265" s="124"/>
      <c r="J2265" s="124"/>
      <c r="K2265" s="125"/>
      <c r="L2265" s="121"/>
      <c r="M2265" s="125"/>
      <c r="N2265" s="121"/>
      <c r="O2265" s="125"/>
      <c r="P2265" s="126"/>
      <c r="Q2265" s="127"/>
      <c r="R2265" s="127"/>
      <c r="S2265" s="127"/>
      <c r="T2265" s="127"/>
    </row>
    <row r="2266" spans="1:20" ht="13.8">
      <c r="A2266" s="118"/>
      <c r="B2266" s="119"/>
      <c r="C2266" s="118"/>
      <c r="D2266" s="118"/>
      <c r="E2266" s="118"/>
      <c r="F2266" s="124"/>
      <c r="G2266" s="124"/>
      <c r="H2266" s="124"/>
      <c r="I2266" s="124"/>
      <c r="J2266" s="124"/>
      <c r="K2266" s="125"/>
      <c r="L2266" s="121"/>
      <c r="M2266" s="125"/>
      <c r="N2266" s="121"/>
      <c r="O2266" s="125"/>
      <c r="P2266" s="126"/>
      <c r="Q2266" s="127"/>
      <c r="R2266" s="127"/>
      <c r="S2266" s="127"/>
      <c r="T2266" s="127"/>
    </row>
    <row r="2267" spans="1:20" ht="13.8">
      <c r="A2267" s="118"/>
      <c r="B2267" s="119"/>
      <c r="C2267" s="118"/>
      <c r="D2267" s="118"/>
      <c r="E2267" s="118"/>
      <c r="F2267" s="124"/>
      <c r="G2267" s="124"/>
      <c r="H2267" s="124"/>
      <c r="I2267" s="124"/>
      <c r="J2267" s="124"/>
      <c r="K2267" s="125"/>
      <c r="L2267" s="121"/>
      <c r="M2267" s="125"/>
      <c r="N2267" s="121"/>
      <c r="O2267" s="125"/>
      <c r="P2267" s="126"/>
      <c r="Q2267" s="127"/>
      <c r="R2267" s="127"/>
      <c r="S2267" s="127"/>
      <c r="T2267" s="127"/>
    </row>
    <row r="2268" spans="1:20" ht="13.8">
      <c r="A2268" s="118"/>
      <c r="B2268" s="119"/>
      <c r="C2268" s="118"/>
      <c r="D2268" s="118"/>
      <c r="E2268" s="118"/>
      <c r="F2268" s="124"/>
      <c r="G2268" s="124"/>
      <c r="H2268" s="124"/>
      <c r="I2268" s="124"/>
      <c r="J2268" s="124"/>
      <c r="K2268" s="125"/>
      <c r="L2268" s="121"/>
      <c r="M2268" s="125"/>
      <c r="N2268" s="121"/>
      <c r="O2268" s="125"/>
      <c r="P2268" s="126"/>
      <c r="Q2268" s="127"/>
      <c r="R2268" s="127"/>
      <c r="S2268" s="127"/>
      <c r="T2268" s="127"/>
    </row>
    <row r="2269" spans="1:20" ht="13.8">
      <c r="A2269" s="118"/>
      <c r="B2269" s="119"/>
      <c r="C2269" s="118"/>
      <c r="D2269" s="118"/>
      <c r="E2269" s="118"/>
      <c r="F2269" s="124"/>
      <c r="G2269" s="124"/>
      <c r="H2269" s="124"/>
      <c r="I2269" s="124"/>
      <c r="J2269" s="124"/>
      <c r="K2269" s="125"/>
      <c r="L2269" s="121"/>
      <c r="M2269" s="125"/>
      <c r="N2269" s="121"/>
      <c r="O2269" s="125"/>
      <c r="P2269" s="126"/>
      <c r="Q2269" s="127"/>
      <c r="R2269" s="127"/>
      <c r="S2269" s="127"/>
      <c r="T2269" s="127"/>
    </row>
    <row r="2270" spans="1:20" ht="13.8">
      <c r="A2270" s="118"/>
      <c r="B2270" s="119"/>
      <c r="C2270" s="118"/>
      <c r="D2270" s="118"/>
      <c r="E2270" s="118"/>
      <c r="F2270" s="124"/>
      <c r="G2270" s="124"/>
      <c r="H2270" s="124"/>
      <c r="I2270" s="124"/>
      <c r="J2270" s="124"/>
      <c r="K2270" s="125"/>
      <c r="L2270" s="121"/>
      <c r="M2270" s="125"/>
      <c r="N2270" s="121"/>
      <c r="O2270" s="125"/>
      <c r="P2270" s="126"/>
      <c r="Q2270" s="127"/>
      <c r="R2270" s="127"/>
      <c r="S2270" s="127"/>
      <c r="T2270" s="127"/>
    </row>
    <row r="2271" spans="1:20" ht="13.8">
      <c r="A2271" s="118"/>
      <c r="B2271" s="119"/>
      <c r="C2271" s="118"/>
      <c r="D2271" s="118"/>
      <c r="E2271" s="118"/>
      <c r="F2271" s="124"/>
      <c r="G2271" s="124"/>
      <c r="H2271" s="124"/>
      <c r="I2271" s="124"/>
      <c r="J2271" s="124"/>
      <c r="K2271" s="125"/>
      <c r="L2271" s="121"/>
      <c r="M2271" s="125"/>
      <c r="N2271" s="121"/>
      <c r="O2271" s="125"/>
      <c r="P2271" s="126"/>
      <c r="Q2271" s="127"/>
      <c r="R2271" s="127"/>
      <c r="S2271" s="127"/>
      <c r="T2271" s="127"/>
    </row>
    <row r="2272" spans="1:20" ht="13.8">
      <c r="A2272" s="118"/>
      <c r="B2272" s="119"/>
      <c r="C2272" s="118"/>
      <c r="D2272" s="118"/>
      <c r="E2272" s="118"/>
      <c r="F2272" s="124"/>
      <c r="G2272" s="124"/>
      <c r="H2272" s="124"/>
      <c r="I2272" s="124"/>
      <c r="J2272" s="124"/>
      <c r="K2272" s="125"/>
      <c r="L2272" s="121"/>
      <c r="M2272" s="125"/>
      <c r="N2272" s="121"/>
      <c r="O2272" s="125"/>
      <c r="P2272" s="126"/>
      <c r="Q2272" s="127"/>
      <c r="R2272" s="127"/>
      <c r="S2272" s="127"/>
      <c r="T2272" s="127"/>
    </row>
    <row r="2273" spans="1:20" ht="13.8">
      <c r="A2273" s="118"/>
      <c r="B2273" s="119"/>
      <c r="C2273" s="118"/>
      <c r="D2273" s="118"/>
      <c r="E2273" s="118"/>
      <c r="F2273" s="124"/>
      <c r="G2273" s="124"/>
      <c r="H2273" s="124"/>
      <c r="I2273" s="124"/>
      <c r="J2273" s="124"/>
      <c r="K2273" s="125"/>
      <c r="L2273" s="121"/>
      <c r="M2273" s="125"/>
      <c r="N2273" s="121"/>
      <c r="O2273" s="125"/>
      <c r="P2273" s="126"/>
      <c r="Q2273" s="127"/>
      <c r="R2273" s="127"/>
      <c r="S2273" s="127"/>
      <c r="T2273" s="127"/>
    </row>
    <row r="2274" spans="1:20" ht="13.8">
      <c r="A2274" s="118"/>
      <c r="B2274" s="119"/>
      <c r="C2274" s="118"/>
      <c r="D2274" s="118"/>
      <c r="E2274" s="118"/>
      <c r="F2274" s="124"/>
      <c r="G2274" s="124"/>
      <c r="H2274" s="124"/>
      <c r="I2274" s="124"/>
      <c r="J2274" s="124"/>
      <c r="K2274" s="125"/>
      <c r="L2274" s="121"/>
      <c r="M2274" s="125"/>
      <c r="N2274" s="121"/>
      <c r="O2274" s="125"/>
      <c r="P2274" s="126"/>
      <c r="Q2274" s="127"/>
      <c r="R2274" s="127"/>
      <c r="S2274" s="127"/>
      <c r="T2274" s="127"/>
    </row>
    <row r="2275" spans="1:20" ht="13.8">
      <c r="A2275" s="118"/>
      <c r="B2275" s="119"/>
      <c r="C2275" s="118"/>
      <c r="D2275" s="118"/>
      <c r="E2275" s="118"/>
      <c r="F2275" s="124"/>
      <c r="G2275" s="124"/>
      <c r="H2275" s="124"/>
      <c r="I2275" s="124"/>
      <c r="J2275" s="124"/>
      <c r="K2275" s="125"/>
      <c r="L2275" s="121"/>
      <c r="M2275" s="125"/>
      <c r="N2275" s="121"/>
      <c r="O2275" s="125"/>
      <c r="P2275" s="126"/>
      <c r="Q2275" s="127"/>
      <c r="R2275" s="127"/>
      <c r="S2275" s="127"/>
      <c r="T2275" s="127"/>
    </row>
    <row r="2276" spans="1:20" ht="13.8">
      <c r="A2276" s="118"/>
      <c r="B2276" s="119"/>
      <c r="C2276" s="118"/>
      <c r="D2276" s="118"/>
      <c r="E2276" s="118"/>
      <c r="F2276" s="124"/>
      <c r="G2276" s="124"/>
      <c r="H2276" s="124"/>
      <c r="I2276" s="124"/>
      <c r="J2276" s="124"/>
      <c r="K2276" s="125"/>
      <c r="L2276" s="121"/>
      <c r="M2276" s="125"/>
      <c r="N2276" s="121"/>
      <c r="O2276" s="125"/>
      <c r="P2276" s="126"/>
      <c r="Q2276" s="127"/>
      <c r="R2276" s="127"/>
      <c r="S2276" s="127"/>
      <c r="T2276" s="127"/>
    </row>
    <row r="2277" spans="1:20" ht="13.8">
      <c r="A2277" s="118"/>
      <c r="B2277" s="119"/>
      <c r="C2277" s="118"/>
      <c r="D2277" s="118"/>
      <c r="E2277" s="118"/>
      <c r="F2277" s="124"/>
      <c r="G2277" s="124"/>
      <c r="H2277" s="124"/>
      <c r="I2277" s="124"/>
      <c r="J2277" s="124"/>
      <c r="K2277" s="125"/>
      <c r="L2277" s="121"/>
      <c r="M2277" s="125"/>
      <c r="N2277" s="121"/>
      <c r="O2277" s="125"/>
      <c r="P2277" s="126"/>
      <c r="Q2277" s="127"/>
      <c r="R2277" s="127"/>
      <c r="S2277" s="127"/>
      <c r="T2277" s="127"/>
    </row>
    <row r="2278" spans="1:20" ht="13.8">
      <c r="A2278" s="118"/>
      <c r="B2278" s="119"/>
      <c r="C2278" s="118"/>
      <c r="D2278" s="118"/>
      <c r="E2278" s="118"/>
      <c r="F2278" s="124"/>
      <c r="G2278" s="124"/>
      <c r="H2278" s="124"/>
      <c r="I2278" s="124"/>
      <c r="J2278" s="124"/>
      <c r="K2278" s="125"/>
      <c r="L2278" s="121"/>
      <c r="M2278" s="125"/>
      <c r="N2278" s="121"/>
      <c r="O2278" s="125"/>
      <c r="P2278" s="126"/>
      <c r="Q2278" s="127"/>
      <c r="R2278" s="127"/>
      <c r="S2278" s="127"/>
      <c r="T2278" s="127"/>
    </row>
    <row r="2279" spans="1:20" ht="13.8">
      <c r="A2279" s="118"/>
      <c r="B2279" s="119"/>
      <c r="C2279" s="118"/>
      <c r="D2279" s="118"/>
      <c r="E2279" s="118"/>
      <c r="F2279" s="124"/>
      <c r="G2279" s="124"/>
      <c r="H2279" s="124"/>
      <c r="I2279" s="124"/>
      <c r="J2279" s="124"/>
      <c r="K2279" s="125"/>
      <c r="L2279" s="121"/>
      <c r="M2279" s="125"/>
      <c r="N2279" s="121"/>
      <c r="O2279" s="125"/>
      <c r="P2279" s="126"/>
      <c r="Q2279" s="127"/>
      <c r="R2279" s="127"/>
      <c r="S2279" s="127"/>
      <c r="T2279" s="127"/>
    </row>
    <row r="2280" spans="1:20" ht="13.8">
      <c r="A2280" s="118"/>
      <c r="B2280" s="119"/>
      <c r="C2280" s="118"/>
      <c r="D2280" s="118"/>
      <c r="E2280" s="118"/>
      <c r="F2280" s="124"/>
      <c r="G2280" s="124"/>
      <c r="H2280" s="124"/>
      <c r="I2280" s="124"/>
      <c r="J2280" s="124"/>
      <c r="K2280" s="125"/>
      <c r="L2280" s="121"/>
      <c r="M2280" s="125"/>
      <c r="N2280" s="121"/>
      <c r="O2280" s="125"/>
      <c r="P2280" s="126"/>
      <c r="Q2280" s="127"/>
      <c r="R2280" s="127"/>
      <c r="S2280" s="127"/>
      <c r="T2280" s="127"/>
    </row>
    <row r="2281" spans="1:20" ht="13.8">
      <c r="A2281" s="118"/>
      <c r="B2281" s="119"/>
      <c r="C2281" s="118"/>
      <c r="D2281" s="118"/>
      <c r="E2281" s="118"/>
      <c r="F2281" s="124"/>
      <c r="G2281" s="124"/>
      <c r="H2281" s="124"/>
      <c r="I2281" s="124"/>
      <c r="J2281" s="124"/>
      <c r="K2281" s="125"/>
      <c r="L2281" s="121"/>
      <c r="M2281" s="125"/>
      <c r="N2281" s="121"/>
      <c r="O2281" s="125"/>
      <c r="P2281" s="126"/>
      <c r="Q2281" s="127"/>
      <c r="R2281" s="127"/>
      <c r="S2281" s="127"/>
      <c r="T2281" s="127"/>
    </row>
    <row r="2282" spans="1:20" ht="13.8">
      <c r="A2282" s="118"/>
      <c r="B2282" s="119"/>
      <c r="C2282" s="118"/>
      <c r="D2282" s="118"/>
      <c r="E2282" s="118"/>
      <c r="F2282" s="124"/>
      <c r="G2282" s="124"/>
      <c r="H2282" s="124"/>
      <c r="I2282" s="124"/>
      <c r="J2282" s="124"/>
      <c r="K2282" s="125"/>
      <c r="L2282" s="121"/>
      <c r="M2282" s="125"/>
      <c r="N2282" s="121"/>
      <c r="O2282" s="125"/>
      <c r="P2282" s="126"/>
      <c r="Q2282" s="127"/>
      <c r="R2282" s="127"/>
      <c r="S2282" s="127"/>
      <c r="T2282" s="127"/>
    </row>
    <row r="2283" spans="1:20" ht="13.8">
      <c r="A2283" s="118"/>
      <c r="B2283" s="119"/>
      <c r="C2283" s="118"/>
      <c r="D2283" s="118"/>
      <c r="E2283" s="118"/>
      <c r="F2283" s="124"/>
      <c r="G2283" s="124"/>
      <c r="H2283" s="124"/>
      <c r="I2283" s="124"/>
      <c r="J2283" s="124"/>
      <c r="K2283" s="125"/>
      <c r="L2283" s="121"/>
      <c r="M2283" s="125"/>
      <c r="N2283" s="121"/>
      <c r="O2283" s="125"/>
      <c r="P2283" s="126"/>
      <c r="Q2283" s="127"/>
      <c r="R2283" s="127"/>
      <c r="S2283" s="127"/>
      <c r="T2283" s="127"/>
    </row>
    <row r="2284" spans="1:20" ht="13.8">
      <c r="A2284" s="118"/>
      <c r="B2284" s="119"/>
      <c r="C2284" s="118"/>
      <c r="D2284" s="118"/>
      <c r="E2284" s="118"/>
      <c r="F2284" s="124"/>
      <c r="G2284" s="124"/>
      <c r="H2284" s="124"/>
      <c r="I2284" s="124"/>
      <c r="J2284" s="124"/>
      <c r="K2284" s="125"/>
      <c r="L2284" s="121"/>
      <c r="M2284" s="125"/>
      <c r="N2284" s="121"/>
      <c r="O2284" s="125"/>
      <c r="P2284" s="126"/>
      <c r="Q2284" s="127"/>
      <c r="R2284" s="127"/>
      <c r="S2284" s="127"/>
      <c r="T2284" s="127"/>
    </row>
    <row r="2285" spans="1:20" ht="13.8">
      <c r="A2285" s="118"/>
      <c r="B2285" s="119"/>
      <c r="C2285" s="118"/>
      <c r="D2285" s="118"/>
      <c r="E2285" s="118"/>
      <c r="F2285" s="124"/>
      <c r="G2285" s="124"/>
      <c r="H2285" s="124"/>
      <c r="I2285" s="124"/>
      <c r="J2285" s="124"/>
      <c r="K2285" s="125"/>
      <c r="L2285" s="121"/>
      <c r="M2285" s="125"/>
      <c r="N2285" s="121"/>
      <c r="O2285" s="125"/>
      <c r="P2285" s="126"/>
      <c r="Q2285" s="127"/>
      <c r="R2285" s="127"/>
      <c r="S2285" s="127"/>
      <c r="T2285" s="127"/>
    </row>
    <row r="2286" spans="1:20" ht="13.8">
      <c r="A2286" s="118"/>
      <c r="B2286" s="119"/>
      <c r="C2286" s="118"/>
      <c r="D2286" s="118"/>
      <c r="E2286" s="118"/>
      <c r="F2286" s="124"/>
      <c r="G2286" s="124"/>
      <c r="H2286" s="124"/>
      <c r="I2286" s="124"/>
      <c r="J2286" s="124"/>
      <c r="K2286" s="125"/>
      <c r="L2286" s="121"/>
      <c r="M2286" s="125"/>
      <c r="N2286" s="121"/>
      <c r="O2286" s="125"/>
      <c r="P2286" s="126"/>
      <c r="Q2286" s="127"/>
      <c r="R2286" s="127"/>
      <c r="S2286" s="127"/>
      <c r="T2286" s="127"/>
    </row>
    <row r="2287" spans="1:20" ht="13.8">
      <c r="A2287" s="118"/>
      <c r="B2287" s="119"/>
      <c r="C2287" s="118"/>
      <c r="D2287" s="118"/>
      <c r="E2287" s="118"/>
      <c r="F2287" s="124"/>
      <c r="G2287" s="124"/>
      <c r="H2287" s="124"/>
      <c r="I2287" s="124"/>
      <c r="J2287" s="124"/>
      <c r="K2287" s="125"/>
      <c r="L2287" s="121"/>
      <c r="M2287" s="125"/>
      <c r="N2287" s="121"/>
      <c r="O2287" s="125"/>
      <c r="P2287" s="126"/>
      <c r="Q2287" s="127"/>
      <c r="R2287" s="127"/>
      <c r="S2287" s="127"/>
      <c r="T2287" s="127"/>
    </row>
    <row r="2288" spans="1:20" ht="13.8">
      <c r="A2288" s="118"/>
      <c r="B2288" s="119"/>
      <c r="C2288" s="118"/>
      <c r="D2288" s="118"/>
      <c r="E2288" s="118"/>
      <c r="F2288" s="124"/>
      <c r="G2288" s="124"/>
      <c r="H2288" s="124"/>
      <c r="I2288" s="124"/>
      <c r="J2288" s="124"/>
      <c r="K2288" s="125"/>
      <c r="L2288" s="121"/>
      <c r="M2288" s="125"/>
      <c r="N2288" s="121"/>
      <c r="O2288" s="125"/>
      <c r="P2288" s="126"/>
      <c r="Q2288" s="127"/>
      <c r="R2288" s="127"/>
      <c r="S2288" s="127"/>
      <c r="T2288" s="127"/>
    </row>
    <row r="2289" spans="1:20" ht="13.8">
      <c r="A2289" s="118"/>
      <c r="B2289" s="119"/>
      <c r="C2289" s="118"/>
      <c r="D2289" s="118"/>
      <c r="E2289" s="118"/>
      <c r="F2289" s="124"/>
      <c r="G2289" s="124"/>
      <c r="H2289" s="124"/>
      <c r="I2289" s="124"/>
      <c r="J2289" s="124"/>
      <c r="K2289" s="125"/>
      <c r="L2289" s="121"/>
      <c r="M2289" s="125"/>
      <c r="N2289" s="121"/>
      <c r="O2289" s="125"/>
      <c r="P2289" s="126"/>
      <c r="Q2289" s="127"/>
      <c r="R2289" s="127"/>
      <c r="S2289" s="127"/>
      <c r="T2289" s="127"/>
    </row>
    <row r="2290" spans="1:20" ht="13.8">
      <c r="A2290" s="118"/>
      <c r="B2290" s="119"/>
      <c r="C2290" s="118"/>
      <c r="D2290" s="118"/>
      <c r="E2290" s="118"/>
      <c r="F2290" s="124"/>
      <c r="G2290" s="124"/>
      <c r="H2290" s="124"/>
      <c r="I2290" s="124"/>
      <c r="J2290" s="124"/>
      <c r="K2290" s="125"/>
      <c r="L2290" s="121"/>
      <c r="M2290" s="125"/>
      <c r="N2290" s="121"/>
      <c r="O2290" s="125"/>
      <c r="P2290" s="126"/>
      <c r="Q2290" s="127"/>
      <c r="R2290" s="127"/>
      <c r="S2290" s="127"/>
      <c r="T2290" s="127"/>
    </row>
    <row r="2291" spans="1:20" ht="13.8">
      <c r="A2291" s="118"/>
      <c r="B2291" s="119"/>
      <c r="C2291" s="118"/>
      <c r="D2291" s="118"/>
      <c r="E2291" s="118"/>
      <c r="F2291" s="124"/>
      <c r="G2291" s="124"/>
      <c r="H2291" s="124"/>
      <c r="I2291" s="124"/>
      <c r="J2291" s="124"/>
      <c r="K2291" s="125"/>
      <c r="L2291" s="121"/>
      <c r="M2291" s="125"/>
      <c r="N2291" s="121"/>
      <c r="O2291" s="125"/>
      <c r="P2291" s="126"/>
      <c r="Q2291" s="127"/>
      <c r="R2291" s="127"/>
      <c r="S2291" s="127"/>
      <c r="T2291" s="127"/>
    </row>
    <row r="2292" spans="1:20" ht="13.8">
      <c r="A2292" s="118"/>
      <c r="B2292" s="119"/>
      <c r="C2292" s="118"/>
      <c r="D2292" s="118"/>
      <c r="E2292" s="118"/>
      <c r="F2292" s="124"/>
      <c r="G2292" s="124"/>
      <c r="H2292" s="124"/>
      <c r="I2292" s="124"/>
      <c r="J2292" s="124"/>
      <c r="K2292" s="125"/>
      <c r="L2292" s="121"/>
      <c r="M2292" s="125"/>
      <c r="N2292" s="121"/>
      <c r="O2292" s="125"/>
      <c r="P2292" s="126"/>
      <c r="Q2292" s="127"/>
      <c r="R2292" s="127"/>
      <c r="S2292" s="127"/>
      <c r="T2292" s="127"/>
    </row>
    <row r="2293" spans="1:20" ht="13.8">
      <c r="A2293" s="118"/>
      <c r="B2293" s="119"/>
      <c r="C2293" s="118"/>
      <c r="D2293" s="118"/>
      <c r="E2293" s="118"/>
      <c r="F2293" s="124"/>
      <c r="G2293" s="124"/>
      <c r="H2293" s="124"/>
      <c r="I2293" s="124"/>
      <c r="J2293" s="124"/>
      <c r="K2293" s="125"/>
      <c r="L2293" s="121"/>
      <c r="M2293" s="125"/>
      <c r="N2293" s="121"/>
      <c r="O2293" s="125"/>
      <c r="P2293" s="126"/>
      <c r="Q2293" s="127"/>
      <c r="R2293" s="127"/>
      <c r="S2293" s="127"/>
      <c r="T2293" s="127"/>
    </row>
    <row r="2294" spans="1:20" ht="13.8">
      <c r="A2294" s="118"/>
      <c r="B2294" s="119"/>
      <c r="C2294" s="118"/>
      <c r="D2294" s="118"/>
      <c r="E2294" s="118"/>
      <c r="F2294" s="124"/>
      <c r="G2294" s="124"/>
      <c r="H2294" s="124"/>
      <c r="I2294" s="124"/>
      <c r="J2294" s="124"/>
      <c r="K2294" s="125"/>
      <c r="L2294" s="121"/>
      <c r="M2294" s="125"/>
      <c r="N2294" s="121"/>
      <c r="O2294" s="125"/>
      <c r="P2294" s="126"/>
      <c r="Q2294" s="127"/>
      <c r="R2294" s="127"/>
      <c r="S2294" s="127"/>
      <c r="T2294" s="127"/>
    </row>
    <row r="2295" spans="1:20" ht="13.8">
      <c r="A2295" s="118"/>
      <c r="B2295" s="119"/>
      <c r="C2295" s="118"/>
      <c r="D2295" s="118"/>
      <c r="E2295" s="118"/>
      <c r="F2295" s="124"/>
      <c r="G2295" s="124"/>
      <c r="H2295" s="124"/>
      <c r="I2295" s="124"/>
      <c r="J2295" s="124"/>
      <c r="K2295" s="125"/>
      <c r="L2295" s="121"/>
      <c r="M2295" s="125"/>
      <c r="N2295" s="121"/>
      <c r="O2295" s="125"/>
      <c r="P2295" s="126"/>
      <c r="Q2295" s="127"/>
      <c r="R2295" s="127"/>
      <c r="S2295" s="127"/>
      <c r="T2295" s="127"/>
    </row>
    <row r="2296" spans="1:20" ht="13.8">
      <c r="A2296" s="118"/>
      <c r="B2296" s="119"/>
      <c r="C2296" s="118"/>
      <c r="D2296" s="118"/>
      <c r="E2296" s="118"/>
      <c r="F2296" s="124"/>
      <c r="G2296" s="124"/>
      <c r="H2296" s="124"/>
      <c r="I2296" s="124"/>
      <c r="J2296" s="124"/>
      <c r="K2296" s="125"/>
      <c r="L2296" s="121"/>
      <c r="M2296" s="125"/>
      <c r="N2296" s="121"/>
      <c r="O2296" s="125"/>
      <c r="P2296" s="126"/>
      <c r="Q2296" s="127"/>
      <c r="R2296" s="127"/>
      <c r="S2296" s="127"/>
      <c r="T2296" s="127"/>
    </row>
    <row r="2297" spans="1:20" ht="13.8">
      <c r="A2297" s="118"/>
      <c r="B2297" s="119"/>
      <c r="C2297" s="118"/>
      <c r="D2297" s="118"/>
      <c r="E2297" s="118"/>
      <c r="F2297" s="124"/>
      <c r="G2297" s="124"/>
      <c r="H2297" s="124"/>
      <c r="I2297" s="124"/>
      <c r="J2297" s="124"/>
      <c r="K2297" s="125"/>
      <c r="L2297" s="121"/>
      <c r="M2297" s="125"/>
      <c r="N2297" s="121"/>
      <c r="O2297" s="125"/>
      <c r="P2297" s="126"/>
      <c r="Q2297" s="127"/>
      <c r="R2297" s="127"/>
      <c r="S2297" s="127"/>
      <c r="T2297" s="127"/>
    </row>
    <row r="2298" spans="1:20" ht="13.8">
      <c r="A2298" s="118"/>
      <c r="B2298" s="119"/>
      <c r="C2298" s="118"/>
      <c r="D2298" s="118"/>
      <c r="E2298" s="118"/>
      <c r="F2298" s="124"/>
      <c r="G2298" s="124"/>
      <c r="H2298" s="124"/>
      <c r="I2298" s="124"/>
      <c r="J2298" s="124"/>
      <c r="K2298" s="125"/>
      <c r="L2298" s="121"/>
      <c r="M2298" s="125"/>
      <c r="N2298" s="121"/>
      <c r="O2298" s="125"/>
      <c r="P2298" s="126"/>
      <c r="Q2298" s="127"/>
      <c r="R2298" s="127"/>
      <c r="S2298" s="127"/>
      <c r="T2298" s="127"/>
    </row>
    <row r="2299" spans="1:20" ht="13.8">
      <c r="A2299" s="118"/>
      <c r="B2299" s="119"/>
      <c r="C2299" s="118"/>
      <c r="D2299" s="118"/>
      <c r="E2299" s="118"/>
      <c r="F2299" s="124"/>
      <c r="G2299" s="124"/>
      <c r="H2299" s="124"/>
      <c r="I2299" s="124"/>
      <c r="J2299" s="124"/>
      <c r="K2299" s="125"/>
      <c r="L2299" s="121"/>
      <c r="M2299" s="125"/>
      <c r="N2299" s="121"/>
      <c r="O2299" s="125"/>
      <c r="P2299" s="126"/>
      <c r="Q2299" s="127"/>
      <c r="R2299" s="127"/>
      <c r="S2299" s="127"/>
      <c r="T2299" s="127"/>
    </row>
    <row r="2300" spans="1:20" ht="13.8">
      <c r="A2300" s="118"/>
      <c r="B2300" s="119"/>
      <c r="C2300" s="118"/>
      <c r="D2300" s="118"/>
      <c r="E2300" s="118"/>
      <c r="F2300" s="124"/>
      <c r="G2300" s="124"/>
      <c r="H2300" s="124"/>
      <c r="I2300" s="124"/>
      <c r="J2300" s="124"/>
      <c r="K2300" s="125"/>
      <c r="L2300" s="121"/>
      <c r="M2300" s="125"/>
      <c r="N2300" s="121"/>
      <c r="O2300" s="125"/>
      <c r="P2300" s="126"/>
      <c r="Q2300" s="127"/>
      <c r="R2300" s="127"/>
      <c r="S2300" s="127"/>
      <c r="T2300" s="127"/>
    </row>
    <row r="2301" spans="1:20" ht="13.8">
      <c r="A2301" s="118"/>
      <c r="B2301" s="119"/>
      <c r="C2301" s="118"/>
      <c r="D2301" s="118"/>
      <c r="E2301" s="118"/>
      <c r="F2301" s="124"/>
      <c r="G2301" s="124"/>
      <c r="H2301" s="124"/>
      <c r="I2301" s="124"/>
      <c r="J2301" s="124"/>
      <c r="K2301" s="125"/>
      <c r="L2301" s="121"/>
      <c r="M2301" s="125"/>
      <c r="N2301" s="121"/>
      <c r="O2301" s="125"/>
      <c r="P2301" s="126"/>
      <c r="Q2301" s="127"/>
      <c r="R2301" s="127"/>
      <c r="S2301" s="127"/>
      <c r="T2301" s="127"/>
    </row>
    <row r="2302" spans="1:20" ht="13.8">
      <c r="A2302" s="118"/>
      <c r="B2302" s="119"/>
      <c r="C2302" s="118"/>
      <c r="D2302" s="118"/>
      <c r="E2302" s="118"/>
      <c r="F2302" s="124"/>
      <c r="G2302" s="124"/>
      <c r="H2302" s="124"/>
      <c r="I2302" s="124"/>
      <c r="J2302" s="124"/>
      <c r="K2302" s="125"/>
      <c r="L2302" s="121"/>
      <c r="M2302" s="125"/>
      <c r="N2302" s="121"/>
      <c r="O2302" s="125"/>
      <c r="P2302" s="126"/>
      <c r="Q2302" s="127"/>
      <c r="R2302" s="127"/>
      <c r="S2302" s="127"/>
      <c r="T2302" s="127"/>
    </row>
    <row r="2303" spans="1:20" ht="13.8">
      <c r="A2303" s="118"/>
      <c r="B2303" s="119"/>
      <c r="C2303" s="118"/>
      <c r="D2303" s="118"/>
      <c r="E2303" s="118"/>
      <c r="F2303" s="124"/>
      <c r="G2303" s="124"/>
      <c r="H2303" s="124"/>
      <c r="I2303" s="124"/>
      <c r="J2303" s="124"/>
      <c r="K2303" s="125"/>
      <c r="L2303" s="121"/>
      <c r="M2303" s="125"/>
      <c r="N2303" s="121"/>
      <c r="O2303" s="125"/>
      <c r="P2303" s="126"/>
      <c r="Q2303" s="127"/>
      <c r="R2303" s="127"/>
      <c r="S2303" s="127"/>
      <c r="T2303" s="127"/>
    </row>
    <row r="2304" spans="1:20" ht="13.8">
      <c r="A2304" s="118"/>
      <c r="B2304" s="119"/>
      <c r="C2304" s="118"/>
      <c r="D2304" s="118"/>
      <c r="E2304" s="118"/>
      <c r="F2304" s="124"/>
      <c r="G2304" s="124"/>
      <c r="H2304" s="124"/>
      <c r="I2304" s="124"/>
      <c r="J2304" s="124"/>
      <c r="K2304" s="125"/>
      <c r="L2304" s="121"/>
      <c r="M2304" s="125"/>
      <c r="N2304" s="121"/>
      <c r="O2304" s="125"/>
      <c r="P2304" s="126"/>
      <c r="Q2304" s="127"/>
      <c r="R2304" s="127"/>
      <c r="S2304" s="127"/>
      <c r="T2304" s="127"/>
    </row>
    <row r="2305" spans="1:20" ht="13.8">
      <c r="A2305" s="118"/>
      <c r="B2305" s="119"/>
      <c r="C2305" s="118"/>
      <c r="D2305" s="118"/>
      <c r="E2305" s="118"/>
      <c r="F2305" s="124"/>
      <c r="G2305" s="124"/>
      <c r="H2305" s="124"/>
      <c r="I2305" s="124"/>
      <c r="J2305" s="124"/>
      <c r="K2305" s="125"/>
      <c r="L2305" s="121"/>
      <c r="M2305" s="125"/>
      <c r="N2305" s="121"/>
      <c r="O2305" s="125"/>
      <c r="P2305" s="126"/>
      <c r="Q2305" s="127"/>
      <c r="R2305" s="127"/>
      <c r="S2305" s="127"/>
      <c r="T2305" s="127"/>
    </row>
    <row r="2306" spans="1:20" ht="13.8">
      <c r="A2306" s="118"/>
      <c r="B2306" s="119"/>
      <c r="C2306" s="118"/>
      <c r="D2306" s="118"/>
      <c r="E2306" s="118"/>
      <c r="F2306" s="124"/>
      <c r="G2306" s="124"/>
      <c r="H2306" s="124"/>
      <c r="I2306" s="124"/>
      <c r="J2306" s="124"/>
      <c r="K2306" s="125"/>
      <c r="L2306" s="121"/>
      <c r="M2306" s="125"/>
      <c r="N2306" s="121"/>
      <c r="O2306" s="125"/>
      <c r="P2306" s="126"/>
      <c r="Q2306" s="127"/>
      <c r="R2306" s="127"/>
      <c r="S2306" s="127"/>
      <c r="T2306" s="127"/>
    </row>
    <row r="2307" spans="1:20" ht="13.8">
      <c r="A2307" s="118"/>
      <c r="B2307" s="119"/>
      <c r="C2307" s="118"/>
      <c r="D2307" s="118"/>
      <c r="E2307" s="118"/>
      <c r="F2307" s="124"/>
      <c r="G2307" s="124"/>
      <c r="H2307" s="124"/>
      <c r="I2307" s="124"/>
      <c r="J2307" s="124"/>
      <c r="K2307" s="125"/>
      <c r="L2307" s="121"/>
      <c r="M2307" s="125"/>
      <c r="N2307" s="121"/>
      <c r="O2307" s="125"/>
      <c r="P2307" s="126"/>
      <c r="Q2307" s="127"/>
      <c r="R2307" s="127"/>
      <c r="S2307" s="127"/>
      <c r="T2307" s="127"/>
    </row>
    <row r="2308" spans="1:20" ht="13.8">
      <c r="A2308" s="118"/>
      <c r="B2308" s="119"/>
      <c r="C2308" s="118"/>
      <c r="D2308" s="118"/>
      <c r="E2308" s="118"/>
      <c r="F2308" s="124"/>
      <c r="G2308" s="124"/>
      <c r="H2308" s="124"/>
      <c r="I2308" s="124"/>
      <c r="J2308" s="124"/>
      <c r="K2308" s="125"/>
      <c r="L2308" s="121"/>
      <c r="M2308" s="125"/>
      <c r="N2308" s="121"/>
      <c r="O2308" s="125"/>
      <c r="P2308" s="126"/>
      <c r="Q2308" s="127"/>
      <c r="R2308" s="127"/>
      <c r="S2308" s="127"/>
      <c r="T2308" s="127"/>
    </row>
    <row r="2309" spans="1:20" ht="13.8">
      <c r="A2309" s="118"/>
      <c r="B2309" s="119"/>
      <c r="C2309" s="118"/>
      <c r="D2309" s="118"/>
      <c r="E2309" s="118"/>
      <c r="F2309" s="124"/>
      <c r="G2309" s="124"/>
      <c r="H2309" s="124"/>
      <c r="I2309" s="124"/>
      <c r="J2309" s="124"/>
      <c r="K2309" s="125"/>
      <c r="L2309" s="121"/>
      <c r="M2309" s="125"/>
      <c r="N2309" s="121"/>
      <c r="O2309" s="125"/>
      <c r="P2309" s="126"/>
      <c r="Q2309" s="127"/>
      <c r="R2309" s="127"/>
      <c r="S2309" s="127"/>
      <c r="T2309" s="127"/>
    </row>
    <row r="2310" spans="1:20" ht="13.8">
      <c r="A2310" s="118"/>
      <c r="B2310" s="119"/>
      <c r="C2310" s="118"/>
      <c r="D2310" s="118"/>
      <c r="E2310" s="118"/>
      <c r="F2310" s="124"/>
      <c r="G2310" s="124"/>
      <c r="H2310" s="124"/>
      <c r="I2310" s="124"/>
      <c r="J2310" s="124"/>
      <c r="K2310" s="125"/>
      <c r="L2310" s="121"/>
      <c r="M2310" s="125"/>
      <c r="N2310" s="121"/>
      <c r="O2310" s="125"/>
      <c r="P2310" s="126"/>
      <c r="Q2310" s="127"/>
      <c r="R2310" s="127"/>
      <c r="S2310" s="127"/>
      <c r="T2310" s="127"/>
    </row>
    <row r="2311" spans="1:20" ht="13.8">
      <c r="A2311" s="118"/>
      <c r="B2311" s="119"/>
      <c r="C2311" s="118"/>
      <c r="D2311" s="118"/>
      <c r="E2311" s="118"/>
      <c r="F2311" s="124"/>
      <c r="G2311" s="124"/>
      <c r="H2311" s="124"/>
      <c r="I2311" s="124"/>
      <c r="J2311" s="124"/>
      <c r="K2311" s="125"/>
      <c r="L2311" s="121"/>
      <c r="M2311" s="125"/>
      <c r="N2311" s="121"/>
      <c r="O2311" s="125"/>
      <c r="P2311" s="126"/>
      <c r="Q2311" s="127"/>
      <c r="R2311" s="127"/>
      <c r="S2311" s="127"/>
      <c r="T2311" s="127"/>
    </row>
    <row r="2312" spans="1:20" ht="13.8">
      <c r="A2312" s="118"/>
      <c r="B2312" s="119"/>
      <c r="C2312" s="118"/>
      <c r="D2312" s="118"/>
      <c r="E2312" s="118"/>
      <c r="F2312" s="124"/>
      <c r="G2312" s="124"/>
      <c r="H2312" s="124"/>
      <c r="I2312" s="124"/>
      <c r="J2312" s="124"/>
      <c r="K2312" s="125"/>
      <c r="L2312" s="121"/>
      <c r="M2312" s="125"/>
      <c r="N2312" s="121"/>
      <c r="O2312" s="125"/>
      <c r="P2312" s="126"/>
      <c r="Q2312" s="127"/>
      <c r="R2312" s="127"/>
      <c r="S2312" s="127"/>
      <c r="T2312" s="127"/>
    </row>
    <row r="2313" spans="1:20" ht="13.8">
      <c r="A2313" s="118"/>
      <c r="B2313" s="119"/>
      <c r="C2313" s="118"/>
      <c r="D2313" s="118"/>
      <c r="E2313" s="118"/>
      <c r="F2313" s="124"/>
      <c r="G2313" s="124"/>
      <c r="H2313" s="124"/>
      <c r="I2313" s="124"/>
      <c r="J2313" s="124"/>
      <c r="K2313" s="125"/>
      <c r="L2313" s="121"/>
      <c r="M2313" s="125"/>
      <c r="N2313" s="121"/>
      <c r="O2313" s="125"/>
      <c r="P2313" s="126"/>
      <c r="Q2313" s="127"/>
      <c r="R2313" s="127"/>
      <c r="S2313" s="127"/>
      <c r="T2313" s="127"/>
    </row>
    <row r="2314" spans="1:20" ht="13.8">
      <c r="A2314" s="118"/>
      <c r="B2314" s="119"/>
      <c r="C2314" s="118"/>
      <c r="D2314" s="118"/>
      <c r="E2314" s="118"/>
      <c r="F2314" s="124"/>
      <c r="G2314" s="124"/>
      <c r="H2314" s="124"/>
      <c r="I2314" s="124"/>
      <c r="J2314" s="124"/>
      <c r="K2314" s="125"/>
      <c r="L2314" s="121"/>
      <c r="M2314" s="125"/>
      <c r="N2314" s="121"/>
      <c r="O2314" s="125"/>
      <c r="P2314" s="126"/>
      <c r="Q2314" s="127"/>
      <c r="R2314" s="127"/>
      <c r="S2314" s="127"/>
      <c r="T2314" s="127"/>
    </row>
    <row r="2315" spans="1:20" ht="13.8">
      <c r="A2315" s="118"/>
      <c r="B2315" s="119"/>
      <c r="C2315" s="118"/>
      <c r="D2315" s="118"/>
      <c r="E2315" s="118"/>
      <c r="F2315" s="124"/>
      <c r="G2315" s="124"/>
      <c r="H2315" s="124"/>
      <c r="I2315" s="124"/>
      <c r="J2315" s="124"/>
      <c r="K2315" s="125"/>
      <c r="L2315" s="121"/>
      <c r="M2315" s="125"/>
      <c r="N2315" s="121"/>
      <c r="O2315" s="125"/>
      <c r="P2315" s="126"/>
      <c r="Q2315" s="127"/>
      <c r="R2315" s="127"/>
      <c r="S2315" s="127"/>
      <c r="T2315" s="127"/>
    </row>
    <row r="2316" spans="1:20" ht="13.8">
      <c r="A2316" s="118"/>
      <c r="B2316" s="119"/>
      <c r="C2316" s="118"/>
      <c r="D2316" s="118"/>
      <c r="E2316" s="118"/>
      <c r="F2316" s="124"/>
      <c r="G2316" s="124"/>
      <c r="H2316" s="124"/>
      <c r="I2316" s="124"/>
      <c r="J2316" s="124"/>
      <c r="K2316" s="125"/>
      <c r="L2316" s="121"/>
      <c r="M2316" s="125"/>
      <c r="N2316" s="121"/>
      <c r="O2316" s="125"/>
      <c r="P2316" s="126"/>
      <c r="Q2316" s="127"/>
      <c r="R2316" s="127"/>
      <c r="S2316" s="127"/>
      <c r="T2316" s="127"/>
    </row>
    <row r="2317" spans="1:20" ht="13.8">
      <c r="A2317" s="118"/>
      <c r="B2317" s="119"/>
      <c r="C2317" s="118"/>
      <c r="D2317" s="118"/>
      <c r="E2317" s="118"/>
      <c r="F2317" s="124"/>
      <c r="G2317" s="124"/>
      <c r="H2317" s="124"/>
      <c r="I2317" s="124"/>
      <c r="J2317" s="124"/>
      <c r="K2317" s="125"/>
      <c r="L2317" s="121"/>
      <c r="M2317" s="125"/>
      <c r="N2317" s="121"/>
      <c r="O2317" s="125"/>
      <c r="P2317" s="126"/>
      <c r="Q2317" s="127"/>
      <c r="R2317" s="127"/>
      <c r="S2317" s="127"/>
      <c r="T2317" s="127"/>
    </row>
    <row r="2318" spans="1:20" ht="13.8">
      <c r="A2318" s="118"/>
      <c r="B2318" s="119"/>
      <c r="C2318" s="118"/>
      <c r="D2318" s="118"/>
      <c r="E2318" s="118"/>
      <c r="F2318" s="124"/>
      <c r="G2318" s="124"/>
      <c r="H2318" s="124"/>
      <c r="I2318" s="124"/>
      <c r="J2318" s="124"/>
      <c r="K2318" s="125"/>
      <c r="L2318" s="121"/>
      <c r="M2318" s="125"/>
      <c r="N2318" s="121"/>
      <c r="O2318" s="125"/>
      <c r="P2318" s="126"/>
      <c r="Q2318" s="127"/>
      <c r="R2318" s="127"/>
      <c r="S2318" s="127"/>
      <c r="T2318" s="127"/>
    </row>
    <row r="2319" spans="1:20" ht="13.8">
      <c r="A2319" s="118"/>
      <c r="B2319" s="119"/>
      <c r="C2319" s="118"/>
      <c r="D2319" s="118"/>
      <c r="E2319" s="118"/>
      <c r="F2319" s="124"/>
      <c r="G2319" s="124"/>
      <c r="H2319" s="124"/>
      <c r="I2319" s="124"/>
      <c r="J2319" s="124"/>
      <c r="K2319" s="125"/>
      <c r="L2319" s="121"/>
      <c r="M2319" s="125"/>
      <c r="N2319" s="121"/>
      <c r="O2319" s="125"/>
      <c r="P2319" s="126"/>
      <c r="Q2319" s="127"/>
      <c r="R2319" s="127"/>
      <c r="S2319" s="127"/>
      <c r="T2319" s="127"/>
    </row>
    <row r="2320" spans="1:20" ht="13.8">
      <c r="A2320" s="118"/>
      <c r="B2320" s="119"/>
      <c r="C2320" s="118"/>
      <c r="D2320" s="118"/>
      <c r="E2320" s="118"/>
      <c r="F2320" s="124"/>
      <c r="G2320" s="124"/>
      <c r="H2320" s="124"/>
      <c r="I2320" s="124"/>
      <c r="J2320" s="124"/>
      <c r="K2320" s="125"/>
      <c r="L2320" s="121"/>
      <c r="M2320" s="125"/>
      <c r="N2320" s="121"/>
      <c r="O2320" s="125"/>
      <c r="P2320" s="126"/>
      <c r="Q2320" s="127"/>
      <c r="R2320" s="127"/>
      <c r="S2320" s="127"/>
      <c r="T2320" s="127"/>
    </row>
    <row r="2321" spans="1:20" ht="13.8">
      <c r="A2321" s="118"/>
      <c r="B2321" s="119"/>
      <c r="C2321" s="118"/>
      <c r="D2321" s="118"/>
      <c r="E2321" s="118"/>
      <c r="F2321" s="124"/>
      <c r="G2321" s="124"/>
      <c r="H2321" s="124"/>
      <c r="I2321" s="124"/>
      <c r="J2321" s="124"/>
      <c r="K2321" s="125"/>
      <c r="L2321" s="121"/>
      <c r="M2321" s="125"/>
      <c r="N2321" s="121"/>
      <c r="O2321" s="125"/>
      <c r="P2321" s="126"/>
      <c r="Q2321" s="127"/>
      <c r="R2321" s="127"/>
      <c r="S2321" s="127"/>
      <c r="T2321" s="127"/>
    </row>
    <row r="2322" spans="1:20" ht="13.8">
      <c r="A2322" s="118"/>
      <c r="B2322" s="119"/>
      <c r="C2322" s="118"/>
      <c r="D2322" s="118"/>
      <c r="E2322" s="118"/>
      <c r="F2322" s="124"/>
      <c r="G2322" s="124"/>
      <c r="H2322" s="124"/>
      <c r="I2322" s="124"/>
      <c r="J2322" s="124"/>
      <c r="K2322" s="125"/>
      <c r="L2322" s="121"/>
      <c r="M2322" s="125"/>
      <c r="N2322" s="121"/>
      <c r="O2322" s="125"/>
      <c r="P2322" s="126"/>
      <c r="Q2322" s="127"/>
      <c r="R2322" s="127"/>
      <c r="S2322" s="127"/>
      <c r="T2322" s="127"/>
    </row>
    <row r="2323" spans="1:20" ht="13.8">
      <c r="A2323" s="118"/>
      <c r="B2323" s="119"/>
      <c r="C2323" s="118"/>
      <c r="D2323" s="118"/>
      <c r="E2323" s="118"/>
      <c r="F2323" s="124"/>
      <c r="G2323" s="124"/>
      <c r="H2323" s="124"/>
      <c r="I2323" s="124"/>
      <c r="J2323" s="124"/>
      <c r="K2323" s="125"/>
      <c r="L2323" s="121"/>
      <c r="M2323" s="125"/>
      <c r="N2323" s="121"/>
      <c r="O2323" s="125"/>
      <c r="P2323" s="126"/>
      <c r="Q2323" s="127"/>
      <c r="R2323" s="127"/>
      <c r="S2323" s="127"/>
      <c r="T2323" s="127"/>
    </row>
    <row r="2324" spans="1:20" ht="13.8">
      <c r="A2324" s="118"/>
      <c r="B2324" s="119"/>
      <c r="C2324" s="118"/>
      <c r="D2324" s="118"/>
      <c r="E2324" s="118"/>
      <c r="F2324" s="124"/>
      <c r="G2324" s="124"/>
      <c r="H2324" s="124"/>
      <c r="I2324" s="124"/>
      <c r="J2324" s="124"/>
      <c r="K2324" s="125"/>
      <c r="L2324" s="121"/>
      <c r="M2324" s="125"/>
      <c r="N2324" s="121"/>
      <c r="O2324" s="125"/>
      <c r="P2324" s="126"/>
      <c r="Q2324" s="127"/>
      <c r="R2324" s="127"/>
      <c r="S2324" s="127"/>
      <c r="T2324" s="127"/>
    </row>
    <row r="2325" spans="1:20" ht="13.8">
      <c r="A2325" s="118"/>
      <c r="B2325" s="119"/>
      <c r="C2325" s="118"/>
      <c r="D2325" s="118"/>
      <c r="E2325" s="118"/>
      <c r="F2325" s="124"/>
      <c r="G2325" s="124"/>
      <c r="H2325" s="124"/>
      <c r="I2325" s="124"/>
      <c r="J2325" s="124"/>
      <c r="K2325" s="125"/>
      <c r="L2325" s="121"/>
      <c r="M2325" s="125"/>
      <c r="N2325" s="121"/>
      <c r="O2325" s="125"/>
      <c r="P2325" s="126"/>
      <c r="Q2325" s="127"/>
      <c r="R2325" s="127"/>
      <c r="S2325" s="127"/>
      <c r="T2325" s="127"/>
    </row>
    <row r="2326" spans="1:20" ht="13.8">
      <c r="A2326" s="118"/>
      <c r="B2326" s="119"/>
      <c r="C2326" s="118"/>
      <c r="D2326" s="118"/>
      <c r="E2326" s="118"/>
      <c r="F2326" s="124"/>
      <c r="G2326" s="124"/>
      <c r="H2326" s="124"/>
      <c r="I2326" s="124"/>
      <c r="J2326" s="124"/>
      <c r="K2326" s="125"/>
      <c r="L2326" s="121"/>
      <c r="M2326" s="125"/>
      <c r="N2326" s="121"/>
      <c r="O2326" s="125"/>
      <c r="P2326" s="126"/>
      <c r="Q2326" s="127"/>
      <c r="R2326" s="127"/>
      <c r="S2326" s="127"/>
      <c r="T2326" s="127"/>
    </row>
    <row r="2327" spans="1:20" ht="13.8">
      <c r="A2327" s="118"/>
      <c r="B2327" s="119"/>
      <c r="C2327" s="118"/>
      <c r="D2327" s="118"/>
      <c r="E2327" s="118"/>
      <c r="F2327" s="124"/>
      <c r="G2327" s="124"/>
      <c r="H2327" s="124"/>
      <c r="I2327" s="124"/>
      <c r="J2327" s="124"/>
      <c r="K2327" s="125"/>
      <c r="L2327" s="121"/>
      <c r="M2327" s="125"/>
      <c r="N2327" s="121"/>
      <c r="O2327" s="125"/>
      <c r="P2327" s="126"/>
      <c r="Q2327" s="127"/>
      <c r="R2327" s="127"/>
      <c r="S2327" s="127"/>
      <c r="T2327" s="127"/>
    </row>
    <row r="2328" spans="1:20" ht="13.8">
      <c r="A2328" s="118"/>
      <c r="B2328" s="119"/>
      <c r="C2328" s="118"/>
      <c r="D2328" s="118"/>
      <c r="E2328" s="118"/>
      <c r="F2328" s="124"/>
      <c r="G2328" s="124"/>
      <c r="H2328" s="124"/>
      <c r="I2328" s="124"/>
      <c r="J2328" s="124"/>
      <c r="K2328" s="125"/>
      <c r="L2328" s="121"/>
      <c r="M2328" s="125"/>
      <c r="N2328" s="121"/>
      <c r="O2328" s="125"/>
      <c r="P2328" s="126"/>
      <c r="Q2328" s="127"/>
      <c r="R2328" s="127"/>
      <c r="S2328" s="127"/>
      <c r="T2328" s="127"/>
    </row>
    <row r="2329" spans="1:20" ht="13.8">
      <c r="A2329" s="118"/>
      <c r="B2329" s="119"/>
      <c r="C2329" s="118"/>
      <c r="D2329" s="118"/>
      <c r="E2329" s="118"/>
      <c r="F2329" s="124"/>
      <c r="G2329" s="124"/>
      <c r="H2329" s="124"/>
      <c r="I2329" s="124"/>
      <c r="J2329" s="124"/>
      <c r="K2329" s="125"/>
      <c r="L2329" s="121"/>
      <c r="M2329" s="125"/>
      <c r="N2329" s="121"/>
      <c r="O2329" s="125"/>
      <c r="P2329" s="126"/>
      <c r="Q2329" s="127"/>
      <c r="R2329" s="127"/>
      <c r="S2329" s="127"/>
      <c r="T2329" s="127"/>
    </row>
    <row r="2330" spans="1:20" ht="13.8">
      <c r="A2330" s="118"/>
      <c r="B2330" s="119"/>
      <c r="C2330" s="118"/>
      <c r="D2330" s="118"/>
      <c r="E2330" s="118"/>
      <c r="F2330" s="124"/>
      <c r="G2330" s="124"/>
      <c r="H2330" s="124"/>
      <c r="I2330" s="124"/>
      <c r="J2330" s="124"/>
      <c r="K2330" s="125"/>
      <c r="L2330" s="121"/>
      <c r="M2330" s="125"/>
      <c r="N2330" s="121"/>
      <c r="O2330" s="125"/>
      <c r="P2330" s="126"/>
      <c r="Q2330" s="127"/>
      <c r="R2330" s="127"/>
      <c r="S2330" s="127"/>
      <c r="T2330" s="127"/>
    </row>
    <row r="2331" spans="1:20" ht="13.8">
      <c r="A2331" s="118"/>
      <c r="B2331" s="119"/>
      <c r="C2331" s="118"/>
      <c r="D2331" s="118"/>
      <c r="E2331" s="118"/>
      <c r="F2331" s="124"/>
      <c r="G2331" s="124"/>
      <c r="H2331" s="124"/>
      <c r="I2331" s="124"/>
      <c r="J2331" s="124"/>
      <c r="K2331" s="125"/>
      <c r="L2331" s="121"/>
      <c r="M2331" s="125"/>
      <c r="N2331" s="121"/>
      <c r="O2331" s="125"/>
      <c r="P2331" s="126"/>
      <c r="Q2331" s="127"/>
      <c r="R2331" s="127"/>
      <c r="S2331" s="127"/>
      <c r="T2331" s="127"/>
    </row>
    <row r="2332" spans="1:20" ht="13.8">
      <c r="A2332" s="118"/>
      <c r="B2332" s="119"/>
      <c r="C2332" s="118"/>
      <c r="D2332" s="118"/>
      <c r="E2332" s="118"/>
      <c r="F2332" s="124"/>
      <c r="G2332" s="124"/>
      <c r="H2332" s="124"/>
      <c r="I2332" s="124"/>
      <c r="J2332" s="124"/>
      <c r="K2332" s="125"/>
      <c r="L2332" s="121"/>
      <c r="M2332" s="125"/>
      <c r="N2332" s="121"/>
      <c r="O2332" s="125"/>
      <c r="P2332" s="126"/>
      <c r="Q2332" s="127"/>
      <c r="R2332" s="127"/>
      <c r="S2332" s="127"/>
      <c r="T2332" s="127"/>
    </row>
    <row r="2333" spans="1:20" ht="13.8">
      <c r="A2333" s="118"/>
      <c r="B2333" s="119"/>
      <c r="C2333" s="118"/>
      <c r="D2333" s="118"/>
      <c r="E2333" s="118"/>
      <c r="F2333" s="124"/>
      <c r="G2333" s="124"/>
      <c r="H2333" s="124"/>
      <c r="I2333" s="124"/>
      <c r="J2333" s="124"/>
      <c r="K2333" s="125"/>
      <c r="L2333" s="121"/>
      <c r="M2333" s="125"/>
      <c r="N2333" s="121"/>
      <c r="O2333" s="125"/>
      <c r="P2333" s="126"/>
      <c r="Q2333" s="127"/>
      <c r="R2333" s="127"/>
      <c r="S2333" s="127"/>
      <c r="T2333" s="127"/>
    </row>
    <row r="2334" spans="1:20" ht="13.8">
      <c r="A2334" s="118"/>
      <c r="B2334" s="119"/>
      <c r="C2334" s="118"/>
      <c r="D2334" s="118"/>
      <c r="E2334" s="118"/>
      <c r="F2334" s="124"/>
      <c r="G2334" s="124"/>
      <c r="H2334" s="124"/>
      <c r="I2334" s="124"/>
      <c r="J2334" s="124"/>
      <c r="K2334" s="125"/>
      <c r="L2334" s="121"/>
      <c r="M2334" s="125"/>
      <c r="N2334" s="121"/>
      <c r="O2334" s="125"/>
      <c r="P2334" s="126"/>
      <c r="Q2334" s="127"/>
      <c r="R2334" s="127"/>
      <c r="S2334" s="127"/>
      <c r="T2334" s="127"/>
    </row>
    <row r="2335" spans="1:20" ht="13.8">
      <c r="A2335" s="118"/>
      <c r="B2335" s="119"/>
      <c r="C2335" s="118"/>
      <c r="D2335" s="118"/>
      <c r="E2335" s="118"/>
      <c r="F2335" s="124"/>
      <c r="G2335" s="124"/>
      <c r="H2335" s="124"/>
      <c r="I2335" s="124"/>
      <c r="J2335" s="124"/>
      <c r="K2335" s="125"/>
      <c r="L2335" s="121"/>
      <c r="M2335" s="125"/>
      <c r="N2335" s="121"/>
      <c r="O2335" s="125"/>
      <c r="P2335" s="126"/>
      <c r="Q2335" s="127"/>
      <c r="R2335" s="127"/>
      <c r="S2335" s="127"/>
      <c r="T2335" s="127"/>
    </row>
    <row r="2336" spans="1:20" ht="13.8">
      <c r="A2336" s="118"/>
      <c r="B2336" s="119"/>
      <c r="C2336" s="118"/>
      <c r="D2336" s="118"/>
      <c r="E2336" s="118"/>
      <c r="F2336" s="124"/>
      <c r="G2336" s="124"/>
      <c r="H2336" s="124"/>
      <c r="I2336" s="124"/>
      <c r="J2336" s="124"/>
      <c r="K2336" s="125"/>
      <c r="L2336" s="121"/>
      <c r="M2336" s="125"/>
      <c r="N2336" s="121"/>
      <c r="O2336" s="125"/>
      <c r="P2336" s="126"/>
      <c r="Q2336" s="127"/>
      <c r="R2336" s="127"/>
      <c r="S2336" s="127"/>
      <c r="T2336" s="127"/>
    </row>
    <row r="2337" spans="1:20" ht="13.8">
      <c r="A2337" s="118"/>
      <c r="B2337" s="119"/>
      <c r="C2337" s="118"/>
      <c r="D2337" s="118"/>
      <c r="E2337" s="118"/>
      <c r="F2337" s="124"/>
      <c r="G2337" s="124"/>
      <c r="H2337" s="124"/>
      <c r="I2337" s="124"/>
      <c r="J2337" s="124"/>
      <c r="K2337" s="125"/>
      <c r="L2337" s="121"/>
      <c r="M2337" s="125"/>
      <c r="N2337" s="121"/>
      <c r="O2337" s="125"/>
      <c r="P2337" s="126"/>
      <c r="Q2337" s="127"/>
      <c r="R2337" s="127"/>
      <c r="S2337" s="127"/>
      <c r="T2337" s="127"/>
    </row>
    <row r="2338" spans="1:20" ht="13.8">
      <c r="A2338" s="118"/>
      <c r="B2338" s="119"/>
      <c r="C2338" s="118"/>
      <c r="D2338" s="118"/>
      <c r="E2338" s="118"/>
      <c r="F2338" s="124"/>
      <c r="G2338" s="124"/>
      <c r="H2338" s="124"/>
      <c r="I2338" s="124"/>
      <c r="J2338" s="124"/>
      <c r="K2338" s="125"/>
      <c r="L2338" s="121"/>
      <c r="M2338" s="125"/>
      <c r="N2338" s="121"/>
      <c r="O2338" s="125"/>
      <c r="P2338" s="126"/>
      <c r="Q2338" s="127"/>
      <c r="R2338" s="127"/>
      <c r="S2338" s="127"/>
      <c r="T2338" s="127"/>
    </row>
    <row r="2339" spans="1:20" ht="13.8">
      <c r="A2339" s="118"/>
      <c r="B2339" s="119"/>
      <c r="C2339" s="118"/>
      <c r="D2339" s="118"/>
      <c r="E2339" s="118"/>
      <c r="F2339" s="124"/>
      <c r="G2339" s="124"/>
      <c r="H2339" s="124"/>
      <c r="I2339" s="124"/>
      <c r="J2339" s="124"/>
      <c r="K2339" s="125"/>
      <c r="L2339" s="121"/>
      <c r="M2339" s="125"/>
      <c r="N2339" s="121"/>
      <c r="O2339" s="125"/>
      <c r="P2339" s="126"/>
      <c r="Q2339" s="127"/>
      <c r="R2339" s="127"/>
      <c r="S2339" s="127"/>
      <c r="T2339" s="127"/>
    </row>
    <row r="2340" spans="1:20" ht="13.8">
      <c r="A2340" s="118"/>
      <c r="B2340" s="119"/>
      <c r="C2340" s="118"/>
      <c r="D2340" s="118"/>
      <c r="E2340" s="118"/>
      <c r="F2340" s="124"/>
      <c r="G2340" s="124"/>
      <c r="H2340" s="124"/>
      <c r="I2340" s="124"/>
      <c r="J2340" s="124"/>
      <c r="K2340" s="125"/>
      <c r="L2340" s="121"/>
      <c r="M2340" s="125"/>
      <c r="N2340" s="121"/>
      <c r="O2340" s="125"/>
      <c r="P2340" s="126"/>
      <c r="Q2340" s="127"/>
      <c r="R2340" s="127"/>
      <c r="S2340" s="127"/>
      <c r="T2340" s="127"/>
    </row>
    <row r="2341" spans="1:20" ht="13.8">
      <c r="A2341" s="118"/>
      <c r="B2341" s="119"/>
      <c r="C2341" s="118"/>
      <c r="D2341" s="118"/>
      <c r="E2341" s="118"/>
      <c r="F2341" s="124"/>
      <c r="G2341" s="124"/>
      <c r="H2341" s="124"/>
      <c r="I2341" s="124"/>
      <c r="J2341" s="124"/>
      <c r="K2341" s="125"/>
      <c r="L2341" s="121"/>
      <c r="M2341" s="125"/>
      <c r="N2341" s="121"/>
      <c r="O2341" s="125"/>
      <c r="P2341" s="126"/>
      <c r="Q2341" s="127"/>
      <c r="R2341" s="127"/>
      <c r="S2341" s="127"/>
      <c r="T2341" s="127"/>
    </row>
    <row r="2342" spans="1:20" ht="13.8">
      <c r="A2342" s="118"/>
      <c r="B2342" s="119"/>
      <c r="C2342" s="118"/>
      <c r="D2342" s="118"/>
      <c r="E2342" s="118"/>
      <c r="F2342" s="124"/>
      <c r="G2342" s="124"/>
      <c r="H2342" s="124"/>
      <c r="I2342" s="124"/>
      <c r="J2342" s="124"/>
      <c r="K2342" s="125"/>
      <c r="L2342" s="121"/>
      <c r="M2342" s="125"/>
      <c r="N2342" s="121"/>
      <c r="O2342" s="125"/>
      <c r="P2342" s="126"/>
      <c r="Q2342" s="127"/>
      <c r="R2342" s="127"/>
      <c r="S2342" s="127"/>
      <c r="T2342" s="127"/>
    </row>
    <row r="2343" spans="1:20" ht="13.8">
      <c r="A2343" s="118"/>
      <c r="B2343" s="119"/>
      <c r="C2343" s="118"/>
      <c r="D2343" s="118"/>
      <c r="E2343" s="118"/>
      <c r="F2343" s="124"/>
      <c r="G2343" s="124"/>
      <c r="H2343" s="124"/>
      <c r="I2343" s="124"/>
      <c r="J2343" s="124"/>
      <c r="K2343" s="125"/>
      <c r="L2343" s="121"/>
      <c r="M2343" s="125"/>
      <c r="N2343" s="121"/>
      <c r="O2343" s="125"/>
      <c r="P2343" s="126"/>
      <c r="Q2343" s="127"/>
      <c r="R2343" s="127"/>
      <c r="S2343" s="127"/>
      <c r="T2343" s="127"/>
    </row>
    <row r="2344" spans="1:20" ht="13.8">
      <c r="A2344" s="118"/>
      <c r="B2344" s="119"/>
      <c r="C2344" s="118"/>
      <c r="D2344" s="118"/>
      <c r="E2344" s="118"/>
      <c r="F2344" s="124"/>
      <c r="G2344" s="124"/>
      <c r="H2344" s="124"/>
      <c r="I2344" s="124"/>
      <c r="J2344" s="124"/>
      <c r="K2344" s="125"/>
      <c r="L2344" s="121"/>
      <c r="M2344" s="125"/>
      <c r="N2344" s="121"/>
      <c r="O2344" s="125"/>
      <c r="P2344" s="126"/>
      <c r="Q2344" s="127"/>
      <c r="R2344" s="127"/>
      <c r="S2344" s="127"/>
      <c r="T2344" s="127"/>
    </row>
    <row r="2345" spans="1:20" ht="13.8">
      <c r="A2345" s="118"/>
      <c r="B2345" s="119"/>
      <c r="C2345" s="118"/>
      <c r="D2345" s="118"/>
      <c r="E2345" s="118"/>
      <c r="F2345" s="124"/>
      <c r="G2345" s="124"/>
      <c r="H2345" s="124"/>
      <c r="I2345" s="124"/>
      <c r="J2345" s="124"/>
      <c r="K2345" s="125"/>
      <c r="L2345" s="121"/>
      <c r="M2345" s="125"/>
      <c r="N2345" s="121"/>
      <c r="O2345" s="125"/>
      <c r="P2345" s="126"/>
      <c r="Q2345" s="127"/>
      <c r="R2345" s="127"/>
      <c r="S2345" s="127"/>
      <c r="T2345" s="127"/>
    </row>
    <row r="2346" spans="1:20" ht="13.8">
      <c r="A2346" s="118"/>
      <c r="B2346" s="119"/>
      <c r="C2346" s="118"/>
      <c r="D2346" s="118"/>
      <c r="E2346" s="118"/>
      <c r="F2346" s="124"/>
      <c r="G2346" s="124"/>
      <c r="H2346" s="124"/>
      <c r="I2346" s="124"/>
      <c r="J2346" s="124"/>
      <c r="K2346" s="125"/>
      <c r="L2346" s="121"/>
      <c r="M2346" s="125"/>
      <c r="N2346" s="121"/>
      <c r="O2346" s="125"/>
      <c r="P2346" s="126"/>
      <c r="Q2346" s="127"/>
      <c r="R2346" s="127"/>
      <c r="S2346" s="127"/>
      <c r="T2346" s="127"/>
    </row>
    <row r="2347" spans="1:20" ht="13.8">
      <c r="A2347" s="118"/>
      <c r="B2347" s="119"/>
      <c r="C2347" s="118"/>
      <c r="D2347" s="118"/>
      <c r="E2347" s="118"/>
      <c r="F2347" s="124"/>
      <c r="G2347" s="124"/>
      <c r="H2347" s="124"/>
      <c r="I2347" s="124"/>
      <c r="J2347" s="124"/>
      <c r="K2347" s="125"/>
      <c r="L2347" s="121"/>
      <c r="M2347" s="125"/>
      <c r="N2347" s="121"/>
      <c r="O2347" s="125"/>
      <c r="P2347" s="126"/>
      <c r="Q2347" s="127"/>
      <c r="R2347" s="127"/>
      <c r="S2347" s="127"/>
      <c r="T2347" s="127"/>
    </row>
    <row r="2348" spans="1:20" ht="13.8">
      <c r="A2348" s="118"/>
      <c r="B2348" s="119"/>
      <c r="C2348" s="118"/>
      <c r="D2348" s="118"/>
      <c r="E2348" s="118"/>
      <c r="F2348" s="124"/>
      <c r="G2348" s="124"/>
      <c r="H2348" s="124"/>
      <c r="I2348" s="124"/>
      <c r="J2348" s="124"/>
      <c r="K2348" s="125"/>
      <c r="L2348" s="121"/>
      <c r="M2348" s="125"/>
      <c r="N2348" s="121"/>
      <c r="O2348" s="125"/>
      <c r="P2348" s="126"/>
      <c r="Q2348" s="127"/>
      <c r="R2348" s="127"/>
      <c r="S2348" s="127"/>
      <c r="T2348" s="127"/>
    </row>
    <row r="2349" spans="1:20" ht="13.8">
      <c r="A2349" s="118"/>
      <c r="B2349" s="119"/>
      <c r="C2349" s="118"/>
      <c r="D2349" s="118"/>
      <c r="E2349" s="118"/>
      <c r="F2349" s="124"/>
      <c r="G2349" s="124"/>
      <c r="H2349" s="124"/>
      <c r="I2349" s="124"/>
      <c r="J2349" s="124"/>
      <c r="K2349" s="125"/>
      <c r="L2349" s="121"/>
      <c r="M2349" s="125"/>
      <c r="N2349" s="121"/>
      <c r="O2349" s="125"/>
      <c r="P2349" s="126"/>
      <c r="Q2349" s="127"/>
      <c r="R2349" s="127"/>
      <c r="S2349" s="127"/>
      <c r="T2349" s="127"/>
    </row>
    <row r="2350" spans="1:20" ht="13.8">
      <c r="A2350" s="118"/>
      <c r="B2350" s="119"/>
      <c r="C2350" s="118"/>
      <c r="D2350" s="118"/>
      <c r="E2350" s="118"/>
      <c r="F2350" s="124"/>
      <c r="G2350" s="124"/>
      <c r="H2350" s="124"/>
      <c r="I2350" s="124"/>
      <c r="J2350" s="124"/>
      <c r="K2350" s="125"/>
      <c r="L2350" s="121"/>
      <c r="M2350" s="125"/>
      <c r="N2350" s="121"/>
      <c r="O2350" s="125"/>
      <c r="P2350" s="126"/>
      <c r="Q2350" s="127"/>
      <c r="R2350" s="127"/>
      <c r="S2350" s="127"/>
      <c r="T2350" s="127"/>
    </row>
    <row r="2351" spans="1:20" ht="13.8">
      <c r="A2351" s="118"/>
      <c r="B2351" s="119"/>
      <c r="C2351" s="118"/>
      <c r="D2351" s="118"/>
      <c r="E2351" s="118"/>
      <c r="F2351" s="124"/>
      <c r="G2351" s="124"/>
      <c r="H2351" s="124"/>
      <c r="I2351" s="124"/>
      <c r="J2351" s="124"/>
      <c r="K2351" s="125"/>
      <c r="L2351" s="121"/>
      <c r="M2351" s="125"/>
      <c r="N2351" s="121"/>
      <c r="O2351" s="125"/>
      <c r="P2351" s="126"/>
      <c r="Q2351" s="127"/>
      <c r="R2351" s="127"/>
      <c r="S2351" s="127"/>
      <c r="T2351" s="127"/>
    </row>
    <row r="2352" spans="1:20" ht="13.8">
      <c r="A2352" s="118"/>
      <c r="B2352" s="119"/>
      <c r="C2352" s="118"/>
      <c r="D2352" s="118"/>
      <c r="E2352" s="118"/>
      <c r="F2352" s="124"/>
      <c r="G2352" s="124"/>
      <c r="H2352" s="124"/>
      <c r="I2352" s="124"/>
      <c r="J2352" s="124"/>
      <c r="K2352" s="125"/>
      <c r="L2352" s="121"/>
      <c r="M2352" s="125"/>
      <c r="N2352" s="121"/>
      <c r="O2352" s="125"/>
      <c r="P2352" s="126"/>
      <c r="Q2352" s="127"/>
      <c r="R2352" s="127"/>
      <c r="S2352" s="127"/>
      <c r="T2352" s="127"/>
    </row>
    <row r="2353" spans="1:20" ht="13.8">
      <c r="A2353" s="118"/>
      <c r="B2353" s="119"/>
      <c r="C2353" s="118"/>
      <c r="D2353" s="118"/>
      <c r="E2353" s="118"/>
      <c r="F2353" s="124"/>
      <c r="G2353" s="124"/>
      <c r="H2353" s="124"/>
      <c r="I2353" s="124"/>
      <c r="J2353" s="124"/>
      <c r="K2353" s="125"/>
      <c r="L2353" s="121"/>
      <c r="M2353" s="125"/>
      <c r="N2353" s="121"/>
      <c r="O2353" s="125"/>
      <c r="P2353" s="126"/>
      <c r="Q2353" s="127"/>
      <c r="R2353" s="127"/>
      <c r="S2353" s="127"/>
      <c r="T2353" s="127"/>
    </row>
    <row r="2354" spans="1:20" ht="13.8">
      <c r="A2354" s="118"/>
      <c r="B2354" s="119"/>
      <c r="C2354" s="118"/>
      <c r="D2354" s="118"/>
      <c r="E2354" s="118"/>
      <c r="F2354" s="124"/>
      <c r="G2354" s="124"/>
      <c r="H2354" s="124"/>
      <c r="I2354" s="124"/>
      <c r="J2354" s="124"/>
      <c r="K2354" s="125"/>
      <c r="L2354" s="121"/>
      <c r="M2354" s="125"/>
      <c r="N2354" s="121"/>
      <c r="O2354" s="125"/>
      <c r="P2354" s="126"/>
      <c r="Q2354" s="127"/>
      <c r="R2354" s="127"/>
      <c r="S2354" s="127"/>
      <c r="T2354" s="127"/>
    </row>
    <row r="2355" spans="1:20" ht="13.8">
      <c r="A2355" s="118"/>
      <c r="B2355" s="119"/>
      <c r="C2355" s="118"/>
      <c r="D2355" s="118"/>
      <c r="E2355" s="118"/>
      <c r="F2355" s="124"/>
      <c r="G2355" s="124"/>
      <c r="H2355" s="124"/>
      <c r="I2355" s="124"/>
      <c r="J2355" s="124"/>
      <c r="K2355" s="125"/>
      <c r="L2355" s="121"/>
      <c r="M2355" s="125"/>
      <c r="N2355" s="121"/>
      <c r="O2355" s="125"/>
      <c r="P2355" s="126"/>
      <c r="Q2355" s="127"/>
      <c r="R2355" s="127"/>
      <c r="S2355" s="127"/>
      <c r="T2355" s="127"/>
    </row>
    <row r="2356" spans="1:20" ht="13.8">
      <c r="A2356" s="118"/>
      <c r="B2356" s="119"/>
      <c r="C2356" s="118"/>
      <c r="D2356" s="118"/>
      <c r="E2356" s="118"/>
      <c r="F2356" s="124"/>
      <c r="G2356" s="124"/>
      <c r="H2356" s="124"/>
      <c r="I2356" s="124"/>
      <c r="J2356" s="124"/>
      <c r="K2356" s="125"/>
      <c r="L2356" s="121"/>
      <c r="M2356" s="125"/>
      <c r="N2356" s="121"/>
      <c r="O2356" s="125"/>
      <c r="P2356" s="126"/>
      <c r="Q2356" s="127"/>
      <c r="R2356" s="127"/>
      <c r="S2356" s="127"/>
      <c r="T2356" s="127"/>
    </row>
    <row r="2357" spans="1:20" ht="13.8">
      <c r="A2357" s="118"/>
      <c r="B2357" s="119"/>
      <c r="C2357" s="118"/>
      <c r="D2357" s="118"/>
      <c r="E2357" s="118"/>
      <c r="F2357" s="124"/>
      <c r="G2357" s="124"/>
      <c r="H2357" s="124"/>
      <c r="I2357" s="124"/>
      <c r="J2357" s="124"/>
      <c r="K2357" s="125"/>
      <c r="L2357" s="121"/>
      <c r="M2357" s="125"/>
      <c r="N2357" s="121"/>
      <c r="O2357" s="125"/>
      <c r="P2357" s="126"/>
      <c r="Q2357" s="127"/>
      <c r="R2357" s="127"/>
      <c r="S2357" s="127"/>
      <c r="T2357" s="127"/>
    </row>
    <row r="2358" spans="1:20" ht="13.8">
      <c r="A2358" s="118"/>
      <c r="B2358" s="119"/>
      <c r="C2358" s="118"/>
      <c r="D2358" s="118"/>
      <c r="E2358" s="118"/>
      <c r="F2358" s="124"/>
      <c r="G2358" s="124"/>
      <c r="H2358" s="124"/>
      <c r="I2358" s="124"/>
      <c r="J2358" s="124"/>
      <c r="K2358" s="125"/>
      <c r="L2358" s="121"/>
      <c r="M2358" s="125"/>
      <c r="N2358" s="121"/>
      <c r="O2358" s="125"/>
      <c r="P2358" s="126"/>
      <c r="Q2358" s="127"/>
      <c r="R2358" s="127"/>
      <c r="S2358" s="127"/>
      <c r="T2358" s="127"/>
    </row>
    <row r="2359" spans="1:20" ht="13.8">
      <c r="A2359" s="118"/>
      <c r="B2359" s="119"/>
      <c r="C2359" s="118"/>
      <c r="D2359" s="118"/>
      <c r="E2359" s="118"/>
      <c r="F2359" s="124"/>
      <c r="G2359" s="124"/>
      <c r="H2359" s="124"/>
      <c r="I2359" s="124"/>
      <c r="J2359" s="124"/>
      <c r="K2359" s="125"/>
      <c r="L2359" s="121"/>
      <c r="M2359" s="125"/>
      <c r="N2359" s="121"/>
      <c r="O2359" s="125"/>
      <c r="P2359" s="126"/>
      <c r="Q2359" s="127"/>
      <c r="R2359" s="127"/>
      <c r="S2359" s="127"/>
      <c r="T2359" s="127"/>
    </row>
    <row r="2360" spans="1:20" ht="13.8">
      <c r="A2360" s="118"/>
      <c r="B2360" s="119"/>
      <c r="C2360" s="118"/>
      <c r="D2360" s="118"/>
      <c r="E2360" s="118"/>
      <c r="F2360" s="124"/>
      <c r="G2360" s="124"/>
      <c r="H2360" s="124"/>
      <c r="I2360" s="124"/>
      <c r="J2360" s="124"/>
      <c r="K2360" s="125"/>
      <c r="L2360" s="121"/>
      <c r="M2360" s="125"/>
      <c r="N2360" s="121"/>
      <c r="O2360" s="125"/>
      <c r="P2360" s="126"/>
      <c r="Q2360" s="127"/>
      <c r="R2360" s="127"/>
      <c r="S2360" s="127"/>
      <c r="T2360" s="127"/>
    </row>
    <row r="2361" spans="1:20" ht="13.8">
      <c r="A2361" s="118"/>
      <c r="B2361" s="119"/>
      <c r="C2361" s="118"/>
      <c r="D2361" s="118"/>
      <c r="E2361" s="118"/>
      <c r="F2361" s="124"/>
      <c r="G2361" s="124"/>
      <c r="H2361" s="124"/>
      <c r="I2361" s="124"/>
      <c r="J2361" s="124"/>
      <c r="K2361" s="125"/>
      <c r="L2361" s="121"/>
      <c r="M2361" s="125"/>
      <c r="N2361" s="121"/>
      <c r="O2361" s="125"/>
      <c r="P2361" s="126"/>
      <c r="Q2361" s="127"/>
      <c r="R2361" s="127"/>
      <c r="S2361" s="127"/>
      <c r="T2361" s="127"/>
    </row>
    <row r="2362" spans="1:20" ht="13.8">
      <c r="A2362" s="118"/>
      <c r="B2362" s="119"/>
      <c r="C2362" s="118"/>
      <c r="D2362" s="118"/>
      <c r="E2362" s="118"/>
      <c r="F2362" s="124"/>
      <c r="G2362" s="124"/>
      <c r="H2362" s="124"/>
      <c r="I2362" s="124"/>
      <c r="J2362" s="124"/>
      <c r="K2362" s="125"/>
      <c r="L2362" s="121"/>
      <c r="M2362" s="125"/>
      <c r="N2362" s="121"/>
      <c r="O2362" s="125"/>
      <c r="P2362" s="126"/>
      <c r="Q2362" s="127"/>
      <c r="R2362" s="127"/>
      <c r="S2362" s="127"/>
      <c r="T2362" s="127"/>
    </row>
    <row r="2363" spans="1:20" ht="13.8">
      <c r="A2363" s="118"/>
      <c r="B2363" s="119"/>
      <c r="C2363" s="118"/>
      <c r="D2363" s="118"/>
      <c r="E2363" s="118"/>
      <c r="F2363" s="124"/>
      <c r="G2363" s="124"/>
      <c r="H2363" s="124"/>
      <c r="I2363" s="124"/>
      <c r="J2363" s="124"/>
      <c r="K2363" s="125"/>
      <c r="L2363" s="121"/>
      <c r="M2363" s="125"/>
      <c r="N2363" s="121"/>
      <c r="O2363" s="125"/>
      <c r="P2363" s="126"/>
      <c r="Q2363" s="127"/>
      <c r="R2363" s="127"/>
      <c r="S2363" s="127"/>
      <c r="T2363" s="127"/>
    </row>
    <row r="2364" spans="1:20" ht="13.8">
      <c r="A2364" s="118"/>
      <c r="B2364" s="119"/>
      <c r="C2364" s="118"/>
      <c r="D2364" s="118"/>
      <c r="E2364" s="118"/>
      <c r="F2364" s="124"/>
      <c r="G2364" s="124"/>
      <c r="H2364" s="124"/>
      <c r="I2364" s="124"/>
      <c r="J2364" s="124"/>
      <c r="K2364" s="125"/>
      <c r="L2364" s="121"/>
      <c r="M2364" s="125"/>
      <c r="N2364" s="121"/>
      <c r="O2364" s="125"/>
      <c r="P2364" s="126"/>
      <c r="Q2364" s="127"/>
      <c r="R2364" s="127"/>
      <c r="S2364" s="127"/>
      <c r="T2364" s="127"/>
    </row>
    <row r="2365" spans="1:20" ht="13.8">
      <c r="A2365" s="118"/>
      <c r="B2365" s="119"/>
      <c r="C2365" s="118"/>
      <c r="D2365" s="118"/>
      <c r="E2365" s="118"/>
      <c r="F2365" s="124"/>
      <c r="G2365" s="124"/>
      <c r="H2365" s="124"/>
      <c r="I2365" s="124"/>
      <c r="J2365" s="124"/>
      <c r="K2365" s="125"/>
      <c r="L2365" s="121"/>
      <c r="M2365" s="125"/>
      <c r="N2365" s="121"/>
      <c r="O2365" s="125"/>
      <c r="P2365" s="126"/>
      <c r="Q2365" s="127"/>
      <c r="R2365" s="127"/>
      <c r="S2365" s="127"/>
      <c r="T2365" s="127"/>
    </row>
    <row r="2366" spans="1:20" ht="13.8">
      <c r="A2366" s="118"/>
      <c r="B2366" s="119"/>
      <c r="C2366" s="118"/>
      <c r="D2366" s="118"/>
      <c r="E2366" s="118"/>
      <c r="F2366" s="124"/>
      <c r="G2366" s="124"/>
      <c r="H2366" s="124"/>
      <c r="I2366" s="124"/>
      <c r="J2366" s="124"/>
      <c r="K2366" s="125"/>
      <c r="L2366" s="121"/>
      <c r="M2366" s="125"/>
      <c r="N2366" s="121"/>
      <c r="O2366" s="125"/>
      <c r="P2366" s="126"/>
      <c r="Q2366" s="127"/>
      <c r="R2366" s="127"/>
      <c r="S2366" s="127"/>
      <c r="T2366" s="127"/>
    </row>
    <row r="2367" spans="1:20" ht="13.8">
      <c r="A2367" s="118"/>
      <c r="B2367" s="119"/>
      <c r="C2367" s="118"/>
      <c r="D2367" s="118"/>
      <c r="E2367" s="118"/>
      <c r="F2367" s="124"/>
      <c r="G2367" s="124"/>
      <c r="H2367" s="124"/>
      <c r="I2367" s="124"/>
      <c r="J2367" s="124"/>
      <c r="K2367" s="125"/>
      <c r="L2367" s="121"/>
      <c r="M2367" s="125"/>
      <c r="N2367" s="121"/>
      <c r="O2367" s="125"/>
      <c r="P2367" s="126"/>
      <c r="Q2367" s="127"/>
      <c r="R2367" s="127"/>
      <c r="S2367" s="127"/>
      <c r="T2367" s="127"/>
    </row>
    <row r="2368" spans="1:20" ht="13.8">
      <c r="A2368" s="118"/>
      <c r="B2368" s="119"/>
      <c r="C2368" s="118"/>
      <c r="D2368" s="118"/>
      <c r="E2368" s="118"/>
      <c r="F2368" s="124"/>
      <c r="G2368" s="124"/>
      <c r="H2368" s="124"/>
      <c r="I2368" s="124"/>
      <c r="J2368" s="124"/>
      <c r="K2368" s="125"/>
      <c r="L2368" s="121"/>
      <c r="M2368" s="125"/>
      <c r="N2368" s="121"/>
      <c r="O2368" s="125"/>
      <c r="P2368" s="126"/>
      <c r="Q2368" s="127"/>
      <c r="R2368" s="127"/>
      <c r="S2368" s="127"/>
      <c r="T2368" s="127"/>
    </row>
    <row r="2369" spans="1:20" ht="13.8">
      <c r="A2369" s="118"/>
      <c r="B2369" s="119"/>
      <c r="C2369" s="118"/>
      <c r="D2369" s="118"/>
      <c r="E2369" s="118"/>
      <c r="F2369" s="124"/>
      <c r="G2369" s="124"/>
      <c r="H2369" s="124"/>
      <c r="I2369" s="124"/>
      <c r="J2369" s="124"/>
      <c r="K2369" s="125"/>
      <c r="L2369" s="121"/>
      <c r="M2369" s="125"/>
      <c r="N2369" s="121"/>
      <c r="O2369" s="125"/>
      <c r="P2369" s="126"/>
      <c r="Q2369" s="127"/>
      <c r="R2369" s="127"/>
      <c r="S2369" s="127"/>
      <c r="T2369" s="127"/>
    </row>
    <row r="2370" spans="1:20" ht="13.8">
      <c r="A2370" s="118"/>
      <c r="B2370" s="119"/>
      <c r="C2370" s="118"/>
      <c r="D2370" s="118"/>
      <c r="E2370" s="118"/>
      <c r="F2370" s="124"/>
      <c r="G2370" s="124"/>
      <c r="H2370" s="124"/>
      <c r="I2370" s="124"/>
      <c r="J2370" s="124"/>
      <c r="K2370" s="125"/>
      <c r="L2370" s="121"/>
      <c r="M2370" s="125"/>
      <c r="N2370" s="121"/>
      <c r="O2370" s="125"/>
      <c r="P2370" s="126"/>
      <c r="Q2370" s="127"/>
      <c r="R2370" s="127"/>
      <c r="S2370" s="127"/>
      <c r="T2370" s="127"/>
    </row>
    <row r="2371" spans="1:20" ht="13.8">
      <c r="A2371" s="118"/>
      <c r="B2371" s="119"/>
      <c r="C2371" s="118"/>
      <c r="D2371" s="118"/>
      <c r="E2371" s="118"/>
      <c r="F2371" s="124"/>
      <c r="G2371" s="124"/>
      <c r="H2371" s="124"/>
      <c r="I2371" s="124"/>
      <c r="J2371" s="124"/>
      <c r="K2371" s="125"/>
      <c r="L2371" s="121"/>
      <c r="M2371" s="125"/>
      <c r="N2371" s="121"/>
      <c r="O2371" s="125"/>
      <c r="P2371" s="126"/>
      <c r="Q2371" s="127"/>
      <c r="R2371" s="127"/>
      <c r="S2371" s="127"/>
      <c r="T2371" s="127"/>
    </row>
    <row r="2372" spans="1:20" ht="13.8">
      <c r="A2372" s="118"/>
      <c r="B2372" s="119"/>
      <c r="C2372" s="118"/>
      <c r="D2372" s="118"/>
      <c r="E2372" s="118"/>
      <c r="F2372" s="124"/>
      <c r="G2372" s="124"/>
      <c r="H2372" s="124"/>
      <c r="I2372" s="124"/>
      <c r="J2372" s="124"/>
      <c r="K2372" s="125"/>
      <c r="L2372" s="121"/>
      <c r="M2372" s="125"/>
      <c r="N2372" s="121"/>
      <c r="O2372" s="125"/>
      <c r="P2372" s="126"/>
      <c r="Q2372" s="127"/>
      <c r="R2372" s="127"/>
      <c r="S2372" s="127"/>
      <c r="T2372" s="127"/>
    </row>
    <row r="2373" spans="1:20" ht="13.8">
      <c r="A2373" s="118"/>
      <c r="B2373" s="119"/>
      <c r="C2373" s="118"/>
      <c r="D2373" s="118"/>
      <c r="E2373" s="118"/>
      <c r="F2373" s="124"/>
      <c r="G2373" s="124"/>
      <c r="H2373" s="124"/>
      <c r="I2373" s="124"/>
      <c r="J2373" s="124"/>
      <c r="K2373" s="125"/>
      <c r="L2373" s="121"/>
      <c r="M2373" s="125"/>
      <c r="N2373" s="121"/>
      <c r="O2373" s="125"/>
      <c r="P2373" s="126"/>
      <c r="Q2373" s="127"/>
      <c r="R2373" s="127"/>
      <c r="S2373" s="127"/>
      <c r="T2373" s="127"/>
    </row>
    <row r="2374" spans="1:20" ht="13.8">
      <c r="A2374" s="118"/>
      <c r="B2374" s="119"/>
      <c r="C2374" s="118"/>
      <c r="D2374" s="118"/>
      <c r="E2374" s="118"/>
      <c r="F2374" s="124"/>
      <c r="G2374" s="124"/>
      <c r="H2374" s="124"/>
      <c r="I2374" s="124"/>
      <c r="J2374" s="124"/>
      <c r="K2374" s="125"/>
      <c r="L2374" s="121"/>
      <c r="M2374" s="125"/>
      <c r="N2374" s="121"/>
      <c r="O2374" s="125"/>
      <c r="P2374" s="126"/>
      <c r="Q2374" s="127"/>
      <c r="R2374" s="127"/>
      <c r="S2374" s="127"/>
      <c r="T2374" s="127"/>
    </row>
    <row r="2375" spans="1:20" ht="13.8">
      <c r="A2375" s="118"/>
      <c r="B2375" s="119"/>
      <c r="C2375" s="118"/>
      <c r="D2375" s="118"/>
      <c r="E2375" s="118"/>
      <c r="F2375" s="124"/>
      <c r="G2375" s="124"/>
      <c r="H2375" s="124"/>
      <c r="I2375" s="124"/>
      <c r="J2375" s="124"/>
      <c r="K2375" s="125"/>
      <c r="L2375" s="121"/>
      <c r="M2375" s="125"/>
      <c r="N2375" s="121"/>
      <c r="O2375" s="125"/>
      <c r="P2375" s="126"/>
      <c r="Q2375" s="127"/>
      <c r="R2375" s="127"/>
      <c r="S2375" s="127"/>
      <c r="T2375" s="127"/>
    </row>
    <row r="2376" spans="1:20" ht="13.8">
      <c r="A2376" s="118"/>
      <c r="B2376" s="119"/>
      <c r="C2376" s="118"/>
      <c r="D2376" s="118"/>
      <c r="E2376" s="118"/>
      <c r="F2376" s="124"/>
      <c r="G2376" s="124"/>
      <c r="H2376" s="124"/>
      <c r="I2376" s="124"/>
      <c r="J2376" s="124"/>
      <c r="K2376" s="125"/>
      <c r="L2376" s="121"/>
      <c r="M2376" s="125"/>
      <c r="N2376" s="121"/>
      <c r="O2376" s="125"/>
      <c r="P2376" s="126"/>
      <c r="Q2376" s="127"/>
      <c r="R2376" s="127"/>
      <c r="S2376" s="127"/>
      <c r="T2376" s="127"/>
    </row>
    <row r="2377" spans="1:20" ht="13.8">
      <c r="A2377" s="118"/>
      <c r="B2377" s="119"/>
      <c r="C2377" s="118"/>
      <c r="D2377" s="118"/>
      <c r="E2377" s="118"/>
      <c r="F2377" s="124"/>
      <c r="G2377" s="124"/>
      <c r="H2377" s="124"/>
      <c r="I2377" s="124"/>
      <c r="J2377" s="124"/>
      <c r="K2377" s="125"/>
      <c r="L2377" s="121"/>
      <c r="M2377" s="125"/>
      <c r="N2377" s="121"/>
      <c r="O2377" s="125"/>
      <c r="P2377" s="126"/>
      <c r="Q2377" s="127"/>
      <c r="R2377" s="127"/>
      <c r="S2377" s="127"/>
      <c r="T2377" s="127"/>
    </row>
    <row r="2378" spans="1:20" ht="13.8">
      <c r="A2378" s="118"/>
      <c r="B2378" s="119"/>
      <c r="C2378" s="118"/>
      <c r="D2378" s="118"/>
      <c r="E2378" s="118"/>
      <c r="F2378" s="124"/>
      <c r="G2378" s="124"/>
      <c r="H2378" s="124"/>
      <c r="I2378" s="124"/>
      <c r="J2378" s="124"/>
      <c r="K2378" s="125"/>
      <c r="L2378" s="121"/>
      <c r="M2378" s="125"/>
      <c r="N2378" s="121"/>
      <c r="O2378" s="125"/>
      <c r="P2378" s="126"/>
      <c r="Q2378" s="127"/>
      <c r="R2378" s="127"/>
      <c r="S2378" s="127"/>
      <c r="T2378" s="127"/>
    </row>
    <row r="2379" spans="1:20" ht="13.8">
      <c r="A2379" s="118"/>
      <c r="B2379" s="119"/>
      <c r="C2379" s="118"/>
      <c r="D2379" s="118"/>
      <c r="E2379" s="118"/>
      <c r="F2379" s="124"/>
      <c r="G2379" s="124"/>
      <c r="H2379" s="124"/>
      <c r="I2379" s="124"/>
      <c r="J2379" s="124"/>
      <c r="K2379" s="125"/>
      <c r="L2379" s="121"/>
      <c r="M2379" s="125"/>
      <c r="N2379" s="121"/>
      <c r="O2379" s="125"/>
      <c r="P2379" s="126"/>
      <c r="Q2379" s="127"/>
      <c r="R2379" s="127"/>
      <c r="S2379" s="127"/>
      <c r="T2379" s="127"/>
    </row>
    <row r="2380" spans="1:20" ht="13.8">
      <c r="A2380" s="118"/>
      <c r="B2380" s="119"/>
      <c r="C2380" s="118"/>
      <c r="D2380" s="118"/>
      <c r="E2380" s="118"/>
      <c r="F2380" s="124"/>
      <c r="G2380" s="124"/>
      <c r="H2380" s="124"/>
      <c r="I2380" s="124"/>
      <c r="J2380" s="124"/>
      <c r="K2380" s="125"/>
      <c r="L2380" s="121"/>
      <c r="M2380" s="125"/>
      <c r="N2380" s="121"/>
      <c r="O2380" s="125"/>
      <c r="P2380" s="126"/>
      <c r="Q2380" s="127"/>
      <c r="R2380" s="127"/>
      <c r="S2380" s="127"/>
      <c r="T2380" s="127"/>
    </row>
    <row r="2381" spans="1:20" ht="13.8">
      <c r="A2381" s="118"/>
      <c r="B2381" s="119"/>
      <c r="C2381" s="118"/>
      <c r="D2381" s="118"/>
      <c r="E2381" s="118"/>
      <c r="F2381" s="124"/>
      <c r="G2381" s="124"/>
      <c r="H2381" s="124"/>
      <c r="I2381" s="124"/>
      <c r="J2381" s="124"/>
      <c r="K2381" s="125"/>
      <c r="L2381" s="121"/>
      <c r="M2381" s="125"/>
      <c r="N2381" s="121"/>
      <c r="O2381" s="125"/>
      <c r="P2381" s="126"/>
      <c r="Q2381" s="127"/>
      <c r="R2381" s="127"/>
      <c r="S2381" s="127"/>
      <c r="T2381" s="127"/>
    </row>
    <row r="2382" spans="1:20" ht="13.8">
      <c r="A2382" s="118"/>
      <c r="B2382" s="119"/>
      <c r="C2382" s="118"/>
      <c r="D2382" s="118"/>
      <c r="E2382" s="118"/>
      <c r="F2382" s="124"/>
      <c r="G2382" s="124"/>
      <c r="H2382" s="124"/>
      <c r="I2382" s="124"/>
      <c r="J2382" s="124"/>
      <c r="K2382" s="125"/>
      <c r="L2382" s="121"/>
      <c r="M2382" s="125"/>
      <c r="N2382" s="121"/>
      <c r="O2382" s="125"/>
      <c r="P2382" s="126"/>
      <c r="Q2382" s="127"/>
      <c r="R2382" s="127"/>
      <c r="S2382" s="127"/>
      <c r="T2382" s="127"/>
    </row>
    <row r="2383" spans="1:20" ht="13.8">
      <c r="A2383" s="118"/>
      <c r="B2383" s="119"/>
      <c r="C2383" s="118"/>
      <c r="D2383" s="118"/>
      <c r="E2383" s="118"/>
      <c r="F2383" s="124"/>
      <c r="G2383" s="124"/>
      <c r="H2383" s="124"/>
      <c r="I2383" s="124"/>
      <c r="J2383" s="124"/>
      <c r="K2383" s="125"/>
      <c r="L2383" s="121"/>
      <c r="M2383" s="125"/>
      <c r="N2383" s="121"/>
      <c r="O2383" s="125"/>
      <c r="P2383" s="126"/>
      <c r="Q2383" s="127"/>
      <c r="R2383" s="127"/>
      <c r="S2383" s="127"/>
      <c r="T2383" s="127"/>
    </row>
    <row r="2384" spans="1:20" ht="13.8">
      <c r="A2384" s="118"/>
      <c r="B2384" s="119"/>
      <c r="C2384" s="118"/>
      <c r="D2384" s="118"/>
      <c r="E2384" s="118"/>
      <c r="F2384" s="124"/>
      <c r="G2384" s="124"/>
      <c r="H2384" s="124"/>
      <c r="I2384" s="124"/>
      <c r="J2384" s="124"/>
      <c r="K2384" s="125"/>
      <c r="L2384" s="121"/>
      <c r="M2384" s="125"/>
      <c r="N2384" s="121"/>
      <c r="O2384" s="125"/>
      <c r="P2384" s="126"/>
      <c r="Q2384" s="127"/>
      <c r="R2384" s="127"/>
      <c r="S2384" s="127"/>
      <c r="T2384" s="127"/>
    </row>
    <row r="2385" spans="1:20" ht="13.8">
      <c r="A2385" s="118"/>
      <c r="B2385" s="119"/>
      <c r="C2385" s="118"/>
      <c r="D2385" s="118"/>
      <c r="E2385" s="118"/>
      <c r="F2385" s="124"/>
      <c r="G2385" s="124"/>
      <c r="H2385" s="124"/>
      <c r="I2385" s="124"/>
      <c r="J2385" s="124"/>
      <c r="K2385" s="125"/>
      <c r="L2385" s="121"/>
      <c r="M2385" s="125"/>
      <c r="N2385" s="121"/>
      <c r="O2385" s="125"/>
      <c r="P2385" s="126"/>
      <c r="Q2385" s="127"/>
      <c r="R2385" s="127"/>
      <c r="S2385" s="127"/>
      <c r="T2385" s="127"/>
    </row>
    <row r="2386" spans="1:20" ht="13.8">
      <c r="A2386" s="118"/>
      <c r="B2386" s="119"/>
      <c r="C2386" s="118"/>
      <c r="D2386" s="118"/>
      <c r="E2386" s="118"/>
      <c r="F2386" s="124"/>
      <c r="G2386" s="124"/>
      <c r="H2386" s="124"/>
      <c r="I2386" s="124"/>
      <c r="J2386" s="124"/>
      <c r="K2386" s="125"/>
      <c r="L2386" s="121"/>
      <c r="M2386" s="125"/>
      <c r="N2386" s="121"/>
      <c r="O2386" s="125"/>
      <c r="P2386" s="126"/>
      <c r="Q2386" s="127"/>
      <c r="R2386" s="127"/>
      <c r="S2386" s="127"/>
      <c r="T2386" s="127"/>
    </row>
    <row r="2387" spans="1:20" ht="13.8">
      <c r="A2387" s="118"/>
      <c r="B2387" s="119"/>
      <c r="C2387" s="118"/>
      <c r="D2387" s="118"/>
      <c r="E2387" s="118"/>
      <c r="F2387" s="124"/>
      <c r="G2387" s="124"/>
      <c r="H2387" s="124"/>
      <c r="I2387" s="124"/>
      <c r="J2387" s="124"/>
      <c r="K2387" s="125"/>
      <c r="L2387" s="121"/>
      <c r="M2387" s="125"/>
      <c r="N2387" s="121"/>
      <c r="O2387" s="125"/>
      <c r="P2387" s="126"/>
      <c r="Q2387" s="127"/>
      <c r="R2387" s="127"/>
      <c r="S2387" s="127"/>
      <c r="T2387" s="127"/>
    </row>
    <row r="2388" spans="1:20" ht="13.8">
      <c r="A2388" s="118"/>
      <c r="B2388" s="119"/>
      <c r="C2388" s="118"/>
      <c r="D2388" s="118"/>
      <c r="E2388" s="118"/>
      <c r="F2388" s="124"/>
      <c r="G2388" s="124"/>
      <c r="H2388" s="124"/>
      <c r="I2388" s="124"/>
      <c r="J2388" s="124"/>
      <c r="K2388" s="125"/>
      <c r="L2388" s="121"/>
      <c r="M2388" s="125"/>
      <c r="N2388" s="121"/>
      <c r="O2388" s="125"/>
      <c r="P2388" s="126"/>
      <c r="Q2388" s="127"/>
      <c r="R2388" s="127"/>
      <c r="S2388" s="127"/>
      <c r="T2388" s="127"/>
    </row>
    <row r="2389" spans="1:20" ht="13.8">
      <c r="A2389" s="118"/>
      <c r="B2389" s="119"/>
      <c r="C2389" s="118"/>
      <c r="D2389" s="118"/>
      <c r="E2389" s="118"/>
      <c r="F2389" s="124"/>
      <c r="G2389" s="124"/>
      <c r="H2389" s="124"/>
      <c r="I2389" s="124"/>
      <c r="J2389" s="124"/>
      <c r="K2389" s="125"/>
      <c r="L2389" s="121"/>
      <c r="M2389" s="125"/>
      <c r="N2389" s="121"/>
      <c r="O2389" s="125"/>
      <c r="P2389" s="126"/>
      <c r="Q2389" s="127"/>
      <c r="R2389" s="127"/>
      <c r="S2389" s="127"/>
      <c r="T2389" s="127"/>
    </row>
    <row r="2390" spans="1:20" ht="13.8">
      <c r="A2390" s="118"/>
      <c r="B2390" s="119"/>
      <c r="C2390" s="118"/>
      <c r="D2390" s="118"/>
      <c r="E2390" s="118"/>
      <c r="F2390" s="124"/>
      <c r="G2390" s="124"/>
      <c r="H2390" s="124"/>
      <c r="I2390" s="124"/>
      <c r="J2390" s="124"/>
      <c r="K2390" s="125"/>
      <c r="L2390" s="121"/>
      <c r="M2390" s="125"/>
      <c r="N2390" s="121"/>
      <c r="O2390" s="125"/>
      <c r="P2390" s="126"/>
      <c r="Q2390" s="127"/>
      <c r="R2390" s="127"/>
      <c r="S2390" s="127"/>
      <c r="T2390" s="127"/>
    </row>
    <row r="2391" spans="1:20" ht="13.8">
      <c r="A2391" s="118"/>
      <c r="B2391" s="119"/>
      <c r="C2391" s="118"/>
      <c r="D2391" s="118"/>
      <c r="E2391" s="118"/>
      <c r="F2391" s="124"/>
      <c r="G2391" s="124"/>
      <c r="H2391" s="124"/>
      <c r="I2391" s="124"/>
      <c r="J2391" s="124"/>
      <c r="K2391" s="125"/>
      <c r="L2391" s="121"/>
      <c r="M2391" s="125"/>
      <c r="N2391" s="121"/>
      <c r="O2391" s="125"/>
      <c r="P2391" s="126"/>
      <c r="Q2391" s="127"/>
      <c r="R2391" s="127"/>
      <c r="S2391" s="127"/>
      <c r="T2391" s="127"/>
    </row>
    <row r="2392" spans="1:20" ht="13.8">
      <c r="A2392" s="118"/>
      <c r="B2392" s="119"/>
      <c r="C2392" s="118"/>
      <c r="D2392" s="118"/>
      <c r="E2392" s="118"/>
      <c r="F2392" s="124"/>
      <c r="G2392" s="124"/>
      <c r="H2392" s="124"/>
      <c r="I2392" s="124"/>
      <c r="J2392" s="124"/>
      <c r="K2392" s="125"/>
      <c r="L2392" s="121"/>
      <c r="M2392" s="125"/>
      <c r="N2392" s="121"/>
      <c r="O2392" s="125"/>
      <c r="P2392" s="126"/>
      <c r="Q2392" s="127"/>
      <c r="R2392" s="127"/>
      <c r="S2392" s="127"/>
      <c r="T2392" s="127"/>
    </row>
    <row r="2393" spans="1:20" ht="13.8">
      <c r="A2393" s="118"/>
      <c r="B2393" s="119"/>
      <c r="C2393" s="118"/>
      <c r="D2393" s="118"/>
      <c r="E2393" s="118"/>
      <c r="F2393" s="124"/>
      <c r="G2393" s="124"/>
      <c r="H2393" s="124"/>
      <c r="I2393" s="124"/>
      <c r="J2393" s="124"/>
      <c r="K2393" s="125"/>
      <c r="L2393" s="121"/>
      <c r="M2393" s="125"/>
      <c r="N2393" s="121"/>
      <c r="O2393" s="125"/>
      <c r="P2393" s="126"/>
      <c r="Q2393" s="127"/>
      <c r="R2393" s="127"/>
      <c r="S2393" s="127"/>
      <c r="T2393" s="127"/>
    </row>
    <row r="2394" spans="1:20" ht="13.8">
      <c r="A2394" s="118"/>
      <c r="B2394" s="119"/>
      <c r="C2394" s="118"/>
      <c r="D2394" s="118"/>
      <c r="E2394" s="118"/>
      <c r="F2394" s="124"/>
      <c r="G2394" s="124"/>
      <c r="H2394" s="124"/>
      <c r="I2394" s="124"/>
      <c r="J2394" s="124"/>
      <c r="K2394" s="125"/>
      <c r="L2394" s="121"/>
      <c r="M2394" s="125"/>
      <c r="N2394" s="121"/>
      <c r="O2394" s="125"/>
      <c r="P2394" s="126"/>
      <c r="Q2394" s="127"/>
      <c r="R2394" s="127"/>
      <c r="S2394" s="127"/>
      <c r="T2394" s="127"/>
    </row>
    <row r="2395" spans="1:20" ht="13.8">
      <c r="A2395" s="118"/>
      <c r="B2395" s="119"/>
      <c r="C2395" s="118"/>
      <c r="D2395" s="118"/>
      <c r="E2395" s="118"/>
      <c r="F2395" s="124"/>
      <c r="G2395" s="124"/>
      <c r="H2395" s="124"/>
      <c r="I2395" s="124"/>
      <c r="J2395" s="124"/>
      <c r="K2395" s="125"/>
      <c r="L2395" s="121"/>
      <c r="M2395" s="125"/>
      <c r="N2395" s="121"/>
      <c r="O2395" s="125"/>
      <c r="P2395" s="126"/>
      <c r="Q2395" s="127"/>
      <c r="R2395" s="127"/>
      <c r="S2395" s="127"/>
      <c r="T2395" s="127"/>
    </row>
    <row r="2396" spans="1:20" ht="13.8">
      <c r="A2396" s="118"/>
      <c r="B2396" s="119"/>
      <c r="C2396" s="118"/>
      <c r="D2396" s="118"/>
      <c r="E2396" s="118"/>
      <c r="F2396" s="124"/>
      <c r="G2396" s="124"/>
      <c r="H2396" s="124"/>
      <c r="I2396" s="124"/>
      <c r="J2396" s="124"/>
      <c r="K2396" s="125"/>
      <c r="L2396" s="121"/>
      <c r="M2396" s="125"/>
      <c r="N2396" s="121"/>
      <c r="O2396" s="125"/>
      <c r="P2396" s="126"/>
      <c r="Q2396" s="127"/>
      <c r="R2396" s="127"/>
      <c r="S2396" s="127"/>
      <c r="T2396" s="127"/>
    </row>
    <row r="2397" spans="1:20" ht="13.8">
      <c r="A2397" s="118"/>
      <c r="B2397" s="119"/>
      <c r="C2397" s="118"/>
      <c r="D2397" s="118"/>
      <c r="E2397" s="118"/>
      <c r="F2397" s="124"/>
      <c r="G2397" s="124"/>
      <c r="H2397" s="124"/>
      <c r="I2397" s="124"/>
      <c r="J2397" s="124"/>
      <c r="K2397" s="125"/>
      <c r="L2397" s="121"/>
      <c r="M2397" s="125"/>
      <c r="N2397" s="121"/>
      <c r="O2397" s="125"/>
      <c r="P2397" s="126"/>
      <c r="Q2397" s="127"/>
      <c r="R2397" s="127"/>
      <c r="S2397" s="127"/>
      <c r="T2397" s="127"/>
    </row>
    <row r="2398" spans="1:20" ht="13.8">
      <c r="A2398" s="118"/>
      <c r="B2398" s="119"/>
      <c r="C2398" s="118"/>
      <c r="D2398" s="118"/>
      <c r="E2398" s="118"/>
      <c r="F2398" s="124"/>
      <c r="G2398" s="124"/>
      <c r="H2398" s="124"/>
      <c r="I2398" s="124"/>
      <c r="J2398" s="124"/>
      <c r="K2398" s="125"/>
      <c r="L2398" s="121"/>
      <c r="M2398" s="125"/>
      <c r="N2398" s="121"/>
      <c r="O2398" s="125"/>
      <c r="P2398" s="126"/>
      <c r="Q2398" s="127"/>
      <c r="R2398" s="127"/>
      <c r="S2398" s="127"/>
      <c r="T2398" s="127"/>
    </row>
    <row r="2399" spans="1:20" ht="13.8">
      <c r="A2399" s="118"/>
      <c r="B2399" s="119"/>
      <c r="C2399" s="118"/>
      <c r="D2399" s="118"/>
      <c r="E2399" s="118"/>
      <c r="F2399" s="124"/>
      <c r="G2399" s="124"/>
      <c r="H2399" s="124"/>
      <c r="I2399" s="124"/>
      <c r="J2399" s="124"/>
      <c r="K2399" s="43"/>
      <c r="L2399" s="121"/>
      <c r="M2399" s="43"/>
      <c r="N2399" s="121"/>
      <c r="O2399" s="43"/>
      <c r="P2399" s="126"/>
      <c r="Q2399" s="127"/>
      <c r="R2399" s="127"/>
      <c r="S2399" s="127"/>
      <c r="T2399" s="127"/>
    </row>
    <row r="2400" spans="1:20" ht="13.8">
      <c r="A2400" s="118"/>
      <c r="B2400" s="119"/>
      <c r="C2400" s="118"/>
      <c r="D2400" s="118"/>
      <c r="E2400" s="118"/>
      <c r="F2400" s="124"/>
      <c r="G2400" s="124"/>
      <c r="H2400" s="124"/>
      <c r="I2400" s="124"/>
      <c r="J2400" s="124"/>
      <c r="K2400" s="43"/>
      <c r="L2400" s="121"/>
      <c r="M2400" s="43"/>
      <c r="N2400" s="121"/>
      <c r="O2400" s="43"/>
      <c r="P2400" s="126"/>
      <c r="Q2400" s="127"/>
      <c r="R2400" s="127"/>
      <c r="S2400" s="127"/>
      <c r="T2400" s="127"/>
    </row>
    <row r="2401" spans="1:20" ht="13.8">
      <c r="A2401" s="118"/>
      <c r="B2401" s="119"/>
      <c r="C2401" s="118"/>
      <c r="D2401" s="118"/>
      <c r="E2401" s="118"/>
      <c r="F2401" s="124"/>
      <c r="G2401" s="124"/>
      <c r="H2401" s="124"/>
      <c r="I2401" s="124"/>
      <c r="J2401" s="124"/>
      <c r="K2401" s="43"/>
      <c r="L2401" s="121"/>
      <c r="M2401" s="43"/>
      <c r="N2401" s="121"/>
      <c r="O2401" s="43"/>
      <c r="P2401" s="126"/>
      <c r="Q2401" s="127"/>
      <c r="R2401" s="127"/>
      <c r="S2401" s="127"/>
      <c r="T2401" s="127"/>
    </row>
  </sheetData>
  <conditionalFormatting sqref="C2:C2401">
    <cfRule type="containsBlanks" dxfId="4" priority="1">
      <formula>LEN(TRIM(C2))=0</formula>
    </cfRule>
    <cfRule type="cellIs" dxfId="3" priority="2" operator="lessThan">
      <formula>5</formula>
    </cfRule>
    <cfRule type="cellIs" dxfId="2" priority="3" operator="greaterThan">
      <formula>18</formula>
    </cfRule>
  </conditionalFormatting>
  <hyperlinks>
    <hyperlink ref="Q2" location="MeetParticipants!a6" display="1. Official NVSL Roster for 12 &amp; Under Girls_x000a_ (951 divers)" xr:uid="{00000000-0004-0000-0200-000000000000}"/>
    <hyperlink ref="R2" location="MeetParticipants!a106" display="2. Official NVSL Roster for 12 &amp; Under Boys_x000a_ (677 divers)" xr:uid="{00000000-0004-0000-0200-000001000000}"/>
    <hyperlink ref="S2" location="MeetParticipants!a206" display="3. Official NVSL Roster for 13 &amp; Over Girls_x000a_ (1267 divers)" xr:uid="{00000000-0004-0000-0200-000002000000}"/>
    <hyperlink ref="T2" location="MeetParticipants!a306" display="4. Official NVSL Roster for 13 &amp; Over Boys_x000a_ (936 divers)" xr:uid="{00000000-0004-0000-0200-000003000000}"/>
  </hyperlink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outlinePr summaryBelow="0" summaryRight="0"/>
  </sheetPr>
  <dimension ref="A1:AH500"/>
  <sheetViews>
    <sheetView workbookViewId="0">
      <pane ySplit="3" topLeftCell="A4" activePane="bottomLeft" state="frozen"/>
      <selection pane="bottomLeft" activeCell="B5" sqref="B5"/>
    </sheetView>
  </sheetViews>
  <sheetFormatPr defaultColWidth="12.6640625" defaultRowHeight="15.75" customHeight="1"/>
  <cols>
    <col min="1" max="1" width="8.109375" customWidth="1"/>
    <col min="2" max="2" width="11" customWidth="1"/>
    <col min="5" max="5" width="11.109375" customWidth="1"/>
    <col min="7" max="7" width="8.44140625" customWidth="1"/>
    <col min="8" max="8" width="5.33203125" customWidth="1"/>
    <col min="9" max="10" width="10.33203125" customWidth="1"/>
    <col min="11" max="11" width="9.88671875" customWidth="1"/>
    <col min="13" max="14" width="9.44140625" customWidth="1"/>
    <col min="16" max="16" width="18.109375" customWidth="1"/>
    <col min="17" max="17" width="9" customWidth="1"/>
    <col min="18" max="18" width="9.109375" customWidth="1"/>
    <col min="20" max="20" width="3.44140625" customWidth="1"/>
    <col min="21" max="21" width="19.21875" customWidth="1"/>
    <col min="22" max="22" width="2.33203125" customWidth="1"/>
    <col min="23" max="23" width="16.44140625" customWidth="1"/>
    <col min="24" max="24" width="7.21875" customWidth="1"/>
    <col min="25" max="25" width="4.6640625" customWidth="1"/>
    <col min="26" max="26" width="3.44140625" customWidth="1"/>
    <col min="27" max="27" width="3.77734375" customWidth="1"/>
    <col min="28" max="28" width="8.33203125" customWidth="1"/>
    <col min="29" max="29" width="11.44140625" customWidth="1"/>
    <col min="30" max="30" width="16" customWidth="1"/>
    <col min="31" max="31" width="19.109375" customWidth="1"/>
    <col min="32" max="32" width="3.44140625" customWidth="1"/>
    <col min="33" max="33" width="11" customWidth="1"/>
    <col min="34" max="34" width="16.77734375" customWidth="1"/>
  </cols>
  <sheetData>
    <row r="1" spans="1:34" ht="15.75" customHeight="1">
      <c r="A1" s="128"/>
      <c r="B1" s="129" t="s">
        <v>264</v>
      </c>
      <c r="C1" s="130" t="s">
        <v>265</v>
      </c>
      <c r="D1" s="131"/>
      <c r="E1" s="131"/>
      <c r="F1" s="131"/>
      <c r="G1" s="131"/>
      <c r="H1" s="131"/>
      <c r="I1" s="132"/>
      <c r="J1" s="132"/>
      <c r="K1" s="132"/>
      <c r="L1" s="131"/>
      <c r="M1" s="132"/>
      <c r="N1" s="132"/>
      <c r="O1" s="130"/>
      <c r="P1" s="130"/>
      <c r="Q1" s="131"/>
      <c r="R1" s="131"/>
      <c r="S1" s="131"/>
      <c r="T1" s="131"/>
      <c r="U1" s="133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</row>
    <row r="2" spans="1:34" ht="15.75" customHeight="1">
      <c r="A2" s="131"/>
      <c r="B2" s="129" t="s">
        <v>266</v>
      </c>
      <c r="C2" s="134" t="s">
        <v>267</v>
      </c>
      <c r="D2" s="131"/>
      <c r="E2" s="131"/>
      <c r="F2" s="131"/>
      <c r="G2" s="131"/>
      <c r="H2" s="131"/>
      <c r="I2" s="132"/>
      <c r="J2" s="132"/>
      <c r="K2" s="132"/>
      <c r="L2" s="131"/>
      <c r="M2" s="132"/>
      <c r="N2" s="132"/>
      <c r="O2" s="130"/>
      <c r="P2" s="130"/>
      <c r="Q2" s="131"/>
      <c r="R2" s="131"/>
      <c r="S2" s="131"/>
      <c r="T2" s="131"/>
      <c r="U2" s="133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</row>
    <row r="3" spans="1:34" ht="15.75" customHeight="1">
      <c r="A3" s="135" t="str">
        <f ca="1">IFERROR(__xludf.DUMMYFUNCTION("IMPORTRANGE( C2, ""Lookup-Generic!a3:AH200"")"),"Division")</f>
        <v>Division</v>
      </c>
      <c r="B3" s="136" t="str">
        <f ca="1">IFERROR(__xludf.DUMMYFUNCTION("""COMPUTED_VALUE"""),"EventCode")</f>
        <v>EventCode</v>
      </c>
      <c r="C3" s="136" t="str">
        <f ca="1">IFERROR(__xludf.DUMMYFUNCTION("""COMPUTED_VALUE"""),"EventName")</f>
        <v>EventName</v>
      </c>
      <c r="D3" s="136" t="str">
        <f ca="1">IFERROR(__xludf.DUMMYFUNCTION("""COMPUTED_VALUE"""),"ScoreRandomizer")</f>
        <v>ScoreRandomizer</v>
      </c>
      <c r="E3" s="137" t="str">
        <f ca="1">IFERROR(__xludf.DUMMYFUNCTION("""COMPUTED_VALUE"""),"PlaceLookup")</f>
        <v>PlaceLookup</v>
      </c>
      <c r="F3" s="137" t="str">
        <f ca="1">IFERROR(__xludf.DUMMYFUNCTION("""COMPUTED_VALUE"""),"PointsAwarded")</f>
        <v>PointsAwarded</v>
      </c>
      <c r="G3" s="138" t="str">
        <f ca="1">IFERROR(__xludf.DUMMYFUNCTION("""COMPUTED_VALUE"""),"EventAge")</f>
        <v>EventAge</v>
      </c>
      <c r="H3" s="138" t="str">
        <f ca="1">IFERROR(__xludf.DUMMYFUNCTION("""COMPUTED_VALUE"""),"Event")</f>
        <v>Event</v>
      </c>
      <c r="I3" s="139" t="str">
        <f ca="1">IFERROR(__xludf.DUMMYFUNCTION("""COMPUTED_VALUE"""),"Current EventLevel")</f>
        <v>Current EventLevel</v>
      </c>
      <c r="J3" s="139" t="str">
        <f ca="1">IFERROR(__xludf.DUMMYFUNCTION("""COMPUTED_VALUE"""),"Allowed EventLevel")</f>
        <v>Allowed EventLevel</v>
      </c>
      <c r="K3" s="140" t="str">
        <f ca="1">IFERROR(__xludf.DUMMYFUNCTION("""COMPUTED_VALUE"""),"2024 Dual Meet Dates")</f>
        <v>2024 Dual Meet Dates</v>
      </c>
      <c r="L3" s="141" t="str">
        <f ca="1">IFERROR(__xludf.DUMMYFUNCTION("""COMPUTED_VALUE"""),"Report Status")</f>
        <v>Report Status</v>
      </c>
      <c r="M3" s="139" t="str">
        <f ca="1">IFERROR(__xludf.DUMMYFUNCTION("""COMPUTED_VALUE"""),"CJ Event Level")</f>
        <v>CJ Event Level</v>
      </c>
      <c r="N3" s="139" t="str">
        <f ca="1">IFERROR(__xludf.DUMMYFUNCTION("""COMPUTED_VALUE"""),"CJ Max Score")</f>
        <v>CJ Max Score</v>
      </c>
      <c r="O3" s="142" t="str">
        <f ca="1">IFERROR(__xludf.DUMMYFUNCTION("""COMPUTED_VALUE"""),"Key Config Info")</f>
        <v>Key Config Info</v>
      </c>
      <c r="P3" s="142" t="str">
        <f ca="1">IFERROR(__xludf.DUMMYFUNCTION("""COMPUTED_VALUE"""),"File LInk")</f>
        <v>File LInk</v>
      </c>
      <c r="Q3" s="143" t="str">
        <f ca="1">IFERROR(__xludf.DUMMYFUNCTION("""COMPUTED_VALUE"""),"Meet Type")</f>
        <v>Meet Type</v>
      </c>
      <c r="R3" s="144" t="str">
        <f ca="1">IFERROR(__xludf.DUMMYFUNCTION("""COMPUTED_VALUE"""),"Meet Date")</f>
        <v>Meet Date</v>
      </c>
      <c r="S3" s="143" t="str">
        <f ca="1">IFERROR(__xludf.DUMMYFUNCTION("""COMPUTED_VALUE"""),"Editors")</f>
        <v>Editors</v>
      </c>
      <c r="T3" s="145"/>
      <c r="U3" s="133" t="str">
        <f ca="1">IFERROR(__xludf.DUMMYFUNCTION("""COMPUTED_VALUE"""),"Current Year")</f>
        <v>Current Year</v>
      </c>
      <c r="V3" s="112"/>
      <c r="W3" s="146">
        <f ca="1">IFERROR(__xludf.DUMMYFUNCTION("""COMPUTED_VALUE"""),2024)</f>
        <v>2024</v>
      </c>
      <c r="X3" s="112"/>
      <c r="Y3" s="112"/>
      <c r="Z3" s="145"/>
      <c r="AA3" s="147"/>
      <c r="AB3" s="147"/>
      <c r="AC3" s="147"/>
      <c r="AD3" s="147"/>
      <c r="AE3" s="147"/>
      <c r="AF3" s="145"/>
      <c r="AG3" s="148" t="str">
        <f ca="1">IFERROR(__xludf.DUMMYFUNCTION("""COMPUTED_VALUE"""),"Club Code")</f>
        <v>Club Code</v>
      </c>
      <c r="AH3" s="148" t="str">
        <f ca="1">IFERROR(__xludf.DUMMYFUNCTION("""COMPUTED_VALUE"""),"Club Name")</f>
        <v>Club Name</v>
      </c>
    </row>
    <row r="4" spans="1:34" ht="15.75" customHeight="1">
      <c r="A4" s="124">
        <f ca="1">IFERROR(__xludf.DUMMYFUNCTION("""COMPUTED_VALUE"""),1)</f>
        <v>1</v>
      </c>
      <c r="B4" s="43" t="str">
        <f ca="1">IFERROR(__xludf.DUMMYFUNCTION("""COMPUTED_VALUE"""),"FG")</f>
        <v>FG</v>
      </c>
      <c r="C4" s="43" t="str">
        <f ca="1">IFERROR(__xludf.DUMMYFUNCTION("""COMPUTED_VALUE"""),"Freshman Girls")</f>
        <v>Freshman Girls</v>
      </c>
      <c r="D4" s="43">
        <f ca="1">IFERROR(__xludf.DUMMYFUNCTION("""COMPUTED_VALUE"""),13.54)</f>
        <v>13.54</v>
      </c>
      <c r="E4" s="149">
        <f ca="1">IFERROR(__xludf.DUMMYFUNCTION("""COMPUTED_VALUE"""),1)</f>
        <v>1</v>
      </c>
      <c r="F4" s="149">
        <f ca="1">IFERROR(__xludf.DUMMYFUNCTION("""COMPUTED_VALUE"""),5)</f>
        <v>5</v>
      </c>
      <c r="G4" s="150">
        <f ca="1">IFERROR(__xludf.DUMMYFUNCTION("""COMPUTED_VALUE"""),1)</f>
        <v>1</v>
      </c>
      <c r="H4" s="150" t="str">
        <f ca="1">IFERROR(__xludf.DUMMYFUNCTION("""COMPUTED_VALUE"""),"F")</f>
        <v>F</v>
      </c>
      <c r="I4" s="151" t="str">
        <f ca="1">IFERROR(__xludf.DUMMYFUNCTION("""COMPUTED_VALUE"""),"F")</f>
        <v>F</v>
      </c>
      <c r="J4" s="151" t="str">
        <f ca="1">IFERROR(__xludf.DUMMYFUNCTION("""COMPUTED_VALUE"""),"J")</f>
        <v>J</v>
      </c>
      <c r="K4" s="152">
        <f ca="1">IFERROR(__xludf.DUMMYFUNCTION("""COMPUTED_VALUE"""),45461)</f>
        <v>45461</v>
      </c>
      <c r="L4" s="153" t="str">
        <f ca="1">IFERROR(__xludf.DUMMYFUNCTION("""COMPUTED_VALUE"""),"01-Awaiting Scores")</f>
        <v>01-Awaiting Scores</v>
      </c>
      <c r="M4" s="151" t="str">
        <f ca="1">IFERROR(__xludf.DUMMYFUNCTION("""COMPUTED_VALUE"""),"FG")</f>
        <v>FG</v>
      </c>
      <c r="N4" s="151">
        <f ca="1">IFERROR(__xludf.DUMMYFUNCTION("""COMPUTED_VALUE"""),67)</f>
        <v>67</v>
      </c>
      <c r="O4" s="154" t="str">
        <f ca="1">IFERROR(__xludf.DUMMYFUNCTION("""COMPUTED_VALUE"""),"CurrentYear")</f>
        <v>CurrentYear</v>
      </c>
      <c r="P4" s="154">
        <f ca="1">IFERROR(__xludf.DUMMYFUNCTION("""COMPUTED_VALUE"""),2024)</f>
        <v>2024</v>
      </c>
      <c r="Q4" s="155" t="str">
        <f ca="1">IFERROR(__xludf.DUMMYFUNCTION("""COMPUTED_VALUE"""),"Dual1")</f>
        <v>Dual1</v>
      </c>
      <c r="R4" s="156">
        <f ca="1">IFERROR(__xludf.DUMMYFUNCTION("""COMPUTED_VALUE"""),45461)</f>
        <v>45461</v>
      </c>
      <c r="S4" s="157" t="str">
        <f ca="1">IFERROR(__xludf.DUMMYFUNCTION("""COMPUTED_VALUE"""),"Adm, DC, Reps")</f>
        <v>Adm, DC, Reps</v>
      </c>
      <c r="T4" s="145"/>
      <c r="U4" s="217" t="str">
        <f ca="1">IFERROR(__xludf.DUMMYFUNCTION("""COMPUTED_VALUE"""),"Auto Import of All Meet Schedules From nvsl.com using formula in Cell Q1")</f>
        <v>Auto Import of All Meet Schedules From nvsl.com using formula in Cell Q1</v>
      </c>
      <c r="V4" s="194"/>
      <c r="W4" s="194"/>
      <c r="X4" s="194"/>
      <c r="Y4" s="194"/>
      <c r="Z4" s="145"/>
      <c r="AA4" s="218" t="str">
        <f ca="1">IFERROR(__xludf.DUMMYFUNCTION("""COMPUTED_VALUE"""),"Use Date below to lookup Date and Div to find Home and Visiting Team for each Dual Meet")</f>
        <v>Use Date below to lookup Date and Div to find Home and Visiting Team for each Dual Meet</v>
      </c>
      <c r="AB4" s="194"/>
      <c r="AC4" s="194"/>
      <c r="AD4" s="194"/>
      <c r="AE4" s="194"/>
      <c r="AF4" s="145"/>
      <c r="AG4" s="158" t="str">
        <f ca="1">IFERROR(__xludf.DUMMYFUNCTION("""COMPUTED_VALUE"""),"A")</f>
        <v>A</v>
      </c>
      <c r="AH4" s="157" t="str">
        <f ca="1">IFERROR(__xludf.DUMMYFUNCTION("""COMPUTED_VALUE"""),"Annandale")</f>
        <v>Annandale</v>
      </c>
    </row>
    <row r="5" spans="1:34" ht="15.75" customHeight="1">
      <c r="A5" s="124">
        <f ca="1">IFERROR(__xludf.DUMMYFUNCTION("""COMPUTED_VALUE"""),2)</f>
        <v>2</v>
      </c>
      <c r="B5" s="43" t="str">
        <f ca="1">IFERROR(__xludf.DUMMYFUNCTION("""COMPUTED_VALUE"""),"FB")</f>
        <v>FB</v>
      </c>
      <c r="C5" s="43" t="str">
        <f ca="1">IFERROR(__xludf.DUMMYFUNCTION("""COMPUTED_VALUE"""),"Freshman Boys")</f>
        <v>Freshman Boys</v>
      </c>
      <c r="D5" s="43"/>
      <c r="E5" s="149">
        <f ca="1">IFERROR(__xludf.DUMMYFUNCTION("""COMPUTED_VALUE"""),2)</f>
        <v>2</v>
      </c>
      <c r="F5" s="149">
        <f ca="1">IFERROR(__xludf.DUMMYFUNCTION("""COMPUTED_VALUE"""),3)</f>
        <v>3</v>
      </c>
      <c r="G5" s="150">
        <f ca="1">IFERROR(__xludf.DUMMYFUNCTION("""COMPUTED_VALUE"""),2)</f>
        <v>2</v>
      </c>
      <c r="H5" s="150" t="str">
        <f ca="1">IFERROR(__xludf.DUMMYFUNCTION("""COMPUTED_VALUE"""),"F")</f>
        <v>F</v>
      </c>
      <c r="I5" s="151" t="str">
        <f ca="1">IFERROR(__xludf.DUMMYFUNCTION("""COMPUTED_VALUE"""),"J")</f>
        <v>J</v>
      </c>
      <c r="J5" s="151" t="str">
        <f ca="1">IFERROR(__xludf.DUMMYFUNCTION("""COMPUTED_VALUE"""),"I")</f>
        <v>I</v>
      </c>
      <c r="K5" s="152">
        <f ca="1">IFERROR(__xludf.DUMMYFUNCTION("""COMPUTED_VALUE"""),45468)</f>
        <v>45468</v>
      </c>
      <c r="L5" s="153" t="str">
        <f ca="1">IFERROR(__xludf.DUMMYFUNCTION("""COMPUTED_VALUE"""),"02-Meet Delayed")</f>
        <v>02-Meet Delayed</v>
      </c>
      <c r="M5" s="151" t="str">
        <f ca="1">IFERROR(__xludf.DUMMYFUNCTION("""COMPUTED_VALUE"""),"FB")</f>
        <v>FB</v>
      </c>
      <c r="N5" s="151">
        <f ca="1">IFERROR(__xludf.DUMMYFUNCTION("""COMPUTED_VALUE"""),65)</f>
        <v>65</v>
      </c>
      <c r="O5" s="154" t="str">
        <f ca="1">IFERROR(__xludf.DUMMYFUNCTION("""COMPUTED_VALUE"""),"DiverDBPrior")</f>
        <v>DiverDBPrior</v>
      </c>
      <c r="P5" s="159" t="str">
        <f ca="1">IFERROR(__xludf.DUMMYFUNCTION("""COMPUTED_VALUE"""),"https://docs.google.com/spreadsheets/d/1Ho0Oa3KecgLH3GVPRCCVMrWJe9d7ha83ba9I5dF8qmg")</f>
        <v>https://docs.google.com/spreadsheets/d/1Ho0Oa3KecgLH3GVPRCCVMrWJe9d7ha83ba9I5dF8qmg</v>
      </c>
      <c r="Q5" s="160" t="str">
        <f ca="1">IFERROR(__xludf.DUMMYFUNCTION("""COMPUTED_VALUE"""),"Dual2")</f>
        <v>Dual2</v>
      </c>
      <c r="R5" s="161">
        <f ca="1">IFERROR(__xludf.DUMMYFUNCTION("""COMPUTED_VALUE"""),45468)</f>
        <v>45468</v>
      </c>
      <c r="S5" s="162" t="str">
        <f ca="1">IFERROR(__xludf.DUMMYFUNCTION("""COMPUTED_VALUE"""),"Adm, DC, Reps")</f>
        <v>Adm, DC, Reps</v>
      </c>
      <c r="T5" s="145"/>
      <c r="U5" s="163" t="str">
        <f ca="1">IFERROR(__xludf.DUMMYFUNCTION("""COMPUTED_VALUE"""),"Visitor")</f>
        <v>Visitor</v>
      </c>
      <c r="V5" s="164"/>
      <c r="W5" s="164" t="str">
        <f ca="1">IFERROR(__xludf.DUMMYFUNCTION("""COMPUTED_VALUE"""),"Home")</f>
        <v>Home</v>
      </c>
      <c r="X5" s="164"/>
      <c r="Y5" s="164"/>
      <c r="Z5" s="165"/>
      <c r="AA5" s="164" t="str">
        <f ca="1">IFERROR(__xludf.DUMMYFUNCTION("""COMPUTED_VALUE"""),"Div")</f>
        <v>Div</v>
      </c>
      <c r="AB5" s="164" t="str">
        <f ca="1">IFERROR(__xludf.DUMMYFUNCTION("""COMPUTED_VALUE"""),"DM Date")</f>
        <v>DM Date</v>
      </c>
      <c r="AC5" s="164" t="str">
        <f ca="1">IFERROR(__xludf.DUMMYFUNCTION("""COMPUTED_VALUE"""),"DM DateDiv")</f>
        <v>DM DateDiv</v>
      </c>
      <c r="AD5" s="164" t="str">
        <f ca="1">IFERROR(__xludf.DUMMYFUNCTION("""COMPUTED_VALUE"""),"Home Team")</f>
        <v>Home Team</v>
      </c>
      <c r="AE5" s="164" t="str">
        <f ca="1">IFERROR(__xludf.DUMMYFUNCTION("""COMPUTED_VALUE"""),"Visiting Team")</f>
        <v>Visiting Team</v>
      </c>
      <c r="AF5" s="164"/>
      <c r="AG5" s="166" t="str">
        <f ca="1">IFERROR(__xludf.DUMMYFUNCTION("""COMPUTED_VALUE"""),"AF")</f>
        <v>AF</v>
      </c>
      <c r="AH5" s="162" t="str">
        <f ca="1">IFERROR(__xludf.DUMMYFUNCTION("""COMPUTED_VALUE"""),"Arlington Forest")</f>
        <v>Arlington Forest</v>
      </c>
    </row>
    <row r="6" spans="1:34">
      <c r="A6" s="124">
        <f ca="1">IFERROR(__xludf.DUMMYFUNCTION("""COMPUTED_VALUE"""),3)</f>
        <v>3</v>
      </c>
      <c r="B6" s="43" t="str">
        <f ca="1">IFERROR(__xludf.DUMMYFUNCTION("""COMPUTED_VALUE"""),"JG")</f>
        <v>JG</v>
      </c>
      <c r="C6" s="43" t="str">
        <f ca="1">IFERROR(__xludf.DUMMYFUNCTION("""COMPUTED_VALUE"""),"Junior Girls")</f>
        <v>Junior Girls</v>
      </c>
      <c r="D6" s="43"/>
      <c r="E6" s="149">
        <f ca="1">IFERROR(__xludf.DUMMYFUNCTION("""COMPUTED_VALUE"""),3)</f>
        <v>3</v>
      </c>
      <c r="F6" s="149">
        <f ca="1">IFERROR(__xludf.DUMMYFUNCTION("""COMPUTED_VALUE"""),1)</f>
        <v>1</v>
      </c>
      <c r="G6" s="150">
        <f ca="1">IFERROR(__xludf.DUMMYFUNCTION("""COMPUTED_VALUE"""),3)</f>
        <v>3</v>
      </c>
      <c r="H6" s="150" t="str">
        <f ca="1">IFERROR(__xludf.DUMMYFUNCTION("""COMPUTED_VALUE"""),"F")</f>
        <v>F</v>
      </c>
      <c r="I6" s="151" t="str">
        <f ca="1">IFERROR(__xludf.DUMMYFUNCTION("""COMPUTED_VALUE"""),"I")</f>
        <v>I</v>
      </c>
      <c r="J6" s="151" t="str">
        <f ca="1">IFERROR(__xludf.DUMMYFUNCTION("""COMPUTED_VALUE"""),"S")</f>
        <v>S</v>
      </c>
      <c r="K6" s="152">
        <f ca="1">IFERROR(__xludf.DUMMYFUNCTION("""COMPUTED_VALUE"""),45475)</f>
        <v>45475</v>
      </c>
      <c r="L6" s="153" t="str">
        <f ca="1">IFERROR(__xludf.DUMMYFUNCTION("""COMPUTED_VALUE"""),"03-NVSL Review Needed")</f>
        <v>03-NVSL Review Needed</v>
      </c>
      <c r="M6" s="151" t="str">
        <f ca="1">IFERROR(__xludf.DUMMYFUNCTION("""COMPUTED_VALUE"""),"JG")</f>
        <v>JG</v>
      </c>
      <c r="N6" s="151">
        <f ca="1">IFERROR(__xludf.DUMMYFUNCTION("""COMPUTED_VALUE"""),99)</f>
        <v>99</v>
      </c>
      <c r="O6" s="154" t="str">
        <f ca="1">IFERROR(__xludf.DUMMYFUNCTION("""COMPUTED_VALUE"""),"DiverDB")</f>
        <v>DiverDB</v>
      </c>
      <c r="P6" s="159" t="str">
        <f ca="1">IFERROR(__xludf.DUMMYFUNCTION("""COMPUTED_VALUE"""),"https://docs.google.com/spreadsheets/d/1nWRr0iPvCqjOZZfQ0W_dsVOnIVQGWExi8c0GPs3bs7o")</f>
        <v>https://docs.google.com/spreadsheets/d/1nWRr0iPvCqjOZZfQ0W_dsVOnIVQGWExi8c0GPs3bs7o</v>
      </c>
      <c r="Q6" s="155" t="str">
        <f ca="1">IFERROR(__xludf.DUMMYFUNCTION("""COMPUTED_VALUE"""),"Dual3")</f>
        <v>Dual3</v>
      </c>
      <c r="R6" s="156">
        <f ca="1">IFERROR(__xludf.DUMMYFUNCTION("""COMPUTED_VALUE"""),45475)</f>
        <v>45475</v>
      </c>
      <c r="S6" s="157" t="str">
        <f ca="1">IFERROR(__xludf.DUMMYFUNCTION("""COMPUTED_VALUE"""),"Adm, DC, Reps")</f>
        <v>Adm, DC, Reps</v>
      </c>
      <c r="T6" s="145"/>
      <c r="U6" s="167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58" t="str">
        <f ca="1">IFERROR(__xludf.DUMMYFUNCTION("""COMPUTED_VALUE"""),"CB")</f>
        <v>CB</v>
      </c>
      <c r="AH6" s="157" t="str">
        <f ca="1">IFERROR(__xludf.DUMMYFUNCTION("""COMPUTED_VALUE"""),"Chesterbrook")</f>
        <v>Chesterbrook</v>
      </c>
    </row>
    <row r="7" spans="1:34" ht="15.75" customHeight="1">
      <c r="A7" s="124">
        <f ca="1">IFERROR(__xludf.DUMMYFUNCTION("""COMPUTED_VALUE"""),4)</f>
        <v>4</v>
      </c>
      <c r="B7" s="43" t="str">
        <f ca="1">IFERROR(__xludf.DUMMYFUNCTION("""COMPUTED_VALUE"""),"JB")</f>
        <v>JB</v>
      </c>
      <c r="C7" s="43" t="str">
        <f ca="1">IFERROR(__xludf.DUMMYFUNCTION("""COMPUTED_VALUE"""),"Junior Boys")</f>
        <v>Junior Boys</v>
      </c>
      <c r="D7" s="43"/>
      <c r="E7" s="149">
        <f ca="1">IFERROR(__xludf.DUMMYFUNCTION("""COMPUTED_VALUE"""),4)</f>
        <v>4</v>
      </c>
      <c r="F7" s="149"/>
      <c r="G7" s="150">
        <f ca="1">IFERROR(__xludf.DUMMYFUNCTION("""COMPUTED_VALUE"""),4)</f>
        <v>4</v>
      </c>
      <c r="H7" s="150" t="str">
        <f ca="1">IFERROR(__xludf.DUMMYFUNCTION("""COMPUTED_VALUE"""),"F")</f>
        <v>F</v>
      </c>
      <c r="I7" s="151" t="str">
        <f ca="1">IFERROR(__xludf.DUMMYFUNCTION("""COMPUTED_VALUE"""),"S")</f>
        <v>S</v>
      </c>
      <c r="J7" s="151" t="str">
        <f ca="1">IFERROR(__xludf.DUMMYFUNCTION("""COMPUTED_VALUE"""),"S")</f>
        <v>S</v>
      </c>
      <c r="K7" s="152">
        <f ca="1">IFERROR(__xludf.DUMMYFUNCTION("""COMPUTED_VALUE"""),45482)</f>
        <v>45482</v>
      </c>
      <c r="L7" s="153" t="str">
        <f ca="1">IFERROR(__xludf.DUMMYFUNCTION("""COMPUTED_VALUE"""),"05-Home Team Approved")</f>
        <v>05-Home Team Approved</v>
      </c>
      <c r="M7" s="151" t="str">
        <f ca="1">IFERROR(__xludf.DUMMYFUNCTION("""COMPUTED_VALUE"""),"JB")</f>
        <v>JB</v>
      </c>
      <c r="N7" s="151">
        <f ca="1">IFERROR(__xludf.DUMMYFUNCTION("""COMPUTED_VALUE"""),95)</f>
        <v>95</v>
      </c>
      <c r="O7" s="154" t="str">
        <f ca="1">IFERROR(__xludf.DUMMYFUNCTION("""COMPUTED_VALUE"""),"DiverDBExport")</f>
        <v>DiverDBExport</v>
      </c>
      <c r="P7" s="159" t="str">
        <f ca="1">IFERROR(__xludf.DUMMYFUNCTION("""COMPUTED_VALUE"""),"https://docs.google.com/spreadsheets/d/1WvY6S-oVsh4YAeW15chzvtmxCXSLB7_I7Z-EgHKRi9c")</f>
        <v>https://docs.google.com/spreadsheets/d/1WvY6S-oVsh4YAeW15chzvtmxCXSLB7_I7Z-EgHKRi9c</v>
      </c>
      <c r="Q7" s="160" t="str">
        <f ca="1">IFERROR(__xludf.DUMMYFUNCTION("""COMPUTED_VALUE"""),"Dual4")</f>
        <v>Dual4</v>
      </c>
      <c r="R7" s="161">
        <f ca="1">IFERROR(__xludf.DUMMYFUNCTION("""COMPUTED_VALUE"""),45482)</f>
        <v>45482</v>
      </c>
      <c r="S7" s="162" t="str">
        <f ca="1">IFERROR(__xludf.DUMMYFUNCTION("""COMPUTED_VALUE"""),"Adm, DC, Reps")</f>
        <v>Adm, DC, Reps</v>
      </c>
      <c r="T7" s="145"/>
      <c r="U7" s="168">
        <f ca="1">IFERROR(__xludf.DUMMYFUNCTION("""COMPUTED_VALUE"""),45461)</f>
        <v>45461</v>
      </c>
      <c r="V7" s="162"/>
      <c r="W7" s="162"/>
      <c r="X7" s="169"/>
      <c r="Y7" s="162"/>
      <c r="Z7" s="145"/>
      <c r="AA7" s="170">
        <f ca="1">IFERROR(__xludf.DUMMYFUNCTION("""COMPUTED_VALUE"""),1)</f>
        <v>1</v>
      </c>
      <c r="AB7" s="171">
        <f ca="1">IFERROR(__xludf.DUMMYFUNCTION("""COMPUTED_VALUE"""),45461)</f>
        <v>45461</v>
      </c>
      <c r="AC7" s="172" t="str">
        <f ca="1">IFERROR(__xludf.DUMMYFUNCTION("""COMPUTED_VALUE"""),"")</f>
        <v/>
      </c>
      <c r="AD7" s="162" t="str">
        <f ca="1">IFERROR(__xludf.DUMMYFUNCTION("""COMPUTED_VALUE"""),"")</f>
        <v/>
      </c>
      <c r="AE7" s="162" t="str">
        <f ca="1">IFERROR(__xludf.DUMMYFUNCTION("""COMPUTED_VALUE"""),"")</f>
        <v/>
      </c>
      <c r="AF7" s="145"/>
      <c r="AG7" s="173" t="str">
        <f ca="1">IFERROR(__xludf.DUMMYFUNCTION("""COMPUTED_VALUE"""),"CCC")</f>
        <v>CCC</v>
      </c>
      <c r="AH7" s="162" t="str">
        <f ca="1">IFERROR(__xludf.DUMMYFUNCTION("""COMPUTED_VALUE"""),"Camelot Community Club")</f>
        <v>Camelot Community Club</v>
      </c>
    </row>
    <row r="8" spans="1:34" ht="15.75" customHeight="1">
      <c r="A8" s="124">
        <f ca="1">IFERROR(__xludf.DUMMYFUNCTION("""COMPUTED_VALUE"""),5)</f>
        <v>5</v>
      </c>
      <c r="B8" s="43" t="str">
        <f ca="1">IFERROR(__xludf.DUMMYFUNCTION("""COMPUTED_VALUE"""),"IG")</f>
        <v>IG</v>
      </c>
      <c r="C8" s="43" t="str">
        <f ca="1">IFERROR(__xludf.DUMMYFUNCTION("""COMPUTED_VALUE"""),"Intermediate Girls")</f>
        <v>Intermediate Girls</v>
      </c>
      <c r="D8" s="43"/>
      <c r="E8" s="149">
        <f ca="1">IFERROR(__xludf.DUMMYFUNCTION("""COMPUTED_VALUE"""),5)</f>
        <v>5</v>
      </c>
      <c r="F8" s="149"/>
      <c r="G8" s="150">
        <f ca="1">IFERROR(__xludf.DUMMYFUNCTION("""COMPUTED_VALUE"""),5)</f>
        <v>5</v>
      </c>
      <c r="H8" s="150" t="str">
        <f ca="1">IFERROR(__xludf.DUMMYFUNCTION("""COMPUTED_VALUE"""),"F")</f>
        <v>F</v>
      </c>
      <c r="I8" s="151"/>
      <c r="J8" s="151"/>
      <c r="K8" s="152">
        <f ca="1">IFERROR(__xludf.DUMMYFUNCTION("""COMPUTED_VALUE"""),45489)</f>
        <v>45489</v>
      </c>
      <c r="L8" s="153" t="str">
        <f ca="1">IFERROR(__xludf.DUMMYFUNCTION("""COMPUTED_VALUE"""),"06-Visiting Team Approved")</f>
        <v>06-Visiting Team Approved</v>
      </c>
      <c r="M8" s="151" t="str">
        <f ca="1">IFERROR(__xludf.DUMMYFUNCTION("""COMPUTED_VALUE"""),"IG")</f>
        <v>IG</v>
      </c>
      <c r="N8" s="151">
        <f ca="1">IFERROR(__xludf.DUMMYFUNCTION("""COMPUTED_VALUE"""),136)</f>
        <v>136</v>
      </c>
      <c r="O8" s="154" t="str">
        <f ca="1">IFERROR(__xludf.DUMMYFUNCTION("""COMPUTED_VALUE"""),"Instructions")</f>
        <v>Instructions</v>
      </c>
      <c r="P8" s="159" t="str">
        <f ca="1">IFERROR(__xludf.DUMMYFUNCTION("""COMPUTED_VALUE"""),"https://docs.google.com/document/d/1x9nXuXcDRG-KBHcaYIxv7seoRzwlefo0-zRuE9Zvp5s/edit?usp=sharing")</f>
        <v>https://docs.google.com/document/d/1x9nXuXcDRG-KBHcaYIxv7seoRzwlefo0-zRuE9Zvp5s/edit?usp=sharing</v>
      </c>
      <c r="Q8" s="155" t="str">
        <f ca="1">IFERROR(__xludf.DUMMYFUNCTION("""COMPUTED_VALUE"""),"Dual5")</f>
        <v>Dual5</v>
      </c>
      <c r="R8" s="156">
        <f ca="1">IFERROR(__xludf.DUMMYFUNCTION("""COMPUTED_VALUE"""),45489)</f>
        <v>45489</v>
      </c>
      <c r="S8" s="157" t="str">
        <f ca="1">IFERROR(__xludf.DUMMYFUNCTION("""COMPUTED_VALUE"""),"Adm, DC, Reps")</f>
        <v>Adm, DC, Reps</v>
      </c>
      <c r="T8" s="145"/>
      <c r="U8" s="174" t="str">
        <f ca="1">IFERROR(__xludf.DUMMYFUNCTION("""COMPUTED_VALUE"""),"Donaldson Run")</f>
        <v>Donaldson Run</v>
      </c>
      <c r="V8" s="157" t="str">
        <f ca="1">IFERROR(__xludf.DUMMYFUNCTION("""COMPUTED_VALUE"""),"at")</f>
        <v>at</v>
      </c>
      <c r="W8" s="157" t="str">
        <f ca="1">IFERROR(__xludf.DUMMYFUNCTION("""COMPUTED_VALUE"""),"Fairfax")</f>
        <v>Fairfax</v>
      </c>
      <c r="X8" s="175">
        <f ca="1">IFERROR(__xludf.DUMMYFUNCTION("""COMPUTED_VALUE"""),0.75)</f>
        <v>0.75</v>
      </c>
      <c r="Y8" s="157" t="str">
        <f ca="1">IFERROR(__xludf.DUMMYFUNCTION("""COMPUTED_VALUE"""),"MAP")</f>
        <v>MAP</v>
      </c>
      <c r="Z8" s="145"/>
      <c r="AA8" s="158">
        <f ca="1">IFERROR(__xludf.DUMMYFUNCTION("""COMPUTED_VALUE"""),11)</f>
        <v>11</v>
      </c>
      <c r="AB8" s="176">
        <f ca="1">IFERROR(__xludf.DUMMYFUNCTION("""COMPUTED_VALUE"""),45461)</f>
        <v>45461</v>
      </c>
      <c r="AC8" s="177" t="str">
        <f ca="1">IFERROR(__xludf.DUMMYFUNCTION("""COMPUTED_VALUE"""),"20240618-11")</f>
        <v>20240618-11</v>
      </c>
      <c r="AD8" s="177" t="str">
        <f ca="1">IFERROR(__xludf.DUMMYFUNCTION("""COMPUTED_VALUE"""),"F-Fairfax")</f>
        <v>F-Fairfax</v>
      </c>
      <c r="AE8" s="177" t="str">
        <f ca="1">IFERROR(__xludf.DUMMYFUNCTION("""COMPUTED_VALUE"""),"DR-Donaldson Run")</f>
        <v>DR-Donaldson Run</v>
      </c>
      <c r="AF8" s="145"/>
      <c r="AG8" s="178" t="str">
        <f ca="1">IFERROR(__xludf.DUMMYFUNCTION("""COMPUTED_VALUE"""),"CH")</f>
        <v>CH</v>
      </c>
      <c r="AH8" s="157" t="str">
        <f ca="1">IFERROR(__xludf.DUMMYFUNCTION("""COMPUTED_VALUE"""),"Cardinal Hill")</f>
        <v>Cardinal Hill</v>
      </c>
    </row>
    <row r="9" spans="1:34" ht="15.75" customHeight="1">
      <c r="A9" s="124">
        <f ca="1">IFERROR(__xludf.DUMMYFUNCTION("""COMPUTED_VALUE"""),6)</f>
        <v>6</v>
      </c>
      <c r="B9" s="43" t="str">
        <f ca="1">IFERROR(__xludf.DUMMYFUNCTION("""COMPUTED_VALUE"""),"IB")</f>
        <v>IB</v>
      </c>
      <c r="C9" s="43" t="str">
        <f ca="1">IFERROR(__xludf.DUMMYFUNCTION("""COMPUTED_VALUE"""),"Intermediate Boys")</f>
        <v>Intermediate Boys</v>
      </c>
      <c r="D9" s="43"/>
      <c r="E9" s="149">
        <f ca="1">IFERROR(__xludf.DUMMYFUNCTION("""COMPUTED_VALUE"""),6)</f>
        <v>6</v>
      </c>
      <c r="F9" s="149"/>
      <c r="G9" s="150">
        <f ca="1">IFERROR(__xludf.DUMMYFUNCTION("""COMPUTED_VALUE"""),6)</f>
        <v>6</v>
      </c>
      <c r="H9" s="150" t="str">
        <f ca="1">IFERROR(__xludf.DUMMYFUNCTION("""COMPUTED_VALUE"""),"F")</f>
        <v>F</v>
      </c>
      <c r="I9" s="151"/>
      <c r="J9" s="151"/>
      <c r="K9" s="153"/>
      <c r="L9" s="153" t="str">
        <f ca="1">IFERROR(__xludf.DUMMYFUNCTION("""COMPUTED_VALUE"""),"08-Div Coord Approved")</f>
        <v>08-Div Coord Approved</v>
      </c>
      <c r="M9" s="151" t="str">
        <f ca="1">IFERROR(__xludf.DUMMYFUNCTION("""COMPUTED_VALUE"""),"IB")</f>
        <v>IB</v>
      </c>
      <c r="N9" s="151">
        <f ca="1">IFERROR(__xludf.DUMMYFUNCTION("""COMPUTED_VALUE"""),129)</f>
        <v>129</v>
      </c>
      <c r="O9" s="154" t="str">
        <f ca="1">IFERROR(__xludf.DUMMYFUNCTION("""COMPUTED_VALUE"""),"DIVSScoreboard")</f>
        <v>DIVSScoreboard</v>
      </c>
      <c r="P9" s="154" t="str">
        <f ca="1">IFERROR(__xludf.DUMMYFUNCTION("""COMPUTED_VALUE"""),"1ROHcExxYfcbVyhWsFtLgNWrwHmoxPYc2memZZLdR448")</f>
        <v>1ROHcExxYfcbVyhWsFtLgNWrwHmoxPYc2memZZLdR448</v>
      </c>
      <c r="Q9" s="160" t="str">
        <f ca="1">IFERROR(__xludf.DUMMYFUNCTION("""COMPUTED_VALUE"""),"WM")</f>
        <v>WM</v>
      </c>
      <c r="R9" s="161">
        <f ca="1">IFERROR(__xludf.DUMMYFUNCTION("""COMPUTED_VALUE"""),45480)</f>
        <v>45480</v>
      </c>
      <c r="S9" s="162" t="str">
        <f ca="1">IFERROR(__xludf.DUMMYFUNCTION("""COMPUTED_VALUE"""),"Adm + 1")</f>
        <v>Adm + 1</v>
      </c>
      <c r="T9" s="145"/>
      <c r="U9" s="168" t="str">
        <f ca="1">IFERROR(__xludf.DUMMYFUNCTION("""COMPUTED_VALUE"""),"Oakton")</f>
        <v>Oakton</v>
      </c>
      <c r="V9" s="162" t="str">
        <f ca="1">IFERROR(__xludf.DUMMYFUNCTION("""COMPUTED_VALUE"""),"at")</f>
        <v>at</v>
      </c>
      <c r="W9" s="162" t="str">
        <f ca="1">IFERROR(__xludf.DUMMYFUNCTION("""COMPUTED_VALUE"""),"Old Keene Mill")</f>
        <v>Old Keene Mill</v>
      </c>
      <c r="X9" s="169">
        <f ca="1">IFERROR(__xludf.DUMMYFUNCTION("""COMPUTED_VALUE"""),0.75)</f>
        <v>0.75</v>
      </c>
      <c r="Y9" s="162" t="str">
        <f ca="1">IFERROR(__xludf.DUMMYFUNCTION("""COMPUTED_VALUE"""),"MAP")</f>
        <v>MAP</v>
      </c>
      <c r="Z9" s="145"/>
      <c r="AA9" s="170">
        <f ca="1">IFERROR(__xludf.DUMMYFUNCTION("""COMPUTED_VALUE"""),12)</f>
        <v>12</v>
      </c>
      <c r="AB9" s="171">
        <f ca="1">IFERROR(__xludf.DUMMYFUNCTION("""COMPUTED_VALUE"""),45461)</f>
        <v>45461</v>
      </c>
      <c r="AC9" s="172" t="str">
        <f ca="1">IFERROR(__xludf.DUMMYFUNCTION("""COMPUTED_VALUE"""),"20240618-12")</f>
        <v>20240618-12</v>
      </c>
      <c r="AD9" s="172" t="str">
        <f ca="1">IFERROR(__xludf.DUMMYFUNCTION("""COMPUTED_VALUE"""),"OKM-Old Keene Mill")</f>
        <v>OKM-Old Keene Mill</v>
      </c>
      <c r="AE9" s="172" t="str">
        <f ca="1">IFERROR(__xludf.DUMMYFUNCTION("""COMPUTED_VALUE"""),"OAK-Oakton")</f>
        <v>OAK-Oakton</v>
      </c>
      <c r="AF9" s="145"/>
      <c r="AG9" s="173" t="str">
        <f ca="1">IFERROR(__xludf.DUMMYFUNCTION("""COMPUTED_VALUE"""),"CP")</f>
        <v>CP</v>
      </c>
      <c r="AH9" s="162" t="str">
        <f ca="1">IFERROR(__xludf.DUMMYFUNCTION("""COMPUTED_VALUE"""),"Crosspointe")</f>
        <v>Crosspointe</v>
      </c>
    </row>
    <row r="10" spans="1:34" ht="15.75" customHeight="1">
      <c r="A10" s="124">
        <f ca="1">IFERROR(__xludf.DUMMYFUNCTION("""COMPUTED_VALUE"""),7)</f>
        <v>7</v>
      </c>
      <c r="B10" s="43" t="str">
        <f ca="1">IFERROR(__xludf.DUMMYFUNCTION("""COMPUTED_VALUE"""),"SG")</f>
        <v>SG</v>
      </c>
      <c r="C10" s="43" t="str">
        <f ca="1">IFERROR(__xludf.DUMMYFUNCTION("""COMPUTED_VALUE"""),"Senior Girls")</f>
        <v>Senior Girls</v>
      </c>
      <c r="D10" s="43"/>
      <c r="E10" s="149">
        <f ca="1">IFERROR(__xludf.DUMMYFUNCTION("""COMPUTED_VALUE"""),7)</f>
        <v>7</v>
      </c>
      <c r="F10" s="149"/>
      <c r="G10" s="150">
        <f ca="1">IFERROR(__xludf.DUMMYFUNCTION("""COMPUTED_VALUE"""),7)</f>
        <v>7</v>
      </c>
      <c r="H10" s="150" t="str">
        <f ca="1">IFERROR(__xludf.DUMMYFUNCTION("""COMPUTED_VALUE"""),"F")</f>
        <v>F</v>
      </c>
      <c r="I10" s="151"/>
      <c r="J10" s="151"/>
      <c r="K10" s="153"/>
      <c r="L10" s="153" t="str">
        <f ca="1">IFERROR(__xludf.DUMMYFUNCTION("""COMPUTED_VALUE"""),"10-Finalized")</f>
        <v>10-Finalized</v>
      </c>
      <c r="M10" s="151" t="str">
        <f ca="1">IFERROR(__xludf.DUMMYFUNCTION("""COMPUTED_VALUE"""),"SG")</f>
        <v>SG</v>
      </c>
      <c r="N10" s="151">
        <f ca="1">IFERROR(__xludf.DUMMYFUNCTION("""COMPUTED_VALUE"""),155)</f>
        <v>155</v>
      </c>
      <c r="O10" s="154" t="str">
        <f ca="1">IFERROR(__xludf.DUMMYFUNCTION("""COMPUTED_VALUE"""),"DIVSMaster")</f>
        <v>DIVSMaster</v>
      </c>
      <c r="P10" s="154" t="str">
        <f ca="1">IFERROR(__xludf.DUMMYFUNCTION("""COMPUTED_VALUE"""),"1h-6guRoNavnIVnDoSIZZzh6d9GN7Y-4iyKyhxQnJnh0")</f>
        <v>1h-6guRoNavnIVnDoSIZZzh6d9GN7Y-4iyKyhxQnJnh0</v>
      </c>
      <c r="Q10" s="155" t="str">
        <f ca="1">IFERROR(__xludf.DUMMYFUNCTION("""COMPUTED_VALUE"""),"CJ")</f>
        <v>CJ</v>
      </c>
      <c r="R10" s="156">
        <f ca="1">IFERROR(__xludf.DUMMYFUNCTION("""COMPUTED_VALUE"""),45487)</f>
        <v>45487</v>
      </c>
      <c r="S10" s="157" t="str">
        <f ca="1">IFERROR(__xludf.DUMMYFUNCTION("""COMPUTED_VALUE"""),"Adm + 1")</f>
        <v>Adm + 1</v>
      </c>
      <c r="T10" s="145"/>
      <c r="U10" s="174" t="str">
        <f ca="1">IFERROR(__xludf.DUMMYFUNCTION("""COMPUTED_VALUE"""),"Overlee")</f>
        <v>Overlee</v>
      </c>
      <c r="V10" s="157" t="str">
        <f ca="1">IFERROR(__xludf.DUMMYFUNCTION("""COMPUTED_VALUE"""),"at")</f>
        <v>at</v>
      </c>
      <c r="W10" s="157" t="str">
        <f ca="1">IFERROR(__xludf.DUMMYFUNCTION("""COMPUTED_VALUE"""),"Vienna Woods")</f>
        <v>Vienna Woods</v>
      </c>
      <c r="X10" s="175">
        <f ca="1">IFERROR(__xludf.DUMMYFUNCTION("""COMPUTED_VALUE"""),0.75)</f>
        <v>0.75</v>
      </c>
      <c r="Y10" s="157" t="str">
        <f ca="1">IFERROR(__xludf.DUMMYFUNCTION("""COMPUTED_VALUE"""),"MAP")</f>
        <v>MAP</v>
      </c>
      <c r="Z10" s="145"/>
      <c r="AA10" s="158">
        <f ca="1">IFERROR(__xludf.DUMMYFUNCTION("""COMPUTED_VALUE"""),13)</f>
        <v>13</v>
      </c>
      <c r="AB10" s="176">
        <f ca="1">IFERROR(__xludf.DUMMYFUNCTION("""COMPUTED_VALUE"""),45461)</f>
        <v>45461</v>
      </c>
      <c r="AC10" s="177" t="str">
        <f ca="1">IFERROR(__xludf.DUMMYFUNCTION("""COMPUTED_VALUE"""),"20240618-13")</f>
        <v>20240618-13</v>
      </c>
      <c r="AD10" s="177" t="str">
        <f ca="1">IFERROR(__xludf.DUMMYFUNCTION("""COMPUTED_VALUE"""),"VW-Vienna Woods")</f>
        <v>VW-Vienna Woods</v>
      </c>
      <c r="AE10" s="177" t="str">
        <f ca="1">IFERROR(__xludf.DUMMYFUNCTION("""COMPUTED_VALUE"""),"O-Overlee")</f>
        <v>O-Overlee</v>
      </c>
      <c r="AF10" s="145"/>
      <c r="AG10" s="178" t="str">
        <f ca="1">IFERROR(__xludf.DUMMYFUNCTION("""COMPUTED_VALUE"""),"CSC")</f>
        <v>CSC</v>
      </c>
      <c r="AH10" s="157" t="str">
        <f ca="1">IFERROR(__xludf.DUMMYFUNCTION("""COMPUTED_VALUE"""),"Commonwealth Swim Club")</f>
        <v>Commonwealth Swim Club</v>
      </c>
    </row>
    <row r="11" spans="1:34" ht="15.75" customHeight="1">
      <c r="A11" s="124">
        <f ca="1">IFERROR(__xludf.DUMMYFUNCTION("""COMPUTED_VALUE"""),8)</f>
        <v>8</v>
      </c>
      <c r="B11" s="43" t="str">
        <f ca="1">IFERROR(__xludf.DUMMYFUNCTION("""COMPUTED_VALUE"""),"SB")</f>
        <v>SB</v>
      </c>
      <c r="C11" s="43" t="str">
        <f ca="1">IFERROR(__xludf.DUMMYFUNCTION("""COMPUTED_VALUE"""),"Senior Boys")</f>
        <v>Senior Boys</v>
      </c>
      <c r="D11" s="43"/>
      <c r="E11" s="149">
        <f ca="1">IFERROR(__xludf.DUMMYFUNCTION("""COMPUTED_VALUE"""),8)</f>
        <v>8</v>
      </c>
      <c r="F11" s="149"/>
      <c r="G11" s="150">
        <f ca="1">IFERROR(__xludf.DUMMYFUNCTION("""COMPUTED_VALUE"""),8)</f>
        <v>8</v>
      </c>
      <c r="H11" s="150" t="str">
        <f ca="1">IFERROR(__xludf.DUMMYFUNCTION("""COMPUTED_VALUE"""),"F")</f>
        <v>F</v>
      </c>
      <c r="I11" s="151"/>
      <c r="J11" s="151"/>
      <c r="K11" s="153"/>
      <c r="L11" s="153"/>
      <c r="M11" s="151" t="str">
        <f ca="1">IFERROR(__xludf.DUMMYFUNCTION("""COMPUTED_VALUE"""),"SB")</f>
        <v>SB</v>
      </c>
      <c r="N11" s="151">
        <f ca="1">IFERROR(__xludf.DUMMYFUNCTION("""COMPUTED_VALUE"""),155)</f>
        <v>155</v>
      </c>
      <c r="O11" s="154" t="str">
        <f ca="1">IFERROR(__xludf.DUMMYFUNCTION("""COMPUTED_VALUE"""),"CJScoreboard")</f>
        <v>CJScoreboard</v>
      </c>
      <c r="P11" s="154" t="str">
        <f ca="1">IFERROR(__xludf.DUMMYFUNCTION("""COMPUTED_VALUE"""),"1W69eDEFQmfpb5GVVOGt9IOqNEMWc2Ai0ZbFiT5eARhA")</f>
        <v>1W69eDEFQmfpb5GVVOGt9IOqNEMWc2Ai0ZbFiT5eARhA</v>
      </c>
      <c r="Q11" s="160" t="str">
        <f ca="1">IFERROR(__xludf.DUMMYFUNCTION("""COMPUTED_VALUE"""),"Divisionals")</f>
        <v>Divisionals</v>
      </c>
      <c r="R11" s="161">
        <f ca="1">IFERROR(__xludf.DUMMYFUNCTION("""COMPUTED_VALUE"""),45494)</f>
        <v>45494</v>
      </c>
      <c r="S11" s="162"/>
      <c r="T11" s="145"/>
      <c r="U11" s="168" t="str">
        <f ca="1">IFERROR(__xludf.DUMMYFUNCTION("""COMPUTED_VALUE"""),"Division II")</f>
        <v>Division II</v>
      </c>
      <c r="V11" s="162"/>
      <c r="W11" s="162"/>
      <c r="X11" s="169"/>
      <c r="Y11" s="162"/>
      <c r="Z11" s="145"/>
      <c r="AA11" s="170">
        <f ca="1">IFERROR(__xludf.DUMMYFUNCTION("""COMPUTED_VALUE"""),2)</f>
        <v>2</v>
      </c>
      <c r="AB11" s="171">
        <f ca="1">IFERROR(__xludf.DUMMYFUNCTION("""COMPUTED_VALUE"""),45461)</f>
        <v>45461</v>
      </c>
      <c r="AC11" s="172" t="str">
        <f ca="1">IFERROR(__xludf.DUMMYFUNCTION("""COMPUTED_VALUE"""),"")</f>
        <v/>
      </c>
      <c r="AD11" s="172" t="str">
        <f ca="1">IFERROR(__xludf.DUMMYFUNCTION("""COMPUTED_VALUE"""),"")</f>
        <v/>
      </c>
      <c r="AE11" s="172" t="str">
        <f ca="1">IFERROR(__xludf.DUMMYFUNCTION("""COMPUTED_VALUE"""),"")</f>
        <v/>
      </c>
      <c r="AF11" s="145"/>
      <c r="AG11" s="173" t="str">
        <f ca="1">IFERROR(__xludf.DUMMYFUNCTION("""COMPUTED_VALUE"""),"DH")</f>
        <v>DH</v>
      </c>
      <c r="AH11" s="162" t="str">
        <f ca="1">IFERROR(__xludf.DUMMYFUNCTION("""COMPUTED_VALUE"""),"Dominion Hills")</f>
        <v>Dominion Hills</v>
      </c>
    </row>
    <row r="12" spans="1:34" ht="15.75" customHeight="1">
      <c r="A12" s="124"/>
      <c r="B12" s="43"/>
      <c r="C12" s="43"/>
      <c r="D12" s="43"/>
      <c r="E12" s="149">
        <f ca="1">IFERROR(__xludf.DUMMYFUNCTION("""COMPUTED_VALUE"""),9)</f>
        <v>9</v>
      </c>
      <c r="F12" s="149"/>
      <c r="G12" s="150">
        <f ca="1">IFERROR(__xludf.DUMMYFUNCTION("""COMPUTED_VALUE"""),9)</f>
        <v>9</v>
      </c>
      <c r="H12" s="150" t="str">
        <f ca="1">IFERROR(__xludf.DUMMYFUNCTION("""COMPUTED_VALUE"""),"F")</f>
        <v>F</v>
      </c>
      <c r="I12" s="151"/>
      <c r="J12" s="151"/>
      <c r="K12" s="153"/>
      <c r="L12" s="153"/>
      <c r="M12" s="151"/>
      <c r="N12" s="151"/>
      <c r="O12" s="154" t="str">
        <f ca="1">IFERROR(__xludf.DUMMYFUNCTION("""COMPUTED_VALUE"""),"CJMaster")</f>
        <v>CJMaster</v>
      </c>
      <c r="P12" s="154" t="str">
        <f ca="1">IFERROR(__xludf.DUMMYFUNCTION("""COMPUTED_VALUE"""),"1d41c9VrZVGoFZmdPytjZLcElGHjcmWtcVoWp9IWPmT8")</f>
        <v>1d41c9VrZVGoFZmdPytjZLcElGHjcmWtcVoWp9IWPmT8</v>
      </c>
      <c r="Q12" s="157" t="str">
        <f ca="1">IFERROR(__xludf.DUMMYFUNCTION("""COMPUTED_VALUE"""),"AllStars")</f>
        <v>AllStars</v>
      </c>
      <c r="R12" s="156">
        <f ca="1">IFERROR(__xludf.DUMMYFUNCTION("""COMPUTED_VALUE"""),45501)</f>
        <v>45501</v>
      </c>
      <c r="S12" s="157" t="str">
        <f ca="1">IFERROR(__xludf.DUMMYFUNCTION("""COMPUTED_VALUE"""),"Adm, DC")</f>
        <v>Adm, DC</v>
      </c>
      <c r="T12" s="145"/>
      <c r="U12" s="174" t="str">
        <f ca="1">IFERROR(__xludf.DUMMYFUNCTION("""COMPUTED_VALUE"""),"Highlands Swim")</f>
        <v>Highlands Swim</v>
      </c>
      <c r="V12" s="157" t="str">
        <f ca="1">IFERROR(__xludf.DUMMYFUNCTION("""COMPUTED_VALUE"""),"at")</f>
        <v>at</v>
      </c>
      <c r="W12" s="157" t="str">
        <f ca="1">IFERROR(__xludf.DUMMYFUNCTION("""COMPUTED_VALUE"""),"Kent Gardens")</f>
        <v>Kent Gardens</v>
      </c>
      <c r="X12" s="175">
        <f ca="1">IFERROR(__xludf.DUMMYFUNCTION("""COMPUTED_VALUE"""),0.75)</f>
        <v>0.75</v>
      </c>
      <c r="Y12" s="157" t="str">
        <f ca="1">IFERROR(__xludf.DUMMYFUNCTION("""COMPUTED_VALUE"""),"MAP")</f>
        <v>MAP</v>
      </c>
      <c r="Z12" s="145"/>
      <c r="AA12" s="158">
        <f ca="1">IFERROR(__xludf.DUMMYFUNCTION("""COMPUTED_VALUE"""),21)</f>
        <v>21</v>
      </c>
      <c r="AB12" s="176">
        <f ca="1">IFERROR(__xludf.DUMMYFUNCTION("""COMPUTED_VALUE"""),45461)</f>
        <v>45461</v>
      </c>
      <c r="AC12" s="177" t="str">
        <f ca="1">IFERROR(__xludf.DUMMYFUNCTION("""COMPUTED_VALUE"""),"20240618-21")</f>
        <v>20240618-21</v>
      </c>
      <c r="AD12" s="177" t="str">
        <f ca="1">IFERROR(__xludf.DUMMYFUNCTION("""COMPUTED_VALUE"""),"KG-Kent Gardens")</f>
        <v>KG-Kent Gardens</v>
      </c>
      <c r="AE12" s="177" t="str">
        <f ca="1">IFERROR(__xludf.DUMMYFUNCTION("""COMPUTED_VALUE"""),"HS-Highlands Swim")</f>
        <v>HS-Highlands Swim</v>
      </c>
      <c r="AF12" s="145"/>
      <c r="AG12" s="158" t="str">
        <f ca="1">IFERROR(__xludf.DUMMYFUNCTION("""COMPUTED_VALUE"""),"DL")</f>
        <v>DL</v>
      </c>
      <c r="AH12" s="157" t="str">
        <f ca="1">IFERROR(__xludf.DUMMYFUNCTION("""COMPUTED_VALUE"""),"Dunn Loring")</f>
        <v>Dunn Loring</v>
      </c>
    </row>
    <row r="13" spans="1:34" ht="15.75" customHeight="1">
      <c r="A13" s="124"/>
      <c r="B13" s="43"/>
      <c r="C13" s="43"/>
      <c r="D13" s="43"/>
      <c r="E13" s="149">
        <f ca="1">IFERROR(__xludf.DUMMYFUNCTION("""COMPUTED_VALUE"""),10)</f>
        <v>10</v>
      </c>
      <c r="F13" s="149"/>
      <c r="G13" s="150">
        <f ca="1">IFERROR(__xludf.DUMMYFUNCTION("""COMPUTED_VALUE"""),10)</f>
        <v>10</v>
      </c>
      <c r="H13" s="150" t="str">
        <f ca="1">IFERROR(__xludf.DUMMYFUNCTION("""COMPUTED_VALUE"""),"F")</f>
        <v>F</v>
      </c>
      <c r="I13" s="151"/>
      <c r="J13" s="151"/>
      <c r="K13" s="153"/>
      <c r="L13" s="153"/>
      <c r="M13" s="151"/>
      <c r="N13" s="151"/>
      <c r="O13" s="154" t="str">
        <f ca="1">IFERROR(__xludf.DUMMYFUNCTION("""COMPUTED_VALUE"""),"CJInstructions")</f>
        <v>CJInstructions</v>
      </c>
      <c r="P13" s="159" t="str">
        <f ca="1">IFERROR(__xludf.DUMMYFUNCTION("""COMPUTED_VALUE"""),"https://dive.mynvsl.com/documents?folder_id=26941")</f>
        <v>https://dive.mynvsl.com/documents?folder_id=26941</v>
      </c>
      <c r="Q13" s="162"/>
      <c r="R13" s="162"/>
      <c r="S13" s="162"/>
      <c r="T13" s="145"/>
      <c r="U13" s="168" t="str">
        <f ca="1">IFERROR(__xludf.DUMMYFUNCTION("""COMPUTED_VALUE"""),"Hunt Valley")</f>
        <v>Hunt Valley</v>
      </c>
      <c r="V13" s="162" t="str">
        <f ca="1">IFERROR(__xludf.DUMMYFUNCTION("""COMPUTED_VALUE"""),"at")</f>
        <v>at</v>
      </c>
      <c r="W13" s="162" t="str">
        <f ca="1">IFERROR(__xludf.DUMMYFUNCTION("""COMPUTED_VALUE"""),"Rolling Hills")</f>
        <v>Rolling Hills</v>
      </c>
      <c r="X13" s="169">
        <f ca="1">IFERROR(__xludf.DUMMYFUNCTION("""COMPUTED_VALUE"""),0.75)</f>
        <v>0.75</v>
      </c>
      <c r="Y13" s="162" t="str">
        <f ca="1">IFERROR(__xludf.DUMMYFUNCTION("""COMPUTED_VALUE"""),"MAP")</f>
        <v>MAP</v>
      </c>
      <c r="Z13" s="145"/>
      <c r="AA13" s="170">
        <f ca="1">IFERROR(__xludf.DUMMYFUNCTION("""COMPUTED_VALUE"""),22)</f>
        <v>22</v>
      </c>
      <c r="AB13" s="171">
        <f ca="1">IFERROR(__xludf.DUMMYFUNCTION("""COMPUTED_VALUE"""),45461)</f>
        <v>45461</v>
      </c>
      <c r="AC13" s="172" t="str">
        <f ca="1">IFERROR(__xludf.DUMMYFUNCTION("""COMPUTED_VALUE"""),"20240618-22")</f>
        <v>20240618-22</v>
      </c>
      <c r="AD13" s="172" t="str">
        <f ca="1">IFERROR(__xludf.DUMMYFUNCTION("""COMPUTED_VALUE"""),"RH-Rolling Hills")</f>
        <v>RH-Rolling Hills</v>
      </c>
      <c r="AE13" s="172" t="str">
        <f ca="1">IFERROR(__xludf.DUMMYFUNCTION("""COMPUTED_VALUE"""),"HV-Hunt Valley")</f>
        <v>HV-Hunt Valley</v>
      </c>
      <c r="AF13" s="145"/>
      <c r="AG13" s="170" t="str">
        <f ca="1">IFERROR(__xludf.DUMMYFUNCTION("""COMPUTED_VALUE"""),"DR")</f>
        <v>DR</v>
      </c>
      <c r="AH13" s="162" t="str">
        <f ca="1">IFERROR(__xludf.DUMMYFUNCTION("""COMPUTED_VALUE"""),"Donaldson Run")</f>
        <v>Donaldson Run</v>
      </c>
    </row>
    <row r="14" spans="1:34" ht="15.75" customHeight="1">
      <c r="A14" s="124"/>
      <c r="B14" s="43"/>
      <c r="C14" s="43"/>
      <c r="D14" s="43"/>
      <c r="E14" s="149">
        <f ca="1">IFERROR(__xludf.DUMMYFUNCTION("""COMPUTED_VALUE"""),11)</f>
        <v>11</v>
      </c>
      <c r="F14" s="179"/>
      <c r="G14" s="150">
        <f ca="1">IFERROR(__xludf.DUMMYFUNCTION("""COMPUTED_VALUE"""),11)</f>
        <v>11</v>
      </c>
      <c r="H14" s="150" t="str">
        <f ca="1">IFERROR(__xludf.DUMMYFUNCTION("""COMPUTED_VALUE"""),"J")</f>
        <v>J</v>
      </c>
      <c r="I14" s="151"/>
      <c r="J14" s="151"/>
      <c r="K14" s="153"/>
      <c r="L14" s="153"/>
      <c r="M14" s="151"/>
      <c r="N14" s="151"/>
      <c r="O14" s="154" t="str">
        <f ca="1">IFERROR(__xludf.DUMMYFUNCTION("""COMPUTED_VALUE"""),"CJDelimiter")</f>
        <v>CJDelimiter</v>
      </c>
      <c r="P14" s="154" t="str">
        <f ca="1">IFERROR(__xludf.DUMMYFUNCTION("""COMPUTED_VALUE"""),"ZZ")</f>
        <v>ZZ</v>
      </c>
      <c r="Q14" s="157"/>
      <c r="R14" s="157"/>
      <c r="S14" s="157"/>
      <c r="T14" s="145"/>
      <c r="U14" s="174" t="str">
        <f ca="1">IFERROR(__xludf.DUMMYFUNCTION("""COMPUTED_VALUE"""),"Dominion Hills")</f>
        <v>Dominion Hills</v>
      </c>
      <c r="V14" s="157" t="str">
        <f ca="1">IFERROR(__xludf.DUMMYFUNCTION("""COMPUTED_VALUE"""),"at")</f>
        <v>at</v>
      </c>
      <c r="W14" s="157" t="str">
        <f ca="1">IFERROR(__xludf.DUMMYFUNCTION("""COMPUTED_VALUE"""),"Sleepy Hollow Rec")</f>
        <v>Sleepy Hollow Rec</v>
      </c>
      <c r="X14" s="175">
        <f ca="1">IFERROR(__xludf.DUMMYFUNCTION("""COMPUTED_VALUE"""),0.75)</f>
        <v>0.75</v>
      </c>
      <c r="Y14" s="157" t="str">
        <f ca="1">IFERROR(__xludf.DUMMYFUNCTION("""COMPUTED_VALUE"""),"MAP")</f>
        <v>MAP</v>
      </c>
      <c r="Z14" s="145"/>
      <c r="AA14" s="158">
        <f ca="1">IFERROR(__xludf.DUMMYFUNCTION("""COMPUTED_VALUE"""),23)</f>
        <v>23</v>
      </c>
      <c r="AB14" s="176">
        <f ca="1">IFERROR(__xludf.DUMMYFUNCTION("""COMPUTED_VALUE"""),45461)</f>
        <v>45461</v>
      </c>
      <c r="AC14" s="177" t="str">
        <f ca="1">IFERROR(__xludf.DUMMYFUNCTION("""COMPUTED_VALUE"""),"20240618-23")</f>
        <v>20240618-23</v>
      </c>
      <c r="AD14" s="177" t="str">
        <f ca="1">IFERROR(__xludf.DUMMYFUNCTION("""COMPUTED_VALUE"""),"SHR-Sleepy Hollow Rec")</f>
        <v>SHR-Sleepy Hollow Rec</v>
      </c>
      <c r="AE14" s="177" t="str">
        <f ca="1">IFERROR(__xludf.DUMMYFUNCTION("""COMPUTED_VALUE"""),"DH-Dominion Hills")</f>
        <v>DH-Dominion Hills</v>
      </c>
      <c r="AF14" s="145"/>
      <c r="AG14" s="158" t="str">
        <f ca="1">IFERROR(__xludf.DUMMYFUNCTION("""COMPUTED_VALUE"""),"F")</f>
        <v>F</v>
      </c>
      <c r="AH14" s="157" t="str">
        <f ca="1">IFERROR(__xludf.DUMMYFUNCTION("""COMPUTED_VALUE"""),"Fairfax")</f>
        <v>Fairfax</v>
      </c>
    </row>
    <row r="15" spans="1:34" ht="15.75" customHeight="1">
      <c r="A15" s="124"/>
      <c r="B15" s="43"/>
      <c r="C15" s="43"/>
      <c r="D15" s="43"/>
      <c r="E15" s="149">
        <f ca="1">IFERROR(__xludf.DUMMYFUNCTION("""COMPUTED_VALUE"""),12)</f>
        <v>12</v>
      </c>
      <c r="F15" s="179"/>
      <c r="G15" s="150">
        <f ca="1">IFERROR(__xludf.DUMMYFUNCTION("""COMPUTED_VALUE"""),12)</f>
        <v>12</v>
      </c>
      <c r="H15" s="150" t="str">
        <f ca="1">IFERROR(__xludf.DUMMYFUNCTION("""COMPUTED_VALUE"""),"J")</f>
        <v>J</v>
      </c>
      <c r="I15" s="151"/>
      <c r="J15" s="151"/>
      <c r="K15" s="153"/>
      <c r="L15" s="153"/>
      <c r="M15" s="151"/>
      <c r="N15" s="151"/>
      <c r="O15" s="142" t="str">
        <f ca="1">IFERROR(__xludf.DUMMYFUNCTION("""COMPUTED_VALUE"""),"CoordDivURL")</f>
        <v>CoordDivURL</v>
      </c>
      <c r="P15" s="180" t="str">
        <f ca="1">IFERROR(__xludf.DUMMYFUNCTION("""COMPUTED_VALUE"""),"https://dive.mynvsl.com/contacts/division-coordinators")</f>
        <v>https://dive.mynvsl.com/contacts/division-coordinators</v>
      </c>
      <c r="Q15" s="162"/>
      <c r="R15" s="162"/>
      <c r="S15" s="162"/>
      <c r="T15" s="145"/>
      <c r="U15" s="168" t="str">
        <f ca="1">IFERROR(__xludf.DUMMYFUNCTION("""COMPUTED_VALUE"""),"Division III")</f>
        <v>Division III</v>
      </c>
      <c r="V15" s="162"/>
      <c r="W15" s="162"/>
      <c r="X15" s="169"/>
      <c r="Y15" s="162"/>
      <c r="Z15" s="145"/>
      <c r="AA15" s="170">
        <f ca="1">IFERROR(__xludf.DUMMYFUNCTION("""COMPUTED_VALUE"""),3)</f>
        <v>3</v>
      </c>
      <c r="AB15" s="181">
        <f ca="1">IFERROR(__xludf.DUMMYFUNCTION("""COMPUTED_VALUE"""),45461)</f>
        <v>45461</v>
      </c>
      <c r="AC15" s="172" t="str">
        <f ca="1">IFERROR(__xludf.DUMMYFUNCTION("""COMPUTED_VALUE"""),"")</f>
        <v/>
      </c>
      <c r="AD15" s="172" t="str">
        <f ca="1">IFERROR(__xludf.DUMMYFUNCTION("""COMPUTED_VALUE"""),"")</f>
        <v/>
      </c>
      <c r="AE15" s="172" t="str">
        <f ca="1">IFERROR(__xludf.DUMMYFUNCTION("""COMPUTED_VALUE"""),"")</f>
        <v/>
      </c>
      <c r="AF15" s="145"/>
      <c r="AG15" s="170" t="str">
        <f ca="1">IFERROR(__xludf.DUMMYFUNCTION("""COMPUTED_VALUE"""),"FS")</f>
        <v>FS</v>
      </c>
      <c r="AH15" s="162" t="str">
        <f ca="1">IFERROR(__xludf.DUMMYFUNCTION("""COMPUTED_VALUE"""),"Fairfax Station")</f>
        <v>Fairfax Station</v>
      </c>
    </row>
    <row r="16" spans="1:34" ht="15.75" customHeight="1">
      <c r="A16" s="124"/>
      <c r="B16" s="43"/>
      <c r="C16" s="43"/>
      <c r="D16" s="43"/>
      <c r="E16" s="149">
        <f ca="1">IFERROR(__xludf.DUMMYFUNCTION("""COMPUTED_VALUE"""),13)</f>
        <v>13</v>
      </c>
      <c r="F16" s="179"/>
      <c r="G16" s="150">
        <f ca="1">IFERROR(__xludf.DUMMYFUNCTION("""COMPUTED_VALUE"""),13)</f>
        <v>13</v>
      </c>
      <c r="H16" s="150" t="str">
        <f ca="1">IFERROR(__xludf.DUMMYFUNCTION("""COMPUTED_VALUE"""),"I")</f>
        <v>I</v>
      </c>
      <c r="I16" s="151"/>
      <c r="J16" s="151"/>
      <c r="K16" s="153"/>
      <c r="L16" s="153"/>
      <c r="M16" s="151"/>
      <c r="N16" s="151"/>
      <c r="O16" s="142" t="str">
        <f ca="1">IFERROR(__xludf.DUMMYFUNCTION("""COMPUTED_VALUE"""),"TeamRepURL")</f>
        <v>TeamRepURL</v>
      </c>
      <c r="P16" s="180" t="str">
        <f ca="1">IFERROR(__xludf.DUMMYFUNCTION("""COMPUTED_VALUE"""),"https://dive.mynvsl.com/contacts/team-reps")</f>
        <v>https://dive.mynvsl.com/contacts/team-reps</v>
      </c>
      <c r="Q16" s="157"/>
      <c r="R16" s="157"/>
      <c r="S16" s="157"/>
      <c r="T16" s="145"/>
      <c r="U16" s="174" t="str">
        <f ca="1">IFERROR(__xludf.DUMMYFUNCTION("""COMPUTED_VALUE"""),"Greenbriar")</f>
        <v>Greenbriar</v>
      </c>
      <c r="V16" s="157" t="str">
        <f ca="1">IFERROR(__xludf.DUMMYFUNCTION("""COMPUTED_VALUE"""),"at")</f>
        <v>at</v>
      </c>
      <c r="W16" s="157" t="str">
        <f ca="1">IFERROR(__xludf.DUMMYFUNCTION("""COMPUTED_VALUE"""),"Lee Graham")</f>
        <v>Lee Graham</v>
      </c>
      <c r="X16" s="175">
        <f ca="1">IFERROR(__xludf.DUMMYFUNCTION("""COMPUTED_VALUE"""),0.75)</f>
        <v>0.75</v>
      </c>
      <c r="Y16" s="157" t="str">
        <f ca="1">IFERROR(__xludf.DUMMYFUNCTION("""COMPUTED_VALUE"""),"MAP")</f>
        <v>MAP</v>
      </c>
      <c r="Z16" s="145"/>
      <c r="AA16" s="158">
        <f ca="1">IFERROR(__xludf.DUMMYFUNCTION("""COMPUTED_VALUE"""),31)</f>
        <v>31</v>
      </c>
      <c r="AB16" s="182">
        <f ca="1">IFERROR(__xludf.DUMMYFUNCTION("""COMPUTED_VALUE"""),45461)</f>
        <v>45461</v>
      </c>
      <c r="AC16" s="177" t="str">
        <f ca="1">IFERROR(__xludf.DUMMYFUNCTION("""COMPUTED_VALUE"""),"20240618-31")</f>
        <v>20240618-31</v>
      </c>
      <c r="AD16" s="177" t="str">
        <f ca="1">IFERROR(__xludf.DUMMYFUNCTION("""COMPUTED_VALUE"""),"LG-Lee Graham")</f>
        <v>LG-Lee Graham</v>
      </c>
      <c r="AE16" s="177" t="str">
        <f ca="1">IFERROR(__xludf.DUMMYFUNCTION("""COMPUTED_VALUE"""),"G-Greenbriar")</f>
        <v>G-Greenbriar</v>
      </c>
      <c r="AF16" s="145"/>
      <c r="AG16" s="158" t="str">
        <f ca="1">IFERROR(__xludf.DUMMYFUNCTION("""COMPUTED_VALUE"""),"G")</f>
        <v>G</v>
      </c>
      <c r="AH16" s="157" t="str">
        <f ca="1">IFERROR(__xludf.DUMMYFUNCTION("""COMPUTED_VALUE"""),"Greenbriar")</f>
        <v>Greenbriar</v>
      </c>
    </row>
    <row r="17" spans="1:34" ht="15.75" customHeight="1">
      <c r="A17" s="124"/>
      <c r="B17" s="43"/>
      <c r="C17" s="43"/>
      <c r="D17" s="43"/>
      <c r="E17" s="149">
        <f ca="1">IFERROR(__xludf.DUMMYFUNCTION("""COMPUTED_VALUE"""),14)</f>
        <v>14</v>
      </c>
      <c r="F17" s="179"/>
      <c r="G17" s="150">
        <f ca="1">IFERROR(__xludf.DUMMYFUNCTION("""COMPUTED_VALUE"""),14)</f>
        <v>14</v>
      </c>
      <c r="H17" s="150" t="str">
        <f ca="1">IFERROR(__xludf.DUMMYFUNCTION("""COMPUTED_VALUE"""),"I")</f>
        <v>I</v>
      </c>
      <c r="I17" s="151"/>
      <c r="J17" s="151"/>
      <c r="K17" s="153"/>
      <c r="L17" s="153"/>
      <c r="M17" s="151"/>
      <c r="N17" s="151"/>
      <c r="O17" s="142" t="str">
        <f ca="1">IFERROR(__xludf.DUMMYFUNCTION("""COMPUTED_VALUE"""),"DiveStats")</f>
        <v>DiveStats</v>
      </c>
      <c r="P17" s="142" t="str">
        <f ca="1">IFERROR(__xludf.DUMMYFUNCTION("""COMPUTED_VALUE"""),"1YMBKp-ynJBoPywkFRePuRRaGXL_3nyC6-j-9B9jjAh8")</f>
        <v>1YMBKp-ynJBoPywkFRePuRRaGXL_3nyC6-j-9B9jjAh8</v>
      </c>
      <c r="Q17" s="162" t="str">
        <f ca="1">IFERROR(__xludf.DUMMYFUNCTION("""COMPUTED_VALUE"""),"PriorSeason-Dual5")</f>
        <v>PriorSeason-Dual5</v>
      </c>
      <c r="R17" s="161">
        <f ca="1">IFERROR(__xludf.DUMMYFUNCTION("""COMPUTED_VALUE"""),45125)</f>
        <v>45125</v>
      </c>
      <c r="S17" s="162"/>
      <c r="T17" s="145"/>
      <c r="U17" s="168" t="str">
        <f ca="1">IFERROR(__xludf.DUMMYFUNCTION("""COMPUTED_VALUE"""),"Walden Glen")</f>
        <v>Walden Glen</v>
      </c>
      <c r="V17" s="162" t="str">
        <f ca="1">IFERROR(__xludf.DUMMYFUNCTION("""COMPUTED_VALUE"""),"at")</f>
        <v>at</v>
      </c>
      <c r="W17" s="162" t="str">
        <f ca="1">IFERROR(__xludf.DUMMYFUNCTION("""COMPUTED_VALUE"""),"Fairfax Station")</f>
        <v>Fairfax Station</v>
      </c>
      <c r="X17" s="169">
        <f ca="1">IFERROR(__xludf.DUMMYFUNCTION("""COMPUTED_VALUE"""),0.75)</f>
        <v>0.75</v>
      </c>
      <c r="Y17" s="162" t="str">
        <f ca="1">IFERROR(__xludf.DUMMYFUNCTION("""COMPUTED_VALUE"""),"MAP")</f>
        <v>MAP</v>
      </c>
      <c r="Z17" s="145"/>
      <c r="AA17" s="170">
        <f ca="1">IFERROR(__xludf.DUMMYFUNCTION("""COMPUTED_VALUE"""),32)</f>
        <v>32</v>
      </c>
      <c r="AB17" s="181">
        <f ca="1">IFERROR(__xludf.DUMMYFUNCTION("""COMPUTED_VALUE"""),45461)</f>
        <v>45461</v>
      </c>
      <c r="AC17" s="172" t="str">
        <f ca="1">IFERROR(__xludf.DUMMYFUNCTION("""COMPUTED_VALUE"""),"20240618-32")</f>
        <v>20240618-32</v>
      </c>
      <c r="AD17" s="172" t="str">
        <f ca="1">IFERROR(__xludf.DUMMYFUNCTION("""COMPUTED_VALUE"""),"FS-Fairfax Station")</f>
        <v>FS-Fairfax Station</v>
      </c>
      <c r="AE17" s="172" t="str">
        <f ca="1">IFERROR(__xludf.DUMMYFUNCTION("""COMPUTED_VALUE"""),"WG-Walden Glen")</f>
        <v>WG-Walden Glen</v>
      </c>
      <c r="AF17" s="145"/>
      <c r="AG17" s="170" t="str">
        <f ca="1">IFERROR(__xludf.DUMMYFUNCTION("""COMPUTED_VALUE"""),"GF")</f>
        <v>GF</v>
      </c>
      <c r="AH17" s="162" t="str">
        <f ca="1">IFERROR(__xludf.DUMMYFUNCTION("""COMPUTED_VALUE"""),"Great Falls")</f>
        <v>Great Falls</v>
      </c>
    </row>
    <row r="18" spans="1:34" ht="15.75" customHeight="1">
      <c r="A18" s="124"/>
      <c r="B18" s="43"/>
      <c r="C18" s="43"/>
      <c r="D18" s="43"/>
      <c r="E18" s="149">
        <f ca="1">IFERROR(__xludf.DUMMYFUNCTION("""COMPUTED_VALUE"""),15)</f>
        <v>15</v>
      </c>
      <c r="F18" s="179"/>
      <c r="G18" s="150">
        <f ca="1">IFERROR(__xludf.DUMMYFUNCTION("""COMPUTED_VALUE"""),15)</f>
        <v>15</v>
      </c>
      <c r="H18" s="150" t="str">
        <f ca="1">IFERROR(__xludf.DUMMYFUNCTION("""COMPUTED_VALUE"""),"S")</f>
        <v>S</v>
      </c>
      <c r="I18" s="151"/>
      <c r="J18" s="151"/>
      <c r="K18" s="153"/>
      <c r="L18" s="153"/>
      <c r="M18" s="151"/>
      <c r="N18" s="151"/>
      <c r="O18" s="142"/>
      <c r="P18" s="142"/>
      <c r="Q18" s="157" t="str">
        <f ca="1">IFERROR(__xludf.DUMMYFUNCTION("""COMPUTED_VALUE"""),"PriorSeason-WM")</f>
        <v>PriorSeason-WM</v>
      </c>
      <c r="R18" s="156">
        <f ca="1">IFERROR(__xludf.DUMMYFUNCTION("""COMPUTED_VALUE"""),45116)</f>
        <v>45116</v>
      </c>
      <c r="S18" s="157"/>
      <c r="T18" s="145"/>
      <c r="U18" s="174" t="str">
        <f ca="1">IFERROR(__xludf.DUMMYFUNCTION("""COMPUTED_VALUE"""),"Parliament")</f>
        <v>Parliament</v>
      </c>
      <c r="V18" s="157" t="str">
        <f ca="1">IFERROR(__xludf.DUMMYFUNCTION("""COMPUTED_VALUE"""),"at")</f>
        <v>at</v>
      </c>
      <c r="W18" s="157" t="str">
        <f ca="1">IFERROR(__xludf.DUMMYFUNCTION("""COMPUTED_VALUE"""),"Dunn Loring")</f>
        <v>Dunn Loring</v>
      </c>
      <c r="X18" s="175">
        <f ca="1">IFERROR(__xludf.DUMMYFUNCTION("""COMPUTED_VALUE"""),0.75)</f>
        <v>0.75</v>
      </c>
      <c r="Y18" s="157" t="str">
        <f ca="1">IFERROR(__xludf.DUMMYFUNCTION("""COMPUTED_VALUE"""),"MAP")</f>
        <v>MAP</v>
      </c>
      <c r="Z18" s="145"/>
      <c r="AA18" s="158">
        <f ca="1">IFERROR(__xludf.DUMMYFUNCTION("""COMPUTED_VALUE"""),33)</f>
        <v>33</v>
      </c>
      <c r="AB18" s="182">
        <f ca="1">IFERROR(__xludf.DUMMYFUNCTION("""COMPUTED_VALUE"""),45461)</f>
        <v>45461</v>
      </c>
      <c r="AC18" s="177" t="str">
        <f ca="1">IFERROR(__xludf.DUMMYFUNCTION("""COMPUTED_VALUE"""),"20240618-33")</f>
        <v>20240618-33</v>
      </c>
      <c r="AD18" s="177" t="str">
        <f ca="1">IFERROR(__xludf.DUMMYFUNCTION("""COMPUTED_VALUE"""),"DL-Dunn Loring")</f>
        <v>DL-Dunn Loring</v>
      </c>
      <c r="AE18" s="177" t="str">
        <f ca="1">IFERROR(__xludf.DUMMYFUNCTION("""COMPUTED_VALUE"""),"PAR-Parliament")</f>
        <v>PAR-Parliament</v>
      </c>
      <c r="AF18" s="145"/>
      <c r="AG18" s="158" t="str">
        <f ca="1">IFERROR(__xludf.DUMMYFUNCTION("""COMPUTED_VALUE"""),"HF")</f>
        <v>HF</v>
      </c>
      <c r="AH18" s="157" t="str">
        <f ca="1">IFERROR(__xludf.DUMMYFUNCTION("""COMPUTED_VALUE"""),"Hayfield Farm")</f>
        <v>Hayfield Farm</v>
      </c>
    </row>
    <row r="19" spans="1:34" ht="15.75" customHeight="1">
      <c r="A19" s="124"/>
      <c r="B19" s="43"/>
      <c r="C19" s="43"/>
      <c r="D19" s="43"/>
      <c r="E19" s="149">
        <f ca="1">IFERROR(__xludf.DUMMYFUNCTION("""COMPUTED_VALUE"""),16)</f>
        <v>16</v>
      </c>
      <c r="F19" s="179"/>
      <c r="G19" s="150">
        <f ca="1">IFERROR(__xludf.DUMMYFUNCTION("""COMPUTED_VALUE"""),16)</f>
        <v>16</v>
      </c>
      <c r="H19" s="150" t="str">
        <f ca="1">IFERROR(__xludf.DUMMYFUNCTION("""COMPUTED_VALUE"""),"S")</f>
        <v>S</v>
      </c>
      <c r="I19" s="151"/>
      <c r="J19" s="151"/>
      <c r="K19" s="153"/>
      <c r="L19" s="153"/>
      <c r="M19" s="151"/>
      <c r="N19" s="151"/>
      <c r="O19" s="142" t="str">
        <f ca="1">IFERROR(__xludf.DUMMYFUNCTION("""COMPUTED_VALUE"""),"For 2024 season, ensure Divisionals Div1 A2 changed from ""Divisionals"" to ""DivsScoreboard"", then remove entry below and to right")</f>
        <v>For 2024 season, ensure Divisionals Div1 A2 changed from "Divisionals" to "DivsScoreboard", then remove entry below and to right</v>
      </c>
      <c r="P19" s="142"/>
      <c r="Q19" s="162" t="str">
        <f ca="1">IFERROR(__xludf.DUMMYFUNCTION("""COMPUTED_VALUE"""),"PriorSeason-CJ")</f>
        <v>PriorSeason-CJ</v>
      </c>
      <c r="R19" s="161">
        <f ca="1">IFERROR(__xludf.DUMMYFUNCTION("""COMPUTED_VALUE"""),45123)</f>
        <v>45123</v>
      </c>
      <c r="S19" s="162"/>
      <c r="T19" s="145"/>
      <c r="U19" s="168" t="str">
        <f ca="1">IFERROR(__xludf.DUMMYFUNCTION("""COMPUTED_VALUE"""),"Division IV")</f>
        <v>Division IV</v>
      </c>
      <c r="V19" s="162"/>
      <c r="W19" s="162"/>
      <c r="X19" s="169"/>
      <c r="Y19" s="162"/>
      <c r="Z19" s="145"/>
      <c r="AA19" s="170">
        <f ca="1">IFERROR(__xludf.DUMMYFUNCTION("""COMPUTED_VALUE"""),4)</f>
        <v>4</v>
      </c>
      <c r="AB19" s="181">
        <f ca="1">IFERROR(__xludf.DUMMYFUNCTION("""COMPUTED_VALUE"""),45461)</f>
        <v>45461</v>
      </c>
      <c r="AC19" s="172" t="str">
        <f ca="1">IFERROR(__xludf.DUMMYFUNCTION("""COMPUTED_VALUE"""),"")</f>
        <v/>
      </c>
      <c r="AD19" s="172" t="str">
        <f ca="1">IFERROR(__xludf.DUMMYFUNCTION("""COMPUTED_VALUE"""),"")</f>
        <v/>
      </c>
      <c r="AE19" s="172" t="str">
        <f ca="1">IFERROR(__xludf.DUMMYFUNCTION("""COMPUTED_VALUE"""),"")</f>
        <v/>
      </c>
      <c r="AF19" s="145"/>
      <c r="AG19" s="170" t="str">
        <f ca="1">IFERROR(__xludf.DUMMYFUNCTION("""COMPUTED_VALUE"""),"HP")</f>
        <v>HP</v>
      </c>
      <c r="AH19" s="162" t="str">
        <f ca="1">IFERROR(__xludf.DUMMYFUNCTION("""COMPUTED_VALUE"""),"Highland Park")</f>
        <v>Highland Park</v>
      </c>
    </row>
    <row r="20" spans="1:34" ht="15.75" customHeight="1">
      <c r="A20" s="124"/>
      <c r="B20" s="43"/>
      <c r="C20" s="43"/>
      <c r="D20" s="43"/>
      <c r="E20" s="149">
        <f ca="1">IFERROR(__xludf.DUMMYFUNCTION("""COMPUTED_VALUE"""),17)</f>
        <v>17</v>
      </c>
      <c r="F20" s="179"/>
      <c r="G20" s="150">
        <f ca="1">IFERROR(__xludf.DUMMYFUNCTION("""COMPUTED_VALUE"""),17)</f>
        <v>17</v>
      </c>
      <c r="H20" s="150" t="str">
        <f ca="1">IFERROR(__xludf.DUMMYFUNCTION("""COMPUTED_VALUE"""),"S")</f>
        <v>S</v>
      </c>
      <c r="I20" s="151"/>
      <c r="J20" s="151"/>
      <c r="K20" s="153"/>
      <c r="L20" s="153"/>
      <c r="M20" s="151"/>
      <c r="N20" s="151"/>
      <c r="O20" s="142" t="str">
        <f ca="1">IFERROR(__xludf.DUMMYFUNCTION("""COMPUTED_VALUE"""),"Divisionals")</f>
        <v>Divisionals</v>
      </c>
      <c r="P20" s="180" t="str">
        <f ca="1">IFERROR(__xludf.DUMMYFUNCTION("""COMPUTED_VALUE"""),"https://docs.google.com/spreadsheets/d/1H8gkPudX0LzTFYEmo8IVf65KWTHtBa41j4FC6jc-6j0/edit?usp=drive_link")</f>
        <v>https://docs.google.com/spreadsheets/d/1H8gkPudX0LzTFYEmo8IVf65KWTHtBa41j4FC6jc-6j0/edit?usp=drive_link</v>
      </c>
      <c r="Q20" s="157" t="str">
        <f ca="1">IFERROR(__xludf.DUMMYFUNCTION("""COMPUTED_VALUE"""),"PriorSeason-Divisionals")</f>
        <v>PriorSeason-Divisionals</v>
      </c>
      <c r="R20" s="156">
        <f ca="1">IFERROR(__xludf.DUMMYFUNCTION("""COMPUTED_VALUE"""),45130)</f>
        <v>45130</v>
      </c>
      <c r="S20" s="157"/>
      <c r="T20" s="145"/>
      <c r="U20" s="174" t="str">
        <f ca="1">IFERROR(__xludf.DUMMYFUNCTION("""COMPUTED_VALUE"""),"Truro")</f>
        <v>Truro</v>
      </c>
      <c r="V20" s="157" t="str">
        <f ca="1">IFERROR(__xludf.DUMMYFUNCTION("""COMPUTED_VALUE"""),"at")</f>
        <v>at</v>
      </c>
      <c r="W20" s="157" t="str">
        <f ca="1">IFERROR(__xludf.DUMMYFUNCTION("""COMPUTED_VALUE"""),"Highland Park")</f>
        <v>Highland Park</v>
      </c>
      <c r="X20" s="175">
        <f ca="1">IFERROR(__xludf.DUMMYFUNCTION("""COMPUTED_VALUE"""),0.75)</f>
        <v>0.75</v>
      </c>
      <c r="Y20" s="157" t="str">
        <f ca="1">IFERROR(__xludf.DUMMYFUNCTION("""COMPUTED_VALUE"""),"MAP")</f>
        <v>MAP</v>
      </c>
      <c r="Z20" s="145"/>
      <c r="AA20" s="158">
        <f ca="1">IFERROR(__xludf.DUMMYFUNCTION("""COMPUTED_VALUE"""),41)</f>
        <v>41</v>
      </c>
      <c r="AB20" s="182">
        <f ca="1">IFERROR(__xludf.DUMMYFUNCTION("""COMPUTED_VALUE"""),45461)</f>
        <v>45461</v>
      </c>
      <c r="AC20" s="177" t="str">
        <f ca="1">IFERROR(__xludf.DUMMYFUNCTION("""COMPUTED_VALUE"""),"20240618-41")</f>
        <v>20240618-41</v>
      </c>
      <c r="AD20" s="177" t="str">
        <f ca="1">IFERROR(__xludf.DUMMYFUNCTION("""COMPUTED_VALUE"""),"HP-Highland Park")</f>
        <v>HP-Highland Park</v>
      </c>
      <c r="AE20" s="177" t="str">
        <f ca="1">IFERROR(__xludf.DUMMYFUNCTION("""COMPUTED_VALUE"""),"THA-Truro Homes Association")</f>
        <v>THA-Truro Homes Association</v>
      </c>
      <c r="AF20" s="145"/>
      <c r="AG20" s="158" t="str">
        <f ca="1">IFERROR(__xludf.DUMMYFUNCTION("""COMPUTED_VALUE"""),"HS")</f>
        <v>HS</v>
      </c>
      <c r="AH20" s="157" t="str">
        <f ca="1">IFERROR(__xludf.DUMMYFUNCTION("""COMPUTED_VALUE"""),"Highlands Swim")</f>
        <v>Highlands Swim</v>
      </c>
    </row>
    <row r="21" spans="1:34" ht="15.75" customHeight="1">
      <c r="A21" s="124"/>
      <c r="B21" s="43"/>
      <c r="C21" s="43"/>
      <c r="D21" s="43"/>
      <c r="E21" s="149">
        <f ca="1">IFERROR(__xludf.DUMMYFUNCTION("""COMPUTED_VALUE"""),18)</f>
        <v>18</v>
      </c>
      <c r="F21" s="179"/>
      <c r="G21" s="150">
        <f ca="1">IFERROR(__xludf.DUMMYFUNCTION("""COMPUTED_VALUE"""),18)</f>
        <v>18</v>
      </c>
      <c r="H21" s="150" t="str">
        <f ca="1">IFERROR(__xludf.DUMMYFUNCTION("""COMPUTED_VALUE"""),"S")</f>
        <v>S</v>
      </c>
      <c r="I21" s="151"/>
      <c r="J21" s="151"/>
      <c r="K21" s="153"/>
      <c r="L21" s="153"/>
      <c r="M21" s="151"/>
      <c r="N21" s="151"/>
      <c r="O21" s="142"/>
      <c r="P21" s="142"/>
      <c r="Q21" s="162"/>
      <c r="R21" s="162"/>
      <c r="S21" s="162"/>
      <c r="T21" s="145"/>
      <c r="U21" s="168" t="str">
        <f ca="1">IFERROR(__xludf.DUMMYFUNCTION("""COMPUTED_VALUE"""),"Hayfield Farm")</f>
        <v>Hayfield Farm</v>
      </c>
      <c r="V21" s="162" t="str">
        <f ca="1">IFERROR(__xludf.DUMMYFUNCTION("""COMPUTED_VALUE"""),"at")</f>
        <v>at</v>
      </c>
      <c r="W21" s="162" t="str">
        <f ca="1">IFERROR(__xludf.DUMMYFUNCTION("""COMPUTED_VALUE"""),"Chesterbrook")</f>
        <v>Chesterbrook</v>
      </c>
      <c r="X21" s="169">
        <f ca="1">IFERROR(__xludf.DUMMYFUNCTION("""COMPUTED_VALUE"""),0.75)</f>
        <v>0.75</v>
      </c>
      <c r="Y21" s="162" t="str">
        <f ca="1">IFERROR(__xludf.DUMMYFUNCTION("""COMPUTED_VALUE"""),"MAP")</f>
        <v>MAP</v>
      </c>
      <c r="Z21" s="145"/>
      <c r="AA21" s="170">
        <f ca="1">IFERROR(__xludf.DUMMYFUNCTION("""COMPUTED_VALUE"""),42)</f>
        <v>42</v>
      </c>
      <c r="AB21" s="181">
        <f ca="1">IFERROR(__xludf.DUMMYFUNCTION("""COMPUTED_VALUE"""),45461)</f>
        <v>45461</v>
      </c>
      <c r="AC21" s="172" t="str">
        <f ca="1">IFERROR(__xludf.DUMMYFUNCTION("""COMPUTED_VALUE"""),"20240618-42")</f>
        <v>20240618-42</v>
      </c>
      <c r="AD21" s="172" t="str">
        <f ca="1">IFERROR(__xludf.DUMMYFUNCTION("""COMPUTED_VALUE"""),"CB-Chesterbrook")</f>
        <v>CB-Chesterbrook</v>
      </c>
      <c r="AE21" s="172" t="str">
        <f ca="1">IFERROR(__xludf.DUMMYFUNCTION("""COMPUTED_VALUE"""),"HF-Hayfield Farm")</f>
        <v>HF-Hayfield Farm</v>
      </c>
      <c r="AF21" s="145"/>
      <c r="AG21" s="170" t="str">
        <f ca="1">IFERROR(__xludf.DUMMYFUNCTION("""COMPUTED_VALUE"""),"HSC")</f>
        <v>HSC</v>
      </c>
      <c r="AH21" s="162" t="str">
        <f ca="1">IFERROR(__xludf.DUMMYFUNCTION("""COMPUTED_VALUE"""),"Hamlet Swim Club")</f>
        <v>Hamlet Swim Club</v>
      </c>
    </row>
    <row r="22" spans="1:34" ht="15.75" customHeight="1">
      <c r="A22" s="124"/>
      <c r="B22" s="43"/>
      <c r="C22" s="43"/>
      <c r="D22" s="43"/>
      <c r="E22" s="149">
        <f ca="1">IFERROR(__xludf.DUMMYFUNCTION("""COMPUTED_VALUE"""),19)</f>
        <v>19</v>
      </c>
      <c r="F22" s="179"/>
      <c r="G22" s="150">
        <f ca="1">IFERROR(__xludf.DUMMYFUNCTION("""COMPUTED_VALUE"""),19)</f>
        <v>19</v>
      </c>
      <c r="H22" s="150" t="str">
        <f ca="1">IFERROR(__xludf.DUMMYFUNCTION("""COMPUTED_VALUE"""),"S")</f>
        <v>S</v>
      </c>
      <c r="I22" s="151"/>
      <c r="J22" s="151"/>
      <c r="K22" s="153"/>
      <c r="L22" s="153"/>
      <c r="M22" s="151"/>
      <c r="N22" s="151"/>
      <c r="O22" s="142"/>
      <c r="P22" s="142"/>
      <c r="Q22" s="157"/>
      <c r="R22" s="157"/>
      <c r="S22" s="157"/>
      <c r="T22" s="145"/>
      <c r="U22" s="174" t="str">
        <f ca="1">IFERROR(__xludf.DUMMYFUNCTION("""COMPUTED_VALUE"""),"Woodley")</f>
        <v>Woodley</v>
      </c>
      <c r="V22" s="157" t="str">
        <f ca="1">IFERROR(__xludf.DUMMYFUNCTION("""COMPUTED_VALUE"""),"at")</f>
        <v>at</v>
      </c>
      <c r="W22" s="157" t="str">
        <f ca="1">IFERROR(__xludf.DUMMYFUNCTION("""COMPUTED_VALUE"""),"Great Falls")</f>
        <v>Great Falls</v>
      </c>
      <c r="X22" s="175">
        <f ca="1">IFERROR(__xludf.DUMMYFUNCTION("""COMPUTED_VALUE"""),0.75)</f>
        <v>0.75</v>
      </c>
      <c r="Y22" s="157" t="str">
        <f ca="1">IFERROR(__xludf.DUMMYFUNCTION("""COMPUTED_VALUE"""),"MAP")</f>
        <v>MAP</v>
      </c>
      <c r="Z22" s="145"/>
      <c r="AA22" s="158">
        <f ca="1">IFERROR(__xludf.DUMMYFUNCTION("""COMPUTED_VALUE"""),43)</f>
        <v>43</v>
      </c>
      <c r="AB22" s="182">
        <f ca="1">IFERROR(__xludf.DUMMYFUNCTION("""COMPUTED_VALUE"""),45461)</f>
        <v>45461</v>
      </c>
      <c r="AC22" s="177" t="str">
        <f ca="1">IFERROR(__xludf.DUMMYFUNCTION("""COMPUTED_VALUE"""),"20240618-43")</f>
        <v>20240618-43</v>
      </c>
      <c r="AD22" s="177" t="str">
        <f ca="1">IFERROR(__xludf.DUMMYFUNCTION("""COMPUTED_VALUE"""),"GF-Great Falls")</f>
        <v>GF-Great Falls</v>
      </c>
      <c r="AE22" s="177" t="str">
        <f ca="1">IFERROR(__xludf.DUMMYFUNCTION("""COMPUTED_VALUE"""),"W-Woodley")</f>
        <v>W-Woodley</v>
      </c>
      <c r="AF22" s="145"/>
      <c r="AG22" s="158" t="str">
        <f ca="1">IFERROR(__xludf.DUMMYFUNCTION("""COMPUTED_VALUE"""),"HV")</f>
        <v>HV</v>
      </c>
      <c r="AH22" s="157" t="str">
        <f ca="1">IFERROR(__xludf.DUMMYFUNCTION("""COMPUTED_VALUE"""),"Hunt Valley")</f>
        <v>Hunt Valley</v>
      </c>
    </row>
    <row r="23" spans="1:34" ht="15.75" customHeight="1">
      <c r="A23" s="124"/>
      <c r="B23" s="43"/>
      <c r="C23" s="43"/>
      <c r="D23" s="43"/>
      <c r="E23" s="149">
        <f ca="1">IFERROR(__xludf.DUMMYFUNCTION("""COMPUTED_VALUE"""),20)</f>
        <v>20</v>
      </c>
      <c r="F23" s="179"/>
      <c r="G23" s="150">
        <f ca="1">IFERROR(__xludf.DUMMYFUNCTION("""COMPUTED_VALUE"""),20)</f>
        <v>20</v>
      </c>
      <c r="H23" s="150" t="str">
        <f ca="1">IFERROR(__xludf.DUMMYFUNCTION("""COMPUTED_VALUE"""),"S")</f>
        <v>S</v>
      </c>
      <c r="I23" s="151"/>
      <c r="J23" s="151"/>
      <c r="K23" s="153"/>
      <c r="L23" s="153"/>
      <c r="M23" s="151"/>
      <c r="N23" s="151"/>
      <c r="O23" s="142"/>
      <c r="P23" s="142"/>
      <c r="Q23" s="162"/>
      <c r="R23" s="162"/>
      <c r="S23" s="162"/>
      <c r="T23" s="145"/>
      <c r="U23" s="168" t="str">
        <f ca="1">IFERROR(__xludf.DUMMYFUNCTION("""COMPUTED_VALUE"""),"Division V")</f>
        <v>Division V</v>
      </c>
      <c r="V23" s="162"/>
      <c r="W23" s="162"/>
      <c r="X23" s="169"/>
      <c r="Y23" s="162"/>
      <c r="Z23" s="145"/>
      <c r="AA23" s="170">
        <f ca="1">IFERROR(__xludf.DUMMYFUNCTION("""COMPUTED_VALUE"""),5)</f>
        <v>5</v>
      </c>
      <c r="AB23" s="181">
        <f ca="1">IFERROR(__xludf.DUMMYFUNCTION("""COMPUTED_VALUE"""),45461)</f>
        <v>45461</v>
      </c>
      <c r="AC23" s="172" t="str">
        <f ca="1">IFERROR(__xludf.DUMMYFUNCTION("""COMPUTED_VALUE"""),"")</f>
        <v/>
      </c>
      <c r="AD23" s="172" t="str">
        <f ca="1">IFERROR(__xludf.DUMMYFUNCTION("""COMPUTED_VALUE"""),"")</f>
        <v/>
      </c>
      <c r="AE23" s="172" t="str">
        <f ca="1">IFERROR(__xludf.DUMMYFUNCTION("""COMPUTED_VALUE"""),"")</f>
        <v/>
      </c>
      <c r="AF23" s="145"/>
      <c r="AG23" s="170" t="str">
        <f ca="1">IFERROR(__xludf.DUMMYFUNCTION("""COMPUTED_VALUE"""),"IC")</f>
        <v>IC</v>
      </c>
      <c r="AH23" s="162" t="str">
        <f ca="1">IFERROR(__xludf.DUMMYFUNCTION("""COMPUTED_VALUE"""),"Ilda Community")</f>
        <v>Ilda Community</v>
      </c>
    </row>
    <row r="24" spans="1:34" ht="15.75" customHeight="1">
      <c r="A24" s="124"/>
      <c r="B24" s="43"/>
      <c r="C24" s="43"/>
      <c r="D24" s="43"/>
      <c r="E24" s="149">
        <f ca="1">IFERROR(__xludf.DUMMYFUNCTION("""COMPUTED_VALUE"""),21)</f>
        <v>21</v>
      </c>
      <c r="F24" s="179"/>
      <c r="G24" s="150"/>
      <c r="H24" s="150"/>
      <c r="I24" s="151"/>
      <c r="J24" s="151"/>
      <c r="K24" s="153"/>
      <c r="L24" s="153"/>
      <c r="M24" s="151"/>
      <c r="N24" s="151"/>
      <c r="O24" s="142"/>
      <c r="P24" s="142"/>
      <c r="Q24" s="157"/>
      <c r="R24" s="157"/>
      <c r="S24" s="157"/>
      <c r="T24" s="145"/>
      <c r="U24" s="174" t="str">
        <f ca="1">IFERROR(__xludf.DUMMYFUNCTION("""COMPUTED_VALUE"""),"Camelot")</f>
        <v>Camelot</v>
      </c>
      <c r="V24" s="157" t="str">
        <f ca="1">IFERROR(__xludf.DUMMYFUNCTION("""COMPUTED_VALUE"""),"at")</f>
        <v>at</v>
      </c>
      <c r="W24" s="157" t="str">
        <f ca="1">IFERROR(__xludf.DUMMYFUNCTION("""COMPUTED_VALUE"""),"Crosspointe")</f>
        <v>Crosspointe</v>
      </c>
      <c r="X24" s="175">
        <f ca="1">IFERROR(__xludf.DUMMYFUNCTION("""COMPUTED_VALUE"""),0.75)</f>
        <v>0.75</v>
      </c>
      <c r="Y24" s="157" t="str">
        <f ca="1">IFERROR(__xludf.DUMMYFUNCTION("""COMPUTED_VALUE"""),"MAP")</f>
        <v>MAP</v>
      </c>
      <c r="Z24" s="145"/>
      <c r="AA24" s="158">
        <f ca="1">IFERROR(__xludf.DUMMYFUNCTION("""COMPUTED_VALUE"""),51)</f>
        <v>51</v>
      </c>
      <c r="AB24" s="182">
        <f ca="1">IFERROR(__xludf.DUMMYFUNCTION("""COMPUTED_VALUE"""),45461)</f>
        <v>45461</v>
      </c>
      <c r="AC24" s="177" t="str">
        <f ca="1">IFERROR(__xludf.DUMMYFUNCTION("""COMPUTED_VALUE"""),"20240618-51")</f>
        <v>20240618-51</v>
      </c>
      <c r="AD24" s="177" t="str">
        <f ca="1">IFERROR(__xludf.DUMMYFUNCTION("""COMPUTED_VALUE"""),"CP-Crosspointe")</f>
        <v>CP-Crosspointe</v>
      </c>
      <c r="AE24" s="177" t="str">
        <f ca="1">IFERROR(__xludf.DUMMYFUNCTION("""COMPUTED_VALUE"""),"CCC-Camelot Community Club")</f>
        <v>CCC-Camelot Community Club</v>
      </c>
      <c r="AF24" s="145"/>
      <c r="AG24" s="158" t="str">
        <f ca="1">IFERROR(__xludf.DUMMYFUNCTION("""COMPUTED_VALUE"""),"KG")</f>
        <v>KG</v>
      </c>
      <c r="AH24" s="157" t="str">
        <f ca="1">IFERROR(__xludf.DUMMYFUNCTION("""COMPUTED_VALUE"""),"Kent Gardens")</f>
        <v>Kent Gardens</v>
      </c>
    </row>
    <row r="25" spans="1:34" ht="15.75" customHeight="1">
      <c r="A25" s="124"/>
      <c r="B25" s="43"/>
      <c r="C25" s="43"/>
      <c r="D25" s="43"/>
      <c r="E25" s="149">
        <f ca="1">IFERROR(__xludf.DUMMYFUNCTION("""COMPUTED_VALUE"""),22)</f>
        <v>22</v>
      </c>
      <c r="F25" s="179"/>
      <c r="G25" s="150"/>
      <c r="H25" s="150"/>
      <c r="I25" s="151"/>
      <c r="J25" s="151"/>
      <c r="K25" s="153"/>
      <c r="L25" s="153"/>
      <c r="M25" s="151"/>
      <c r="N25" s="151"/>
      <c r="O25" s="142"/>
      <c r="P25" s="142"/>
      <c r="Q25" s="162"/>
      <c r="R25" s="162"/>
      <c r="S25" s="162"/>
      <c r="T25" s="145"/>
      <c r="U25" s="168" t="str">
        <f ca="1">IFERROR(__xludf.DUMMYFUNCTION("""COMPUTED_VALUE"""),"Cardinal Hill")</f>
        <v>Cardinal Hill</v>
      </c>
      <c r="V25" s="162" t="str">
        <f ca="1">IFERROR(__xludf.DUMMYFUNCTION("""COMPUTED_VALUE"""),"at")</f>
        <v>at</v>
      </c>
      <c r="W25" s="162" t="str">
        <f ca="1">IFERROR(__xludf.DUMMYFUNCTION("""COMPUTED_VALUE"""),"Ravensworth Farm")</f>
        <v>Ravensworth Farm</v>
      </c>
      <c r="X25" s="169">
        <f ca="1">IFERROR(__xludf.DUMMYFUNCTION("""COMPUTED_VALUE"""),0.75)</f>
        <v>0.75</v>
      </c>
      <c r="Y25" s="162" t="str">
        <f ca="1">IFERROR(__xludf.DUMMYFUNCTION("""COMPUTED_VALUE"""),"MAP")</f>
        <v>MAP</v>
      </c>
      <c r="Z25" s="145"/>
      <c r="AA25" s="170">
        <f ca="1">IFERROR(__xludf.DUMMYFUNCTION("""COMPUTED_VALUE"""),52)</f>
        <v>52</v>
      </c>
      <c r="AB25" s="181">
        <f ca="1">IFERROR(__xludf.DUMMYFUNCTION("""COMPUTED_VALUE"""),45461)</f>
        <v>45461</v>
      </c>
      <c r="AC25" s="172" t="str">
        <f ca="1">IFERROR(__xludf.DUMMYFUNCTION("""COMPUTED_VALUE"""),"20240618-52")</f>
        <v>20240618-52</v>
      </c>
      <c r="AD25" s="172" t="str">
        <f ca="1">IFERROR(__xludf.DUMMYFUNCTION("""COMPUTED_VALUE"""),"R-Ravensworth Farm")</f>
        <v>R-Ravensworth Farm</v>
      </c>
      <c r="AE25" s="172" t="str">
        <f ca="1">IFERROR(__xludf.DUMMYFUNCTION("""COMPUTED_VALUE"""),"CH-Cardinal Hill")</f>
        <v>CH-Cardinal Hill</v>
      </c>
      <c r="AF25" s="145"/>
      <c r="AG25" s="170" t="str">
        <f ca="1">IFERROR(__xludf.DUMMYFUNCTION("""COMPUTED_VALUE"""),"LG")</f>
        <v>LG</v>
      </c>
      <c r="AH25" s="162" t="str">
        <f ca="1">IFERROR(__xludf.DUMMYFUNCTION("""COMPUTED_VALUE"""),"Lee Graham")</f>
        <v>Lee Graham</v>
      </c>
    </row>
    <row r="26" spans="1:34" ht="15.75" customHeight="1">
      <c r="A26" s="43"/>
      <c r="B26" s="43"/>
      <c r="C26" s="43"/>
      <c r="D26" s="43"/>
      <c r="E26" s="149">
        <f ca="1">IFERROR(__xludf.DUMMYFUNCTION("""COMPUTED_VALUE"""),23)</f>
        <v>23</v>
      </c>
      <c r="F26" s="179"/>
      <c r="G26" s="150"/>
      <c r="H26" s="150"/>
      <c r="I26" s="151"/>
      <c r="J26" s="151"/>
      <c r="K26" s="153"/>
      <c r="L26" s="153"/>
      <c r="M26" s="151"/>
      <c r="N26" s="151"/>
      <c r="O26" s="142"/>
      <c r="P26" s="142"/>
      <c r="Q26" s="157"/>
      <c r="R26" s="157"/>
      <c r="S26" s="157"/>
      <c r="T26" s="145"/>
      <c r="U26" s="174" t="str">
        <f ca="1">IFERROR(__xludf.DUMMYFUNCTION("""COMPUTED_VALUE"""),"Lakeview")</f>
        <v>Lakeview</v>
      </c>
      <c r="V26" s="157" t="str">
        <f ca="1">IFERROR(__xludf.DUMMYFUNCTION("""COMPUTED_VALUE"""),"at")</f>
        <v>at</v>
      </c>
      <c r="W26" s="157" t="str">
        <f ca="1">IFERROR(__xludf.DUMMYFUNCTION("""COMPUTED_VALUE"""),"Sideburn Run")</f>
        <v>Sideburn Run</v>
      </c>
      <c r="X26" s="175">
        <f ca="1">IFERROR(__xludf.DUMMYFUNCTION("""COMPUTED_VALUE"""),0.75)</f>
        <v>0.75</v>
      </c>
      <c r="Y26" s="157" t="str">
        <f ca="1">IFERROR(__xludf.DUMMYFUNCTION("""COMPUTED_VALUE"""),"MAP")</f>
        <v>MAP</v>
      </c>
      <c r="Z26" s="145"/>
      <c r="AA26" s="158">
        <f ca="1">IFERROR(__xludf.DUMMYFUNCTION("""COMPUTED_VALUE"""),53)</f>
        <v>53</v>
      </c>
      <c r="AB26" s="182">
        <f ca="1">IFERROR(__xludf.DUMMYFUNCTION("""COMPUTED_VALUE"""),45461)</f>
        <v>45461</v>
      </c>
      <c r="AC26" s="177" t="str">
        <f ca="1">IFERROR(__xludf.DUMMYFUNCTION("""COMPUTED_VALUE"""),"20240618-53")</f>
        <v>20240618-53</v>
      </c>
      <c r="AD26" s="177" t="str">
        <f ca="1">IFERROR(__xludf.DUMMYFUNCTION("""COMPUTED_VALUE"""),"SR-Sideburn Run")</f>
        <v>SR-Sideburn Run</v>
      </c>
      <c r="AE26" s="177" t="str">
        <f ca="1">IFERROR(__xludf.DUMMYFUNCTION("""COMPUTED_VALUE"""),"LV-Lakeview")</f>
        <v>LV-Lakeview</v>
      </c>
      <c r="AF26" s="145"/>
      <c r="AG26" s="158" t="str">
        <f ca="1">IFERROR(__xludf.DUMMYFUNCTION("""COMPUTED_VALUE"""),"LV")</f>
        <v>LV</v>
      </c>
      <c r="AH26" s="157" t="str">
        <f ca="1">IFERROR(__xludf.DUMMYFUNCTION("""COMPUTED_VALUE"""),"Lakeview")</f>
        <v>Lakeview</v>
      </c>
    </row>
    <row r="27" spans="1:34" ht="15.75" customHeight="1">
      <c r="A27" s="43"/>
      <c r="B27" s="43"/>
      <c r="C27" s="43"/>
      <c r="D27" s="43"/>
      <c r="E27" s="149">
        <f ca="1">IFERROR(__xludf.DUMMYFUNCTION("""COMPUTED_VALUE"""),24)</f>
        <v>24</v>
      </c>
      <c r="F27" s="179"/>
      <c r="G27" s="150"/>
      <c r="H27" s="150"/>
      <c r="I27" s="151"/>
      <c r="J27" s="151"/>
      <c r="K27" s="153"/>
      <c r="L27" s="153"/>
      <c r="M27" s="151"/>
      <c r="N27" s="151"/>
      <c r="O27" s="142"/>
      <c r="P27" s="142"/>
      <c r="Q27" s="162"/>
      <c r="R27" s="162"/>
      <c r="S27" s="162"/>
      <c r="T27" s="145"/>
      <c r="U27" s="168" t="str">
        <f ca="1">IFERROR(__xludf.DUMMYFUNCTION("""COMPUTED_VALUE"""),"Division VI")</f>
        <v>Division VI</v>
      </c>
      <c r="V27" s="162"/>
      <c r="W27" s="162"/>
      <c r="X27" s="169"/>
      <c r="Y27" s="162"/>
      <c r="Z27" s="145"/>
      <c r="AA27" s="170">
        <f ca="1">IFERROR(__xludf.DUMMYFUNCTION("""COMPUTED_VALUE"""),6)</f>
        <v>6</v>
      </c>
      <c r="AB27" s="181">
        <f ca="1">IFERROR(__xludf.DUMMYFUNCTION("""COMPUTED_VALUE"""),45461)</f>
        <v>45461</v>
      </c>
      <c r="AC27" s="172" t="str">
        <f ca="1">IFERROR(__xludf.DUMMYFUNCTION("""COMPUTED_VALUE"""),"")</f>
        <v/>
      </c>
      <c r="AD27" s="172" t="str">
        <f ca="1">IFERROR(__xludf.DUMMYFUNCTION("""COMPUTED_VALUE"""),"")</f>
        <v/>
      </c>
      <c r="AE27" s="172" t="str">
        <f ca="1">IFERROR(__xludf.DUMMYFUNCTION("""COMPUTED_VALUE"""),"")</f>
        <v/>
      </c>
      <c r="AF27" s="145"/>
      <c r="AG27" s="170" t="str">
        <f ca="1">IFERROR(__xludf.DUMMYFUNCTION("""COMPUTED_VALUE"""),"M")</f>
        <v>M</v>
      </c>
      <c r="AH27" s="162" t="str">
        <f ca="1">IFERROR(__xludf.DUMMYFUNCTION("""COMPUTED_VALUE"""),"Mantua")</f>
        <v>Mantua</v>
      </c>
    </row>
    <row r="28" spans="1:34" ht="15.75" customHeight="1">
      <c r="A28" s="43"/>
      <c r="B28" s="43"/>
      <c r="C28" s="43"/>
      <c r="D28" s="43"/>
      <c r="E28" s="149">
        <f ca="1">IFERROR(__xludf.DUMMYFUNCTION("""COMPUTED_VALUE"""),25)</f>
        <v>25</v>
      </c>
      <c r="F28" s="179"/>
      <c r="G28" s="150"/>
      <c r="H28" s="150"/>
      <c r="I28" s="151"/>
      <c r="J28" s="151"/>
      <c r="K28" s="153"/>
      <c r="L28" s="153"/>
      <c r="M28" s="151"/>
      <c r="N28" s="151"/>
      <c r="O28" s="142"/>
      <c r="P28" s="142"/>
      <c r="Q28" s="157"/>
      <c r="R28" s="157"/>
      <c r="S28" s="157"/>
      <c r="T28" s="145"/>
      <c r="U28" s="174" t="str">
        <f ca="1">IFERROR(__xludf.DUMMYFUNCTION("""COMPUTED_VALUE"""),"Sleepy Hollow B &amp; R")</f>
        <v>Sleepy Hollow B &amp; R</v>
      </c>
      <c r="V28" s="157" t="str">
        <f ca="1">IFERROR(__xludf.DUMMYFUNCTION("""COMPUTED_VALUE"""),"at")</f>
        <v>at</v>
      </c>
      <c r="W28" s="157" t="str">
        <f ca="1">IFERROR(__xludf.DUMMYFUNCTION("""COMPUTED_VALUE"""),"Mansion House")</f>
        <v>Mansion House</v>
      </c>
      <c r="X28" s="175">
        <f ca="1">IFERROR(__xludf.DUMMYFUNCTION("""COMPUTED_VALUE"""),0.75)</f>
        <v>0.75</v>
      </c>
      <c r="Y28" s="157" t="str">
        <f ca="1">IFERROR(__xludf.DUMMYFUNCTION("""COMPUTED_VALUE"""),"MAP")</f>
        <v>MAP</v>
      </c>
      <c r="Z28" s="145"/>
      <c r="AA28" s="158">
        <f ca="1">IFERROR(__xludf.DUMMYFUNCTION("""COMPUTED_VALUE"""),61)</f>
        <v>61</v>
      </c>
      <c r="AB28" s="182">
        <f ca="1">IFERROR(__xludf.DUMMYFUNCTION("""COMPUTED_VALUE"""),45461)</f>
        <v>45461</v>
      </c>
      <c r="AC28" s="177" t="str">
        <f ca="1">IFERROR(__xludf.DUMMYFUNCTION("""COMPUTED_VALUE"""),"20240618-61")</f>
        <v>20240618-61</v>
      </c>
      <c r="AD28" s="177" t="str">
        <f ca="1">IFERROR(__xludf.DUMMYFUNCTION("""COMPUTED_VALUE"""),"MHC-Mansion House")</f>
        <v>MHC-Mansion House</v>
      </c>
      <c r="AE28" s="177" t="str">
        <f ca="1">IFERROR(__xludf.DUMMYFUNCTION("""COMPUTED_VALUE"""),"SHB-Sleepy Hollow Bath")</f>
        <v>SHB-Sleepy Hollow Bath</v>
      </c>
      <c r="AF28" s="145"/>
      <c r="AG28" s="158" t="str">
        <f ca="1">IFERROR(__xludf.DUMMYFUNCTION("""COMPUTED_VALUE"""),"MHC")</f>
        <v>MHC</v>
      </c>
      <c r="AH28" s="157" t="str">
        <f ca="1">IFERROR(__xludf.DUMMYFUNCTION("""COMPUTED_VALUE"""),"Mansion House")</f>
        <v>Mansion House</v>
      </c>
    </row>
    <row r="29" spans="1:34" ht="13.2">
      <c r="A29" s="43"/>
      <c r="B29" s="43"/>
      <c r="C29" s="43"/>
      <c r="D29" s="43"/>
      <c r="E29" s="149">
        <f ca="1">IFERROR(__xludf.DUMMYFUNCTION("""COMPUTED_VALUE"""),26)</f>
        <v>26</v>
      </c>
      <c r="F29" s="179"/>
      <c r="G29" s="150"/>
      <c r="H29" s="150"/>
      <c r="I29" s="151"/>
      <c r="J29" s="151"/>
      <c r="K29" s="153"/>
      <c r="L29" s="153"/>
      <c r="M29" s="151"/>
      <c r="N29" s="151"/>
      <c r="O29" s="142"/>
      <c r="P29" s="142"/>
      <c r="Q29" s="162"/>
      <c r="R29" s="162"/>
      <c r="S29" s="162"/>
      <c r="T29" s="145"/>
      <c r="U29" s="168" t="str">
        <f ca="1">IFERROR(__xludf.DUMMYFUNCTION("""COMPUTED_VALUE"""),"Tuckahoe")</f>
        <v>Tuckahoe</v>
      </c>
      <c r="V29" s="162" t="str">
        <f ca="1">IFERROR(__xludf.DUMMYFUNCTION("""COMPUTED_VALUE"""),"at")</f>
        <v>at</v>
      </c>
      <c r="W29" s="162" t="str">
        <f ca="1">IFERROR(__xludf.DUMMYFUNCTION("""COMPUTED_VALUE"""),"Wakefield Chapel")</f>
        <v>Wakefield Chapel</v>
      </c>
      <c r="X29" s="169">
        <f ca="1">IFERROR(__xludf.DUMMYFUNCTION("""COMPUTED_VALUE"""),0.75)</f>
        <v>0.75</v>
      </c>
      <c r="Y29" s="162" t="str">
        <f ca="1">IFERROR(__xludf.DUMMYFUNCTION("""COMPUTED_VALUE"""),"MAP")</f>
        <v>MAP</v>
      </c>
      <c r="Z29" s="145"/>
      <c r="AA29" s="170">
        <f ca="1">IFERROR(__xludf.DUMMYFUNCTION("""COMPUTED_VALUE"""),62)</f>
        <v>62</v>
      </c>
      <c r="AB29" s="181">
        <f ca="1">IFERROR(__xludf.DUMMYFUNCTION("""COMPUTED_VALUE"""),45461)</f>
        <v>45461</v>
      </c>
      <c r="AC29" s="172" t="str">
        <f ca="1">IFERROR(__xludf.DUMMYFUNCTION("""COMPUTED_VALUE"""),"20240618-62")</f>
        <v>20240618-62</v>
      </c>
      <c r="AD29" s="172" t="str">
        <f ca="1">IFERROR(__xludf.DUMMYFUNCTION("""COMPUTED_VALUE"""),"WC-Wakefield Chapel")</f>
        <v>WC-Wakefield Chapel</v>
      </c>
      <c r="AE29" s="172" t="str">
        <f ca="1">IFERROR(__xludf.DUMMYFUNCTION("""COMPUTED_VALUE"""),"T-Tuckahoe")</f>
        <v>T-Tuckahoe</v>
      </c>
      <c r="AF29" s="145"/>
      <c r="AG29" s="170" t="str">
        <f ca="1">IFERROR(__xludf.DUMMYFUNCTION("""COMPUTED_VALUE"""),"NS")</f>
        <v>NS</v>
      </c>
      <c r="AH29" s="162" t="str">
        <f ca="1">IFERROR(__xludf.DUMMYFUNCTION("""COMPUTED_VALUE"""),"North Springfield")</f>
        <v>North Springfield</v>
      </c>
    </row>
    <row r="30" spans="1:34" ht="13.2">
      <c r="A30" s="43"/>
      <c r="B30" s="43"/>
      <c r="C30" s="43"/>
      <c r="D30" s="43"/>
      <c r="E30" s="149">
        <f ca="1">IFERROR(__xludf.DUMMYFUNCTION("""COMPUTED_VALUE"""),27)</f>
        <v>27</v>
      </c>
      <c r="F30" s="179"/>
      <c r="G30" s="150"/>
      <c r="H30" s="150"/>
      <c r="I30" s="151"/>
      <c r="J30" s="151"/>
      <c r="K30" s="153"/>
      <c r="L30" s="153"/>
      <c r="M30" s="151"/>
      <c r="N30" s="151"/>
      <c r="O30" s="142"/>
      <c r="P30" s="142"/>
      <c r="Q30" s="157"/>
      <c r="R30" s="157"/>
      <c r="S30" s="157"/>
      <c r="T30" s="145"/>
      <c r="U30" s="174" t="str">
        <f ca="1">IFERROR(__xludf.DUMMYFUNCTION("""COMPUTED_VALUE"""),"Parklawn")</f>
        <v>Parklawn</v>
      </c>
      <c r="V30" s="157" t="str">
        <f ca="1">IFERROR(__xludf.DUMMYFUNCTION("""COMPUTED_VALUE"""),"at")</f>
        <v>at</v>
      </c>
      <c r="W30" s="157" t="str">
        <f ca="1">IFERROR(__xludf.DUMMYFUNCTION("""COMPUTED_VALUE"""),"Mantua")</f>
        <v>Mantua</v>
      </c>
      <c r="X30" s="175">
        <f ca="1">IFERROR(__xludf.DUMMYFUNCTION("""COMPUTED_VALUE"""),0.75)</f>
        <v>0.75</v>
      </c>
      <c r="Y30" s="157" t="str">
        <f ca="1">IFERROR(__xludf.DUMMYFUNCTION("""COMPUTED_VALUE"""),"MAP")</f>
        <v>MAP</v>
      </c>
      <c r="Z30" s="145"/>
      <c r="AA30" s="158">
        <f ca="1">IFERROR(__xludf.DUMMYFUNCTION("""COMPUTED_VALUE"""),63)</f>
        <v>63</v>
      </c>
      <c r="AB30" s="182">
        <f ca="1">IFERROR(__xludf.DUMMYFUNCTION("""COMPUTED_VALUE"""),45461)</f>
        <v>45461</v>
      </c>
      <c r="AC30" s="177" t="str">
        <f ca="1">IFERROR(__xludf.DUMMYFUNCTION("""COMPUTED_VALUE"""),"20240618-63")</f>
        <v>20240618-63</v>
      </c>
      <c r="AD30" s="177" t="str">
        <f ca="1">IFERROR(__xludf.DUMMYFUNCTION("""COMPUTED_VALUE"""),"M-Mantua")</f>
        <v>M-Mantua</v>
      </c>
      <c r="AE30" s="177" t="str">
        <f ca="1">IFERROR(__xludf.DUMMYFUNCTION("""COMPUTED_VALUE"""),"PL-Parklawn")</f>
        <v>PL-Parklawn</v>
      </c>
      <c r="AF30" s="145"/>
      <c r="AG30" s="158" t="str">
        <f ca="1">IFERROR(__xludf.DUMMYFUNCTION("""COMPUTED_VALUE"""),"O")</f>
        <v>O</v>
      </c>
      <c r="AH30" s="157" t="str">
        <f ca="1">IFERROR(__xludf.DUMMYFUNCTION("""COMPUTED_VALUE"""),"Overlee")</f>
        <v>Overlee</v>
      </c>
    </row>
    <row r="31" spans="1:34" ht="13.2">
      <c r="A31" s="43"/>
      <c r="B31" s="43"/>
      <c r="C31" s="43"/>
      <c r="D31" s="43"/>
      <c r="E31" s="149">
        <f ca="1">IFERROR(__xludf.DUMMYFUNCTION("""COMPUTED_VALUE"""),28)</f>
        <v>28</v>
      </c>
      <c r="F31" s="179"/>
      <c r="G31" s="150"/>
      <c r="H31" s="150"/>
      <c r="I31" s="151"/>
      <c r="J31" s="151"/>
      <c r="K31" s="153"/>
      <c r="L31" s="153"/>
      <c r="M31" s="151"/>
      <c r="N31" s="151"/>
      <c r="O31" s="142"/>
      <c r="P31" s="142"/>
      <c r="Q31" s="162"/>
      <c r="R31" s="162"/>
      <c r="S31" s="162"/>
      <c r="T31" s="145"/>
      <c r="U31" s="168" t="str">
        <f ca="1">IFERROR(__xludf.DUMMYFUNCTION("""COMPUTED_VALUE"""),"Division VII")</f>
        <v>Division VII</v>
      </c>
      <c r="V31" s="162"/>
      <c r="W31" s="162"/>
      <c r="X31" s="169"/>
      <c r="Y31" s="162"/>
      <c r="Z31" s="145"/>
      <c r="AA31" s="170">
        <f ca="1">IFERROR(__xludf.DUMMYFUNCTION("""COMPUTED_VALUE"""),7)</f>
        <v>7</v>
      </c>
      <c r="AB31" s="181">
        <f ca="1">IFERROR(__xludf.DUMMYFUNCTION("""COMPUTED_VALUE"""),45461)</f>
        <v>45461</v>
      </c>
      <c r="AC31" s="172" t="str">
        <f ca="1">IFERROR(__xludf.DUMMYFUNCTION("""COMPUTED_VALUE"""),"")</f>
        <v/>
      </c>
      <c r="AD31" s="172" t="str">
        <f ca="1">IFERROR(__xludf.DUMMYFUNCTION("""COMPUTED_VALUE"""),"")</f>
        <v/>
      </c>
      <c r="AE31" s="172" t="str">
        <f ca="1">IFERROR(__xludf.DUMMYFUNCTION("""COMPUTED_VALUE"""),"")</f>
        <v/>
      </c>
      <c r="AF31" s="145"/>
      <c r="AG31" s="170" t="str">
        <f ca="1">IFERROR(__xludf.DUMMYFUNCTION("""COMPUTED_VALUE"""),"OAK")</f>
        <v>OAK</v>
      </c>
      <c r="AH31" s="162" t="str">
        <f ca="1">IFERROR(__xludf.DUMMYFUNCTION("""COMPUTED_VALUE"""),"Oakton")</f>
        <v>Oakton</v>
      </c>
    </row>
    <row r="32" spans="1:34" ht="13.2">
      <c r="A32" s="43"/>
      <c r="B32" s="43"/>
      <c r="C32" s="43"/>
      <c r="D32" s="43"/>
      <c r="E32" s="149">
        <f ca="1">IFERROR(__xludf.DUMMYFUNCTION("""COMPUTED_VALUE"""),29)</f>
        <v>29</v>
      </c>
      <c r="F32" s="179"/>
      <c r="G32" s="150"/>
      <c r="H32" s="150"/>
      <c r="I32" s="151"/>
      <c r="J32" s="151"/>
      <c r="K32" s="153"/>
      <c r="L32" s="153"/>
      <c r="M32" s="151"/>
      <c r="N32" s="151"/>
      <c r="O32" s="142"/>
      <c r="P32" s="142"/>
      <c r="Q32" s="157"/>
      <c r="R32" s="157"/>
      <c r="S32" s="157"/>
      <c r="T32" s="145"/>
      <c r="U32" s="174" t="str">
        <f ca="1">IFERROR(__xludf.DUMMYFUNCTION("""COMPUTED_VALUE"""),"Arlington Forest")</f>
        <v>Arlington Forest</v>
      </c>
      <c r="V32" s="157" t="str">
        <f ca="1">IFERROR(__xludf.DUMMYFUNCTION("""COMPUTED_VALUE"""),"at")</f>
        <v>at</v>
      </c>
      <c r="W32" s="157" t="str">
        <f ca="1">IFERROR(__xludf.DUMMYFUNCTION("""COMPUTED_VALUE"""),"Rutherford")</f>
        <v>Rutherford</v>
      </c>
      <c r="X32" s="175">
        <f ca="1">IFERROR(__xludf.DUMMYFUNCTION("""COMPUTED_VALUE"""),0.75)</f>
        <v>0.75</v>
      </c>
      <c r="Y32" s="157" t="str">
        <f ca="1">IFERROR(__xludf.DUMMYFUNCTION("""COMPUTED_VALUE"""),"MAP")</f>
        <v>MAP</v>
      </c>
      <c r="Z32" s="145"/>
      <c r="AA32" s="158">
        <f ca="1">IFERROR(__xludf.DUMMYFUNCTION("""COMPUTED_VALUE"""),71)</f>
        <v>71</v>
      </c>
      <c r="AB32" s="182">
        <f ca="1">IFERROR(__xludf.DUMMYFUNCTION("""COMPUTED_VALUE"""),45461)</f>
        <v>45461</v>
      </c>
      <c r="AC32" s="177" t="str">
        <f ca="1">IFERROR(__xludf.DUMMYFUNCTION("""COMPUTED_VALUE"""),"20240618-71")</f>
        <v>20240618-71</v>
      </c>
      <c r="AD32" s="177" t="str">
        <f ca="1">IFERROR(__xludf.DUMMYFUNCTION("""COMPUTED_VALUE"""),"RFD-Rutherford")</f>
        <v>RFD-Rutherford</v>
      </c>
      <c r="AE32" s="177" t="str">
        <f ca="1">IFERROR(__xludf.DUMMYFUNCTION("""COMPUTED_VALUE"""),"AF-Arlington Forest")</f>
        <v>AF-Arlington Forest</v>
      </c>
      <c r="AF32" s="145"/>
      <c r="AG32" s="158" t="str">
        <f ca="1">IFERROR(__xludf.DUMMYFUNCTION("""COMPUTED_VALUE"""),"OH")</f>
        <v>OH</v>
      </c>
      <c r="AH32" s="157" t="str">
        <f ca="1">IFERROR(__xludf.DUMMYFUNCTION("""COMPUTED_VALUE"""),"Orange Hunt")</f>
        <v>Orange Hunt</v>
      </c>
    </row>
    <row r="33" spans="1:34" ht="13.2">
      <c r="A33" s="43"/>
      <c r="B33" s="43"/>
      <c r="C33" s="43"/>
      <c r="D33" s="43"/>
      <c r="E33" s="149">
        <f ca="1">IFERROR(__xludf.DUMMYFUNCTION("""COMPUTED_VALUE"""),30)</f>
        <v>30</v>
      </c>
      <c r="F33" s="179"/>
      <c r="G33" s="150"/>
      <c r="H33" s="150"/>
      <c r="I33" s="151"/>
      <c r="J33" s="151"/>
      <c r="K33" s="153"/>
      <c r="L33" s="153"/>
      <c r="M33" s="151"/>
      <c r="N33" s="151"/>
      <c r="O33" s="142"/>
      <c r="P33" s="142"/>
      <c r="Q33" s="162"/>
      <c r="R33" s="162"/>
      <c r="S33" s="162"/>
      <c r="T33" s="145"/>
      <c r="U33" s="168" t="str">
        <f ca="1">IFERROR(__xludf.DUMMYFUNCTION("""COMPUTED_VALUE"""),"North Springfield")</f>
        <v>North Springfield</v>
      </c>
      <c r="V33" s="162" t="str">
        <f ca="1">IFERROR(__xludf.DUMMYFUNCTION("""COMPUTED_VALUE"""),"at")</f>
        <v>at</v>
      </c>
      <c r="W33" s="162" t="str">
        <f ca="1">IFERROR(__xludf.DUMMYFUNCTION("""COMPUTED_VALUE"""),"Annandale")</f>
        <v>Annandale</v>
      </c>
      <c r="X33" s="169">
        <f ca="1">IFERROR(__xludf.DUMMYFUNCTION("""COMPUTED_VALUE"""),0.75)</f>
        <v>0.75</v>
      </c>
      <c r="Y33" s="162" t="str">
        <f ca="1">IFERROR(__xludf.DUMMYFUNCTION("""COMPUTED_VALUE"""),"MAP")</f>
        <v>MAP</v>
      </c>
      <c r="Z33" s="145"/>
      <c r="AA33" s="170">
        <f ca="1">IFERROR(__xludf.DUMMYFUNCTION("""COMPUTED_VALUE"""),72)</f>
        <v>72</v>
      </c>
      <c r="AB33" s="181">
        <f ca="1">IFERROR(__xludf.DUMMYFUNCTION("""COMPUTED_VALUE"""),45461)</f>
        <v>45461</v>
      </c>
      <c r="AC33" s="172" t="str">
        <f ca="1">IFERROR(__xludf.DUMMYFUNCTION("""COMPUTED_VALUE"""),"20240618-72")</f>
        <v>20240618-72</v>
      </c>
      <c r="AD33" s="172" t="str">
        <f ca="1">IFERROR(__xludf.DUMMYFUNCTION("""COMPUTED_VALUE"""),"A-Annandale")</f>
        <v>A-Annandale</v>
      </c>
      <c r="AE33" s="172" t="str">
        <f ca="1">IFERROR(__xludf.DUMMYFUNCTION("""COMPUTED_VALUE"""),"NS-North Springfield")</f>
        <v>NS-North Springfield</v>
      </c>
      <c r="AF33" s="145"/>
      <c r="AG33" s="170" t="str">
        <f ca="1">IFERROR(__xludf.DUMMYFUNCTION("""COMPUTED_VALUE"""),"OKM")</f>
        <v>OKM</v>
      </c>
      <c r="AH33" s="162" t="str">
        <f ca="1">IFERROR(__xludf.DUMMYFUNCTION("""COMPUTED_VALUE"""),"Old Keene Mill")</f>
        <v>Old Keene Mill</v>
      </c>
    </row>
    <row r="34" spans="1:34" ht="13.2">
      <c r="A34" s="43"/>
      <c r="B34" s="43"/>
      <c r="C34" s="43"/>
      <c r="D34" s="43"/>
      <c r="E34" s="149">
        <f ca="1">IFERROR(__xludf.DUMMYFUNCTION("""COMPUTED_VALUE"""),31)</f>
        <v>31</v>
      </c>
      <c r="F34" s="179"/>
      <c r="G34" s="150"/>
      <c r="H34" s="150"/>
      <c r="I34" s="151"/>
      <c r="J34" s="151"/>
      <c r="K34" s="153"/>
      <c r="L34" s="153"/>
      <c r="M34" s="151"/>
      <c r="N34" s="151"/>
      <c r="O34" s="142"/>
      <c r="P34" s="142"/>
      <c r="Q34" s="157"/>
      <c r="R34" s="157"/>
      <c r="S34" s="157"/>
      <c r="T34" s="145"/>
      <c r="U34" s="174" t="str">
        <f ca="1">IFERROR(__xludf.DUMMYFUNCTION("""COMPUTED_VALUE"""),"Springfield")</f>
        <v>Springfield</v>
      </c>
      <c r="V34" s="157" t="str">
        <f ca="1">IFERROR(__xludf.DUMMYFUNCTION("""COMPUTED_VALUE"""),"at")</f>
        <v>at</v>
      </c>
      <c r="W34" s="157" t="str">
        <f ca="1">IFERROR(__xludf.DUMMYFUNCTION("""COMPUTED_VALUE"""),"Commonwealth")</f>
        <v>Commonwealth</v>
      </c>
      <c r="X34" s="175">
        <f ca="1">IFERROR(__xludf.DUMMYFUNCTION("""COMPUTED_VALUE"""),0.75)</f>
        <v>0.75</v>
      </c>
      <c r="Y34" s="157" t="str">
        <f ca="1">IFERROR(__xludf.DUMMYFUNCTION("""COMPUTED_VALUE"""),"MAP")</f>
        <v>MAP</v>
      </c>
      <c r="Z34" s="145"/>
      <c r="AA34" s="158">
        <f ca="1">IFERROR(__xludf.DUMMYFUNCTION("""COMPUTED_VALUE"""),73)</f>
        <v>73</v>
      </c>
      <c r="AB34" s="182">
        <f ca="1">IFERROR(__xludf.DUMMYFUNCTION("""COMPUTED_VALUE"""),45461)</f>
        <v>45461</v>
      </c>
      <c r="AC34" s="177" t="str">
        <f ca="1">IFERROR(__xludf.DUMMYFUNCTION("""COMPUTED_VALUE"""),"20240618-73")</f>
        <v>20240618-73</v>
      </c>
      <c r="AD34" s="177" t="str">
        <f ca="1">IFERROR(__xludf.DUMMYFUNCTION("""COMPUTED_VALUE"""),"CSC-Commonwealth Swim Club")</f>
        <v>CSC-Commonwealth Swim Club</v>
      </c>
      <c r="AE34" s="177" t="str">
        <f ca="1">IFERROR(__xludf.DUMMYFUNCTION("""COMPUTED_VALUE"""),"S-Springfield")</f>
        <v>S-Springfield</v>
      </c>
      <c r="AF34" s="145"/>
      <c r="AG34" s="158" t="str">
        <f ca="1">IFERROR(__xludf.DUMMYFUNCTION("""COMPUTED_VALUE"""),"PAR")</f>
        <v>PAR</v>
      </c>
      <c r="AH34" s="157" t="str">
        <f ca="1">IFERROR(__xludf.DUMMYFUNCTION("""COMPUTED_VALUE"""),"Parliament")</f>
        <v>Parliament</v>
      </c>
    </row>
    <row r="35" spans="1:34" ht="13.2">
      <c r="A35" s="43"/>
      <c r="B35" s="43"/>
      <c r="C35" s="43"/>
      <c r="D35" s="43"/>
      <c r="E35" s="149">
        <f ca="1">IFERROR(__xludf.DUMMYFUNCTION("""COMPUTED_VALUE"""),32)</f>
        <v>32</v>
      </c>
      <c r="F35" s="179"/>
      <c r="G35" s="150"/>
      <c r="H35" s="150"/>
      <c r="I35" s="151"/>
      <c r="J35" s="151"/>
      <c r="K35" s="153"/>
      <c r="L35" s="153"/>
      <c r="M35" s="151"/>
      <c r="N35" s="151"/>
      <c r="O35" s="142"/>
      <c r="P35" s="142"/>
      <c r="Q35" s="162"/>
      <c r="R35" s="162"/>
      <c r="S35" s="162"/>
      <c r="T35" s="145"/>
      <c r="U35" s="168" t="str">
        <f ca="1">IFERROR(__xludf.DUMMYFUNCTION("""COMPUTED_VALUE"""),"Division VIII")</f>
        <v>Division VIII</v>
      </c>
      <c r="V35" s="162"/>
      <c r="W35" s="162"/>
      <c r="X35" s="169"/>
      <c r="Y35" s="162"/>
      <c r="Z35" s="145"/>
      <c r="AA35" s="170">
        <f ca="1">IFERROR(__xludf.DUMMYFUNCTION("""COMPUTED_VALUE"""),8)</f>
        <v>8</v>
      </c>
      <c r="AB35" s="181">
        <f ca="1">IFERROR(__xludf.DUMMYFUNCTION("""COMPUTED_VALUE"""),45461)</f>
        <v>45461</v>
      </c>
      <c r="AC35" s="172" t="str">
        <f ca="1">IFERROR(__xludf.DUMMYFUNCTION("""COMPUTED_VALUE"""),"")</f>
        <v/>
      </c>
      <c r="AD35" s="172" t="str">
        <f ca="1">IFERROR(__xludf.DUMMYFUNCTION("""COMPUTED_VALUE"""),"")</f>
        <v/>
      </c>
      <c r="AE35" s="172" t="str">
        <f ca="1">IFERROR(__xludf.DUMMYFUNCTION("""COMPUTED_VALUE"""),"")</f>
        <v/>
      </c>
      <c r="AF35" s="145"/>
      <c r="AG35" s="170" t="str">
        <f ca="1">IFERROR(__xludf.DUMMYFUNCTION("""COMPUTED_VALUE"""),"PC")</f>
        <v>PC</v>
      </c>
      <c r="AH35" s="162" t="str">
        <f ca="1">IFERROR(__xludf.DUMMYFUNCTION("""COMPUTED_VALUE"""),"Pinecrest")</f>
        <v>Pinecrest</v>
      </c>
    </row>
    <row r="36" spans="1:34" ht="13.2">
      <c r="A36" s="43"/>
      <c r="B36" s="43"/>
      <c r="C36" s="43"/>
      <c r="D36" s="43"/>
      <c r="E36" s="149">
        <f ca="1">IFERROR(__xludf.DUMMYFUNCTION("""COMPUTED_VALUE"""),33)</f>
        <v>33</v>
      </c>
      <c r="F36" s="179"/>
      <c r="G36" s="150"/>
      <c r="H36" s="150"/>
      <c r="I36" s="151"/>
      <c r="J36" s="151"/>
      <c r="K36" s="153"/>
      <c r="L36" s="153"/>
      <c r="M36" s="151"/>
      <c r="N36" s="151"/>
      <c r="O36" s="142"/>
      <c r="P36" s="142"/>
      <c r="Q36" s="157"/>
      <c r="R36" s="157"/>
      <c r="S36" s="157"/>
      <c r="T36" s="145"/>
      <c r="U36" s="174" t="str">
        <f ca="1">IFERROR(__xludf.DUMMYFUNCTION("""COMPUTED_VALUE"""),"Springboard")</f>
        <v>Springboard</v>
      </c>
      <c r="V36" s="157" t="str">
        <f ca="1">IFERROR(__xludf.DUMMYFUNCTION("""COMPUTED_VALUE"""),"at")</f>
        <v>at</v>
      </c>
      <c r="W36" s="157" t="str">
        <f ca="1">IFERROR(__xludf.DUMMYFUNCTION("""COMPUTED_VALUE"""),"Orange Hunt")</f>
        <v>Orange Hunt</v>
      </c>
      <c r="X36" s="175">
        <f ca="1">IFERROR(__xludf.DUMMYFUNCTION("""COMPUTED_VALUE"""),0.75)</f>
        <v>0.75</v>
      </c>
      <c r="Y36" s="157" t="str">
        <f ca="1">IFERROR(__xludf.DUMMYFUNCTION("""COMPUTED_VALUE"""),"MAP")</f>
        <v>MAP</v>
      </c>
      <c r="Z36" s="145"/>
      <c r="AA36" s="158">
        <f ca="1">IFERROR(__xludf.DUMMYFUNCTION("""COMPUTED_VALUE"""),81)</f>
        <v>81</v>
      </c>
      <c r="AB36" s="182">
        <f ca="1">IFERROR(__xludf.DUMMYFUNCTION("""COMPUTED_VALUE"""),45461)</f>
        <v>45461</v>
      </c>
      <c r="AC36" s="177" t="str">
        <f ca="1">IFERROR(__xludf.DUMMYFUNCTION("""COMPUTED_VALUE"""),"20240618-81")</f>
        <v>20240618-81</v>
      </c>
      <c r="AD36" s="177" t="str">
        <f ca="1">IFERROR(__xludf.DUMMYFUNCTION("""COMPUTED_VALUE"""),"OH-Orange Hunt")</f>
        <v>OH-Orange Hunt</v>
      </c>
      <c r="AE36" s="177" t="str">
        <f ca="1">IFERROR(__xludf.DUMMYFUNCTION("""COMPUTED_VALUE"""),"SB-Springboard Recreation Club")</f>
        <v>SB-Springboard Recreation Club</v>
      </c>
      <c r="AF36" s="145"/>
      <c r="AG36" s="158" t="str">
        <f ca="1">IFERROR(__xludf.DUMMYFUNCTION("""COMPUTED_VALUE"""),"PL")</f>
        <v>PL</v>
      </c>
      <c r="AH36" s="157" t="str">
        <f ca="1">IFERROR(__xludf.DUMMYFUNCTION("""COMPUTED_VALUE"""),"Parklawn")</f>
        <v>Parklawn</v>
      </c>
    </row>
    <row r="37" spans="1:34" ht="13.2">
      <c r="A37" s="43"/>
      <c r="B37" s="43"/>
      <c r="C37" s="43"/>
      <c r="D37" s="43"/>
      <c r="E37" s="149">
        <f ca="1">IFERROR(__xludf.DUMMYFUNCTION("""COMPUTED_VALUE"""),34)</f>
        <v>34</v>
      </c>
      <c r="F37" s="179"/>
      <c r="G37" s="150"/>
      <c r="H37" s="150"/>
      <c r="I37" s="151"/>
      <c r="J37" s="151"/>
      <c r="K37" s="153"/>
      <c r="L37" s="153"/>
      <c r="M37" s="151"/>
      <c r="N37" s="151"/>
      <c r="O37" s="142"/>
      <c r="P37" s="142"/>
      <c r="Q37" s="162"/>
      <c r="R37" s="162"/>
      <c r="S37" s="162"/>
      <c r="T37" s="145"/>
      <c r="U37" s="168" t="str">
        <f ca="1">IFERROR(__xludf.DUMMYFUNCTION("""COMPUTED_VALUE"""),"Stratford")</f>
        <v>Stratford</v>
      </c>
      <c r="V37" s="162" t="str">
        <f ca="1">IFERROR(__xludf.DUMMYFUNCTION("""COMPUTED_VALUE"""),"at")</f>
        <v>at</v>
      </c>
      <c r="W37" s="162" t="str">
        <f ca="1">IFERROR(__xludf.DUMMYFUNCTION("""COMPUTED_VALUE"""),"Hamlet")</f>
        <v>Hamlet</v>
      </c>
      <c r="X37" s="169">
        <f ca="1">IFERROR(__xludf.DUMMYFUNCTION("""COMPUTED_VALUE"""),0.75)</f>
        <v>0.75</v>
      </c>
      <c r="Y37" s="162" t="str">
        <f ca="1">IFERROR(__xludf.DUMMYFUNCTION("""COMPUTED_VALUE"""),"MAP")</f>
        <v>MAP</v>
      </c>
      <c r="Z37" s="145"/>
      <c r="AA37" s="170">
        <f ca="1">IFERROR(__xludf.DUMMYFUNCTION("""COMPUTED_VALUE"""),82)</f>
        <v>82</v>
      </c>
      <c r="AB37" s="181">
        <f ca="1">IFERROR(__xludf.DUMMYFUNCTION("""COMPUTED_VALUE"""),45461)</f>
        <v>45461</v>
      </c>
      <c r="AC37" s="172" t="str">
        <f ca="1">IFERROR(__xludf.DUMMYFUNCTION("""COMPUTED_VALUE"""),"20240618-82")</f>
        <v>20240618-82</v>
      </c>
      <c r="AD37" s="172" t="str">
        <f ca="1">IFERROR(__xludf.DUMMYFUNCTION("""COMPUTED_VALUE"""),"HSC-Hamlet Swim Club")</f>
        <v>HSC-Hamlet Swim Club</v>
      </c>
      <c r="AE37" s="172" t="str">
        <f ca="1">IFERROR(__xludf.DUMMYFUNCTION("""COMPUTED_VALUE"""),"SRA-Stratford Rec Association")</f>
        <v>SRA-Stratford Rec Association</v>
      </c>
      <c r="AF37" s="145"/>
      <c r="AG37" s="170" t="str">
        <f ca="1">IFERROR(__xludf.DUMMYFUNCTION("""COMPUTED_VALUE"""),"R")</f>
        <v>R</v>
      </c>
      <c r="AH37" s="162" t="str">
        <f ca="1">IFERROR(__xludf.DUMMYFUNCTION("""COMPUTED_VALUE"""),"Ravensworth Farm")</f>
        <v>Ravensworth Farm</v>
      </c>
    </row>
    <row r="38" spans="1:34" ht="13.2">
      <c r="A38" s="43"/>
      <c r="B38" s="43"/>
      <c r="C38" s="43"/>
      <c r="D38" s="43"/>
      <c r="E38" s="149">
        <f ca="1">IFERROR(__xludf.DUMMYFUNCTION("""COMPUTED_VALUE"""),35)</f>
        <v>35</v>
      </c>
      <c r="F38" s="179"/>
      <c r="G38" s="150"/>
      <c r="H38" s="150"/>
      <c r="I38" s="151"/>
      <c r="J38" s="151"/>
      <c r="K38" s="153"/>
      <c r="L38" s="153"/>
      <c r="M38" s="151"/>
      <c r="N38" s="151"/>
      <c r="O38" s="142"/>
      <c r="P38" s="142"/>
      <c r="Q38" s="157"/>
      <c r="R38" s="157"/>
      <c r="S38" s="157"/>
      <c r="T38" s="145"/>
      <c r="U38" s="174" t="str">
        <f ca="1">IFERROR(__xludf.DUMMYFUNCTION("""COMPUTED_VALUE"""),"Ilda Community")</f>
        <v>Ilda Community</v>
      </c>
      <c r="V38" s="157" t="str">
        <f ca="1">IFERROR(__xludf.DUMMYFUNCTION("""COMPUTED_VALUE"""),"at")</f>
        <v>at</v>
      </c>
      <c r="W38" s="157" t="str">
        <f ca="1">IFERROR(__xludf.DUMMYFUNCTION("""COMPUTED_VALUE"""),"Pinecrest")</f>
        <v>Pinecrest</v>
      </c>
      <c r="X38" s="175">
        <f ca="1">IFERROR(__xludf.DUMMYFUNCTION("""COMPUTED_VALUE"""),0.75)</f>
        <v>0.75</v>
      </c>
      <c r="Y38" s="157" t="str">
        <f ca="1">IFERROR(__xludf.DUMMYFUNCTION("""COMPUTED_VALUE"""),"MAP")</f>
        <v>MAP</v>
      </c>
      <c r="Z38" s="145"/>
      <c r="AA38" s="158">
        <f ca="1">IFERROR(__xludf.DUMMYFUNCTION("""COMPUTED_VALUE"""),83)</f>
        <v>83</v>
      </c>
      <c r="AB38" s="182">
        <f ca="1">IFERROR(__xludf.DUMMYFUNCTION("""COMPUTED_VALUE"""),45461)</f>
        <v>45461</v>
      </c>
      <c r="AC38" s="177" t="str">
        <f ca="1">IFERROR(__xludf.DUMMYFUNCTION("""COMPUTED_VALUE"""),"20240618-83")</f>
        <v>20240618-83</v>
      </c>
      <c r="AD38" s="177" t="str">
        <f ca="1">IFERROR(__xludf.DUMMYFUNCTION("""COMPUTED_VALUE"""),"PC-Pinecrest")</f>
        <v>PC-Pinecrest</v>
      </c>
      <c r="AE38" s="177" t="str">
        <f ca="1">IFERROR(__xludf.DUMMYFUNCTION("""COMPUTED_VALUE"""),"IC-Ilda Community")</f>
        <v>IC-Ilda Community</v>
      </c>
      <c r="AF38" s="145"/>
      <c r="AG38" s="158" t="str">
        <f ca="1">IFERROR(__xludf.DUMMYFUNCTION("""COMPUTED_VALUE"""),"RFD")</f>
        <v>RFD</v>
      </c>
      <c r="AH38" s="157" t="str">
        <f ca="1">IFERROR(__xludf.DUMMYFUNCTION("""COMPUTED_VALUE"""),"Rutherford")</f>
        <v>Rutherford</v>
      </c>
    </row>
    <row r="39" spans="1:34" ht="13.2">
      <c r="A39" s="43"/>
      <c r="B39" s="43"/>
      <c r="C39" s="43"/>
      <c r="D39" s="43"/>
      <c r="E39" s="149">
        <f ca="1">IFERROR(__xludf.DUMMYFUNCTION("""COMPUTED_VALUE"""),36)</f>
        <v>36</v>
      </c>
      <c r="F39" s="179"/>
      <c r="G39" s="150"/>
      <c r="H39" s="150"/>
      <c r="I39" s="151"/>
      <c r="J39" s="151"/>
      <c r="K39" s="153"/>
      <c r="L39" s="153"/>
      <c r="M39" s="151"/>
      <c r="N39" s="151"/>
      <c r="O39" s="142"/>
      <c r="P39" s="142"/>
      <c r="Q39" s="162"/>
      <c r="R39" s="162"/>
      <c r="S39" s="162"/>
      <c r="T39" s="145"/>
      <c r="U39" s="168">
        <f ca="1">IFERROR(__xludf.DUMMYFUNCTION("""COMPUTED_VALUE"""),45468)</f>
        <v>45468</v>
      </c>
      <c r="V39" s="162"/>
      <c r="W39" s="162"/>
      <c r="X39" s="169"/>
      <c r="Y39" s="162"/>
      <c r="Z39" s="145"/>
      <c r="AA39" s="170">
        <f ca="1">IFERROR(__xludf.DUMMYFUNCTION("""COMPUTED_VALUE"""),1)</f>
        <v>1</v>
      </c>
      <c r="AB39" s="171">
        <f ca="1">IFERROR(__xludf.DUMMYFUNCTION("""COMPUTED_VALUE"""),45468)</f>
        <v>45468</v>
      </c>
      <c r="AC39" s="172" t="str">
        <f ca="1">IFERROR(__xludf.DUMMYFUNCTION("""COMPUTED_VALUE"""),"")</f>
        <v/>
      </c>
      <c r="AD39" s="172" t="str">
        <f ca="1">IFERROR(__xludf.DUMMYFUNCTION("""COMPUTED_VALUE"""),"")</f>
        <v/>
      </c>
      <c r="AE39" s="172" t="str">
        <f ca="1">IFERROR(__xludf.DUMMYFUNCTION("""COMPUTED_VALUE"""),"")</f>
        <v/>
      </c>
      <c r="AF39" s="145"/>
      <c r="AG39" s="170" t="str">
        <f ca="1">IFERROR(__xludf.DUMMYFUNCTION("""COMPUTED_VALUE"""),"RH")</f>
        <v>RH</v>
      </c>
      <c r="AH39" s="162" t="str">
        <f ca="1">IFERROR(__xludf.DUMMYFUNCTION("""COMPUTED_VALUE"""),"Rolling Hills")</f>
        <v>Rolling Hills</v>
      </c>
    </row>
    <row r="40" spans="1:34" ht="13.2">
      <c r="A40" s="43"/>
      <c r="B40" s="43"/>
      <c r="C40" s="43"/>
      <c r="D40" s="43"/>
      <c r="E40" s="149">
        <f ca="1">IFERROR(__xludf.DUMMYFUNCTION("""COMPUTED_VALUE"""),37)</f>
        <v>37</v>
      </c>
      <c r="F40" s="179"/>
      <c r="G40" s="150"/>
      <c r="H40" s="150"/>
      <c r="I40" s="151"/>
      <c r="J40" s="151"/>
      <c r="K40" s="153"/>
      <c r="L40" s="153"/>
      <c r="M40" s="151"/>
      <c r="N40" s="151"/>
      <c r="O40" s="142"/>
      <c r="P40" s="142"/>
      <c r="Q40" s="157"/>
      <c r="R40" s="157"/>
      <c r="S40" s="157"/>
      <c r="T40" s="145"/>
      <c r="U40" s="174" t="str">
        <f ca="1">IFERROR(__xludf.DUMMYFUNCTION("""COMPUTED_VALUE"""),"Vienna Woods")</f>
        <v>Vienna Woods</v>
      </c>
      <c r="V40" s="157" t="str">
        <f ca="1">IFERROR(__xludf.DUMMYFUNCTION("""COMPUTED_VALUE"""),"at")</f>
        <v>at</v>
      </c>
      <c r="W40" s="157" t="str">
        <f ca="1">IFERROR(__xludf.DUMMYFUNCTION("""COMPUTED_VALUE"""),"Fairfax")</f>
        <v>Fairfax</v>
      </c>
      <c r="X40" s="175">
        <f ca="1">IFERROR(__xludf.DUMMYFUNCTION("""COMPUTED_VALUE"""),0.75)</f>
        <v>0.75</v>
      </c>
      <c r="Y40" s="157" t="str">
        <f ca="1">IFERROR(__xludf.DUMMYFUNCTION("""COMPUTED_VALUE"""),"MAP")</f>
        <v>MAP</v>
      </c>
      <c r="Z40" s="145"/>
      <c r="AA40" s="158">
        <f ca="1">IFERROR(__xludf.DUMMYFUNCTION("""COMPUTED_VALUE"""),11)</f>
        <v>11</v>
      </c>
      <c r="AB40" s="176">
        <f ca="1">IFERROR(__xludf.DUMMYFUNCTION("""COMPUTED_VALUE"""),45468)</f>
        <v>45468</v>
      </c>
      <c r="AC40" s="177" t="str">
        <f ca="1">IFERROR(__xludf.DUMMYFUNCTION("""COMPUTED_VALUE"""),"20240625-11")</f>
        <v>20240625-11</v>
      </c>
      <c r="AD40" s="177" t="str">
        <f ca="1">IFERROR(__xludf.DUMMYFUNCTION("""COMPUTED_VALUE"""),"F-Fairfax")</f>
        <v>F-Fairfax</v>
      </c>
      <c r="AE40" s="177" t="str">
        <f ca="1">IFERROR(__xludf.DUMMYFUNCTION("""COMPUTED_VALUE"""),"VW-Vienna Woods")</f>
        <v>VW-Vienna Woods</v>
      </c>
      <c r="AF40" s="145"/>
      <c r="AG40" s="158" t="str">
        <f ca="1">IFERROR(__xludf.DUMMYFUNCTION("""COMPUTED_VALUE"""),"S")</f>
        <v>S</v>
      </c>
      <c r="AH40" s="157" t="str">
        <f ca="1">IFERROR(__xludf.DUMMYFUNCTION("""COMPUTED_VALUE"""),"Springfield")</f>
        <v>Springfield</v>
      </c>
    </row>
    <row r="41" spans="1:34" ht="13.2">
      <c r="A41" s="43"/>
      <c r="B41" s="43"/>
      <c r="C41" s="43"/>
      <c r="D41" s="43"/>
      <c r="E41" s="149">
        <f ca="1">IFERROR(__xludf.DUMMYFUNCTION("""COMPUTED_VALUE"""),38)</f>
        <v>38</v>
      </c>
      <c r="F41" s="179"/>
      <c r="G41" s="150"/>
      <c r="H41" s="150"/>
      <c r="I41" s="151"/>
      <c r="J41" s="151"/>
      <c r="K41" s="153"/>
      <c r="L41" s="153"/>
      <c r="M41" s="151"/>
      <c r="N41" s="151"/>
      <c r="O41" s="142"/>
      <c r="P41" s="142"/>
      <c r="Q41" s="162"/>
      <c r="R41" s="162"/>
      <c r="S41" s="162"/>
      <c r="T41" s="145"/>
      <c r="U41" s="168" t="str">
        <f ca="1">IFERROR(__xludf.DUMMYFUNCTION("""COMPUTED_VALUE"""),"Overlee")</f>
        <v>Overlee</v>
      </c>
      <c r="V41" s="162" t="str">
        <f ca="1">IFERROR(__xludf.DUMMYFUNCTION("""COMPUTED_VALUE"""),"at")</f>
        <v>at</v>
      </c>
      <c r="W41" s="162" t="str">
        <f ca="1">IFERROR(__xludf.DUMMYFUNCTION("""COMPUTED_VALUE"""),"Oakton")</f>
        <v>Oakton</v>
      </c>
      <c r="X41" s="169">
        <f ca="1">IFERROR(__xludf.DUMMYFUNCTION("""COMPUTED_VALUE"""),0.75)</f>
        <v>0.75</v>
      </c>
      <c r="Y41" s="162" t="str">
        <f ca="1">IFERROR(__xludf.DUMMYFUNCTION("""COMPUTED_VALUE"""),"MAP")</f>
        <v>MAP</v>
      </c>
      <c r="Z41" s="145"/>
      <c r="AA41" s="170">
        <f ca="1">IFERROR(__xludf.DUMMYFUNCTION("""COMPUTED_VALUE"""),12)</f>
        <v>12</v>
      </c>
      <c r="AB41" s="171">
        <f ca="1">IFERROR(__xludf.DUMMYFUNCTION("""COMPUTED_VALUE"""),45468)</f>
        <v>45468</v>
      </c>
      <c r="AC41" s="172" t="str">
        <f ca="1">IFERROR(__xludf.DUMMYFUNCTION("""COMPUTED_VALUE"""),"20240625-12")</f>
        <v>20240625-12</v>
      </c>
      <c r="AD41" s="172" t="str">
        <f ca="1">IFERROR(__xludf.DUMMYFUNCTION("""COMPUTED_VALUE"""),"OAK-Oakton")</f>
        <v>OAK-Oakton</v>
      </c>
      <c r="AE41" s="172" t="str">
        <f ca="1">IFERROR(__xludf.DUMMYFUNCTION("""COMPUTED_VALUE"""),"O-Overlee")</f>
        <v>O-Overlee</v>
      </c>
      <c r="AF41" s="145"/>
      <c r="AG41" s="170" t="str">
        <f ca="1">IFERROR(__xludf.DUMMYFUNCTION("""COMPUTED_VALUE"""),"SB")</f>
        <v>SB</v>
      </c>
      <c r="AH41" s="162" t="str">
        <f ca="1">IFERROR(__xludf.DUMMYFUNCTION("""COMPUTED_VALUE"""),"Springboard Recreation Club")</f>
        <v>Springboard Recreation Club</v>
      </c>
    </row>
    <row r="42" spans="1:34" ht="13.2">
      <c r="A42" s="43"/>
      <c r="B42" s="43"/>
      <c r="C42" s="43"/>
      <c r="D42" s="43"/>
      <c r="E42" s="149">
        <f ca="1">IFERROR(__xludf.DUMMYFUNCTION("""COMPUTED_VALUE"""),39)</f>
        <v>39</v>
      </c>
      <c r="F42" s="179"/>
      <c r="G42" s="150"/>
      <c r="H42" s="150"/>
      <c r="I42" s="151"/>
      <c r="J42" s="151"/>
      <c r="K42" s="153"/>
      <c r="L42" s="153"/>
      <c r="M42" s="151"/>
      <c r="N42" s="151"/>
      <c r="O42" s="142"/>
      <c r="P42" s="142"/>
      <c r="Q42" s="157"/>
      <c r="R42" s="157"/>
      <c r="S42" s="157"/>
      <c r="T42" s="145"/>
      <c r="U42" s="174" t="str">
        <f ca="1">IFERROR(__xludf.DUMMYFUNCTION("""COMPUTED_VALUE"""),"Old Keene Mill")</f>
        <v>Old Keene Mill</v>
      </c>
      <c r="V42" s="157" t="str">
        <f ca="1">IFERROR(__xludf.DUMMYFUNCTION("""COMPUTED_VALUE"""),"at")</f>
        <v>at</v>
      </c>
      <c r="W42" s="157" t="str">
        <f ca="1">IFERROR(__xludf.DUMMYFUNCTION("""COMPUTED_VALUE"""),"Donaldson Run")</f>
        <v>Donaldson Run</v>
      </c>
      <c r="X42" s="175">
        <f ca="1">IFERROR(__xludf.DUMMYFUNCTION("""COMPUTED_VALUE"""),0.75)</f>
        <v>0.75</v>
      </c>
      <c r="Y42" s="157" t="str">
        <f ca="1">IFERROR(__xludf.DUMMYFUNCTION("""COMPUTED_VALUE"""),"MAP")</f>
        <v>MAP</v>
      </c>
      <c r="Z42" s="145"/>
      <c r="AA42" s="158">
        <f ca="1">IFERROR(__xludf.DUMMYFUNCTION("""COMPUTED_VALUE"""),13)</f>
        <v>13</v>
      </c>
      <c r="AB42" s="176">
        <f ca="1">IFERROR(__xludf.DUMMYFUNCTION("""COMPUTED_VALUE"""),45468)</f>
        <v>45468</v>
      </c>
      <c r="AC42" s="177" t="str">
        <f ca="1">IFERROR(__xludf.DUMMYFUNCTION("""COMPUTED_VALUE"""),"20240625-13")</f>
        <v>20240625-13</v>
      </c>
      <c r="AD42" s="177" t="str">
        <f ca="1">IFERROR(__xludf.DUMMYFUNCTION("""COMPUTED_VALUE"""),"DR-Donaldson Run")</f>
        <v>DR-Donaldson Run</v>
      </c>
      <c r="AE42" s="177" t="str">
        <f ca="1">IFERROR(__xludf.DUMMYFUNCTION("""COMPUTED_VALUE"""),"OKM-Old Keene Mill")</f>
        <v>OKM-Old Keene Mill</v>
      </c>
      <c r="AF42" s="145"/>
      <c r="AG42" s="158" t="str">
        <f ca="1">IFERROR(__xludf.DUMMYFUNCTION("""COMPUTED_VALUE"""),"SHB")</f>
        <v>SHB</v>
      </c>
      <c r="AH42" s="157" t="str">
        <f ca="1">IFERROR(__xludf.DUMMYFUNCTION("""COMPUTED_VALUE"""),"Sleepy Hollow Bath")</f>
        <v>Sleepy Hollow Bath</v>
      </c>
    </row>
    <row r="43" spans="1:34" ht="13.2">
      <c r="A43" s="43"/>
      <c r="B43" s="43"/>
      <c r="C43" s="43"/>
      <c r="D43" s="43"/>
      <c r="E43" s="149">
        <f ca="1">IFERROR(__xludf.DUMMYFUNCTION("""COMPUTED_VALUE"""),40)</f>
        <v>40</v>
      </c>
      <c r="F43" s="179"/>
      <c r="G43" s="150"/>
      <c r="H43" s="150"/>
      <c r="I43" s="151"/>
      <c r="J43" s="151"/>
      <c r="K43" s="153"/>
      <c r="L43" s="153"/>
      <c r="M43" s="151"/>
      <c r="N43" s="151"/>
      <c r="O43" s="142"/>
      <c r="P43" s="142"/>
      <c r="Q43" s="162"/>
      <c r="R43" s="162"/>
      <c r="S43" s="162"/>
      <c r="T43" s="145"/>
      <c r="U43" s="168" t="str">
        <f ca="1">IFERROR(__xludf.DUMMYFUNCTION("""COMPUTED_VALUE"""),"Division II")</f>
        <v>Division II</v>
      </c>
      <c r="V43" s="162"/>
      <c r="W43" s="162"/>
      <c r="X43" s="169"/>
      <c r="Y43" s="162"/>
      <c r="Z43" s="145"/>
      <c r="AA43" s="170">
        <f ca="1">IFERROR(__xludf.DUMMYFUNCTION("""COMPUTED_VALUE"""),2)</f>
        <v>2</v>
      </c>
      <c r="AB43" s="171">
        <f ca="1">IFERROR(__xludf.DUMMYFUNCTION("""COMPUTED_VALUE"""),45468)</f>
        <v>45468</v>
      </c>
      <c r="AC43" s="172" t="str">
        <f ca="1">IFERROR(__xludf.DUMMYFUNCTION("""COMPUTED_VALUE"""),"")</f>
        <v/>
      </c>
      <c r="AD43" s="172" t="str">
        <f ca="1">IFERROR(__xludf.DUMMYFUNCTION("""COMPUTED_VALUE"""),"")</f>
        <v/>
      </c>
      <c r="AE43" s="172" t="str">
        <f ca="1">IFERROR(__xludf.DUMMYFUNCTION("""COMPUTED_VALUE"""),"")</f>
        <v/>
      </c>
      <c r="AF43" s="145"/>
      <c r="AG43" s="170" t="str">
        <f ca="1">IFERROR(__xludf.DUMMYFUNCTION("""COMPUTED_VALUE"""),"SHR")</f>
        <v>SHR</v>
      </c>
      <c r="AH43" s="162" t="str">
        <f ca="1">IFERROR(__xludf.DUMMYFUNCTION("""COMPUTED_VALUE"""),"Sleepy Hollow Rec")</f>
        <v>Sleepy Hollow Rec</v>
      </c>
    </row>
    <row r="44" spans="1:34" ht="13.2">
      <c r="A44" s="43"/>
      <c r="B44" s="43"/>
      <c r="C44" s="43"/>
      <c r="D44" s="43"/>
      <c r="E44" s="149">
        <f ca="1">IFERROR(__xludf.DUMMYFUNCTION("""COMPUTED_VALUE"""),41)</f>
        <v>41</v>
      </c>
      <c r="F44" s="179"/>
      <c r="G44" s="150"/>
      <c r="H44" s="150"/>
      <c r="I44" s="151"/>
      <c r="J44" s="151"/>
      <c r="K44" s="153"/>
      <c r="L44" s="153"/>
      <c r="M44" s="151"/>
      <c r="N44" s="151"/>
      <c r="O44" s="142"/>
      <c r="P44" s="142"/>
      <c r="Q44" s="157"/>
      <c r="R44" s="157"/>
      <c r="S44" s="157"/>
      <c r="T44" s="145"/>
      <c r="U44" s="174" t="str">
        <f ca="1">IFERROR(__xludf.DUMMYFUNCTION("""COMPUTED_VALUE"""),"Sleepy Hollow Rec")</f>
        <v>Sleepy Hollow Rec</v>
      </c>
      <c r="V44" s="157" t="str">
        <f ca="1">IFERROR(__xludf.DUMMYFUNCTION("""COMPUTED_VALUE"""),"at")</f>
        <v>at</v>
      </c>
      <c r="W44" s="157" t="str">
        <f ca="1">IFERROR(__xludf.DUMMYFUNCTION("""COMPUTED_VALUE"""),"Kent Gardens")</f>
        <v>Kent Gardens</v>
      </c>
      <c r="X44" s="175">
        <f ca="1">IFERROR(__xludf.DUMMYFUNCTION("""COMPUTED_VALUE"""),0.75)</f>
        <v>0.75</v>
      </c>
      <c r="Y44" s="157" t="str">
        <f ca="1">IFERROR(__xludf.DUMMYFUNCTION("""COMPUTED_VALUE"""),"MAP")</f>
        <v>MAP</v>
      </c>
      <c r="Z44" s="145"/>
      <c r="AA44" s="158">
        <f ca="1">IFERROR(__xludf.DUMMYFUNCTION("""COMPUTED_VALUE"""),21)</f>
        <v>21</v>
      </c>
      <c r="AB44" s="176">
        <f ca="1">IFERROR(__xludf.DUMMYFUNCTION("""COMPUTED_VALUE"""),45468)</f>
        <v>45468</v>
      </c>
      <c r="AC44" s="177" t="str">
        <f ca="1">IFERROR(__xludf.DUMMYFUNCTION("""COMPUTED_VALUE"""),"20240625-21")</f>
        <v>20240625-21</v>
      </c>
      <c r="AD44" s="177" t="str">
        <f ca="1">IFERROR(__xludf.DUMMYFUNCTION("""COMPUTED_VALUE"""),"KG-Kent Gardens")</f>
        <v>KG-Kent Gardens</v>
      </c>
      <c r="AE44" s="177" t="str">
        <f ca="1">IFERROR(__xludf.DUMMYFUNCTION("""COMPUTED_VALUE"""),"SHR-Sleepy Hollow Rec")</f>
        <v>SHR-Sleepy Hollow Rec</v>
      </c>
      <c r="AF44" s="145"/>
      <c r="AG44" s="158" t="str">
        <f ca="1">IFERROR(__xludf.DUMMYFUNCTION("""COMPUTED_VALUE"""),"SR")</f>
        <v>SR</v>
      </c>
      <c r="AH44" s="157" t="str">
        <f ca="1">IFERROR(__xludf.DUMMYFUNCTION("""COMPUTED_VALUE"""),"Sideburn Run")</f>
        <v>Sideburn Run</v>
      </c>
    </row>
    <row r="45" spans="1:34" ht="13.2">
      <c r="A45" s="43"/>
      <c r="B45" s="43"/>
      <c r="C45" s="43"/>
      <c r="D45" s="43"/>
      <c r="E45" s="149">
        <f ca="1">IFERROR(__xludf.DUMMYFUNCTION("""COMPUTED_VALUE"""),42)</f>
        <v>42</v>
      </c>
      <c r="F45" s="179"/>
      <c r="G45" s="150"/>
      <c r="H45" s="150"/>
      <c r="I45" s="151"/>
      <c r="J45" s="151"/>
      <c r="K45" s="153"/>
      <c r="L45" s="153"/>
      <c r="M45" s="151"/>
      <c r="N45" s="151"/>
      <c r="O45" s="142"/>
      <c r="P45" s="142"/>
      <c r="Q45" s="162"/>
      <c r="R45" s="162"/>
      <c r="S45" s="162"/>
      <c r="T45" s="145"/>
      <c r="U45" s="168" t="str">
        <f ca="1">IFERROR(__xludf.DUMMYFUNCTION("""COMPUTED_VALUE"""),"Dominion Hills")</f>
        <v>Dominion Hills</v>
      </c>
      <c r="V45" s="162" t="str">
        <f ca="1">IFERROR(__xludf.DUMMYFUNCTION("""COMPUTED_VALUE"""),"at")</f>
        <v>at</v>
      </c>
      <c r="W45" s="162" t="str">
        <f ca="1">IFERROR(__xludf.DUMMYFUNCTION("""COMPUTED_VALUE"""),"Hunt Valley")</f>
        <v>Hunt Valley</v>
      </c>
      <c r="X45" s="169">
        <f ca="1">IFERROR(__xludf.DUMMYFUNCTION("""COMPUTED_VALUE"""),0.75)</f>
        <v>0.75</v>
      </c>
      <c r="Y45" s="162" t="str">
        <f ca="1">IFERROR(__xludf.DUMMYFUNCTION("""COMPUTED_VALUE"""),"MAP")</f>
        <v>MAP</v>
      </c>
      <c r="Z45" s="145"/>
      <c r="AA45" s="170">
        <f ca="1">IFERROR(__xludf.DUMMYFUNCTION("""COMPUTED_VALUE"""),22)</f>
        <v>22</v>
      </c>
      <c r="AB45" s="171">
        <f ca="1">IFERROR(__xludf.DUMMYFUNCTION("""COMPUTED_VALUE"""),45468)</f>
        <v>45468</v>
      </c>
      <c r="AC45" s="172" t="str">
        <f ca="1">IFERROR(__xludf.DUMMYFUNCTION("""COMPUTED_VALUE"""),"20240625-22")</f>
        <v>20240625-22</v>
      </c>
      <c r="AD45" s="172" t="str">
        <f ca="1">IFERROR(__xludf.DUMMYFUNCTION("""COMPUTED_VALUE"""),"HV-Hunt Valley")</f>
        <v>HV-Hunt Valley</v>
      </c>
      <c r="AE45" s="172" t="str">
        <f ca="1">IFERROR(__xludf.DUMMYFUNCTION("""COMPUTED_VALUE"""),"DH-Dominion Hills")</f>
        <v>DH-Dominion Hills</v>
      </c>
      <c r="AF45" s="145"/>
      <c r="AG45" s="170" t="str">
        <f ca="1">IFERROR(__xludf.DUMMYFUNCTION("""COMPUTED_VALUE"""),"SRA")</f>
        <v>SRA</v>
      </c>
      <c r="AH45" s="162" t="str">
        <f ca="1">IFERROR(__xludf.DUMMYFUNCTION("""COMPUTED_VALUE"""),"Stratford Rec Association")</f>
        <v>Stratford Rec Association</v>
      </c>
    </row>
    <row r="46" spans="1:34" ht="13.2">
      <c r="A46" s="43"/>
      <c r="B46" s="43"/>
      <c r="C46" s="43"/>
      <c r="D46" s="43"/>
      <c r="E46" s="149">
        <f ca="1">IFERROR(__xludf.DUMMYFUNCTION("""COMPUTED_VALUE"""),43)</f>
        <v>43</v>
      </c>
      <c r="F46" s="179"/>
      <c r="G46" s="150"/>
      <c r="H46" s="150"/>
      <c r="I46" s="151"/>
      <c r="J46" s="151"/>
      <c r="K46" s="153"/>
      <c r="L46" s="153"/>
      <c r="M46" s="151"/>
      <c r="N46" s="151"/>
      <c r="O46" s="142"/>
      <c r="P46" s="142"/>
      <c r="Q46" s="157"/>
      <c r="R46" s="157"/>
      <c r="S46" s="157"/>
      <c r="T46" s="145"/>
      <c r="U46" s="174" t="str">
        <f ca="1">IFERROR(__xludf.DUMMYFUNCTION("""COMPUTED_VALUE"""),"Rolling Hills")</f>
        <v>Rolling Hills</v>
      </c>
      <c r="V46" s="157" t="str">
        <f ca="1">IFERROR(__xludf.DUMMYFUNCTION("""COMPUTED_VALUE"""),"at")</f>
        <v>at</v>
      </c>
      <c r="W46" s="157" t="str">
        <f ca="1">IFERROR(__xludf.DUMMYFUNCTION("""COMPUTED_VALUE"""),"Highlands Swim")</f>
        <v>Highlands Swim</v>
      </c>
      <c r="X46" s="175">
        <f ca="1">IFERROR(__xludf.DUMMYFUNCTION("""COMPUTED_VALUE"""),0.75)</f>
        <v>0.75</v>
      </c>
      <c r="Y46" s="157" t="str">
        <f ca="1">IFERROR(__xludf.DUMMYFUNCTION("""COMPUTED_VALUE"""),"MAP")</f>
        <v>MAP</v>
      </c>
      <c r="Z46" s="145"/>
      <c r="AA46" s="158">
        <f ca="1">IFERROR(__xludf.DUMMYFUNCTION("""COMPUTED_VALUE"""),23)</f>
        <v>23</v>
      </c>
      <c r="AB46" s="176">
        <f ca="1">IFERROR(__xludf.DUMMYFUNCTION("""COMPUTED_VALUE"""),45468)</f>
        <v>45468</v>
      </c>
      <c r="AC46" s="177" t="str">
        <f ca="1">IFERROR(__xludf.DUMMYFUNCTION("""COMPUTED_VALUE"""),"20240625-23")</f>
        <v>20240625-23</v>
      </c>
      <c r="AD46" s="177" t="str">
        <f ca="1">IFERROR(__xludf.DUMMYFUNCTION("""COMPUTED_VALUE"""),"HS-Highlands Swim")</f>
        <v>HS-Highlands Swim</v>
      </c>
      <c r="AE46" s="177" t="str">
        <f ca="1">IFERROR(__xludf.DUMMYFUNCTION("""COMPUTED_VALUE"""),"RH-Rolling Hills")</f>
        <v>RH-Rolling Hills</v>
      </c>
      <c r="AF46" s="145"/>
      <c r="AG46" s="158" t="str">
        <f ca="1">IFERROR(__xludf.DUMMYFUNCTION("""COMPUTED_VALUE"""),"T")</f>
        <v>T</v>
      </c>
      <c r="AH46" s="157" t="str">
        <f ca="1">IFERROR(__xludf.DUMMYFUNCTION("""COMPUTED_VALUE"""),"Tuckahoe")</f>
        <v>Tuckahoe</v>
      </c>
    </row>
    <row r="47" spans="1:34" ht="13.2">
      <c r="A47" s="43"/>
      <c r="B47" s="43"/>
      <c r="C47" s="43"/>
      <c r="D47" s="43"/>
      <c r="E47" s="149">
        <f ca="1">IFERROR(__xludf.DUMMYFUNCTION("""COMPUTED_VALUE"""),44)</f>
        <v>44</v>
      </c>
      <c r="F47" s="179"/>
      <c r="G47" s="150"/>
      <c r="H47" s="150"/>
      <c r="I47" s="151"/>
      <c r="J47" s="151"/>
      <c r="K47" s="153"/>
      <c r="L47" s="153"/>
      <c r="M47" s="151"/>
      <c r="N47" s="151"/>
      <c r="O47" s="142"/>
      <c r="P47" s="142"/>
      <c r="Q47" s="162"/>
      <c r="R47" s="162"/>
      <c r="S47" s="162"/>
      <c r="T47" s="145"/>
      <c r="U47" s="168" t="str">
        <f ca="1">IFERROR(__xludf.DUMMYFUNCTION("""COMPUTED_VALUE"""),"Division III")</f>
        <v>Division III</v>
      </c>
      <c r="V47" s="162"/>
      <c r="W47" s="162"/>
      <c r="X47" s="169"/>
      <c r="Y47" s="162"/>
      <c r="Z47" s="145"/>
      <c r="AA47" s="170">
        <f ca="1">IFERROR(__xludf.DUMMYFUNCTION("""COMPUTED_VALUE"""),3)</f>
        <v>3</v>
      </c>
      <c r="AB47" s="171">
        <f ca="1">IFERROR(__xludf.DUMMYFUNCTION("""COMPUTED_VALUE"""),45468)</f>
        <v>45468</v>
      </c>
      <c r="AC47" s="172" t="str">
        <f ca="1">IFERROR(__xludf.DUMMYFUNCTION("""COMPUTED_VALUE"""),"")</f>
        <v/>
      </c>
      <c r="AD47" s="172" t="str">
        <f ca="1">IFERROR(__xludf.DUMMYFUNCTION("""COMPUTED_VALUE"""),"")</f>
        <v/>
      </c>
      <c r="AE47" s="172" t="str">
        <f ca="1">IFERROR(__xludf.DUMMYFUNCTION("""COMPUTED_VALUE"""),"")</f>
        <v/>
      </c>
      <c r="AF47" s="145"/>
      <c r="AG47" s="170" t="str">
        <f ca="1">IFERROR(__xludf.DUMMYFUNCTION("""COMPUTED_VALUE"""),"THA")</f>
        <v>THA</v>
      </c>
      <c r="AH47" s="162" t="str">
        <f ca="1">IFERROR(__xludf.DUMMYFUNCTION("""COMPUTED_VALUE"""),"Truro Homes Association")</f>
        <v>Truro Homes Association</v>
      </c>
    </row>
    <row r="48" spans="1:34" ht="13.2">
      <c r="A48" s="43"/>
      <c r="B48" s="43"/>
      <c r="C48" s="43"/>
      <c r="D48" s="43"/>
      <c r="E48" s="149">
        <f ca="1">IFERROR(__xludf.DUMMYFUNCTION("""COMPUTED_VALUE"""),45)</f>
        <v>45</v>
      </c>
      <c r="F48" s="179"/>
      <c r="G48" s="150"/>
      <c r="H48" s="150"/>
      <c r="I48" s="151"/>
      <c r="J48" s="151"/>
      <c r="K48" s="153"/>
      <c r="L48" s="153"/>
      <c r="M48" s="151"/>
      <c r="N48" s="151"/>
      <c r="O48" s="142"/>
      <c r="P48" s="142"/>
      <c r="Q48" s="157"/>
      <c r="R48" s="157"/>
      <c r="S48" s="157"/>
      <c r="T48" s="145"/>
      <c r="U48" s="174" t="str">
        <f ca="1">IFERROR(__xludf.DUMMYFUNCTION("""COMPUTED_VALUE"""),"Lee Graham")</f>
        <v>Lee Graham</v>
      </c>
      <c r="V48" s="157" t="str">
        <f ca="1">IFERROR(__xludf.DUMMYFUNCTION("""COMPUTED_VALUE"""),"at")</f>
        <v>at</v>
      </c>
      <c r="W48" s="157" t="str">
        <f ca="1">IFERROR(__xludf.DUMMYFUNCTION("""COMPUTED_VALUE"""),"Parliament")</f>
        <v>Parliament</v>
      </c>
      <c r="X48" s="175">
        <f ca="1">IFERROR(__xludf.DUMMYFUNCTION("""COMPUTED_VALUE"""),0.75)</f>
        <v>0.75</v>
      </c>
      <c r="Y48" s="157" t="str">
        <f ca="1">IFERROR(__xludf.DUMMYFUNCTION("""COMPUTED_VALUE"""),"MAP")</f>
        <v>MAP</v>
      </c>
      <c r="Z48" s="145"/>
      <c r="AA48" s="158">
        <f ca="1">IFERROR(__xludf.DUMMYFUNCTION("""COMPUTED_VALUE"""),31)</f>
        <v>31</v>
      </c>
      <c r="AB48" s="176">
        <f ca="1">IFERROR(__xludf.DUMMYFUNCTION("""COMPUTED_VALUE"""),45468)</f>
        <v>45468</v>
      </c>
      <c r="AC48" s="177" t="str">
        <f ca="1">IFERROR(__xludf.DUMMYFUNCTION("""COMPUTED_VALUE"""),"20240625-31")</f>
        <v>20240625-31</v>
      </c>
      <c r="AD48" s="177" t="str">
        <f ca="1">IFERROR(__xludf.DUMMYFUNCTION("""COMPUTED_VALUE"""),"PAR-Parliament")</f>
        <v>PAR-Parliament</v>
      </c>
      <c r="AE48" s="177" t="str">
        <f ca="1">IFERROR(__xludf.DUMMYFUNCTION("""COMPUTED_VALUE"""),"LG-Lee Graham")</f>
        <v>LG-Lee Graham</v>
      </c>
      <c r="AF48" s="145"/>
      <c r="AG48" s="158" t="str">
        <f ca="1">IFERROR(__xludf.DUMMYFUNCTION("""COMPUTED_VALUE"""),"VW")</f>
        <v>VW</v>
      </c>
      <c r="AH48" s="157" t="str">
        <f ca="1">IFERROR(__xludf.DUMMYFUNCTION("""COMPUTED_VALUE"""),"Vienna Woods")</f>
        <v>Vienna Woods</v>
      </c>
    </row>
    <row r="49" spans="1:34" ht="13.2">
      <c r="A49" s="43"/>
      <c r="B49" s="43"/>
      <c r="C49" s="43"/>
      <c r="D49" s="43"/>
      <c r="E49" s="149">
        <f ca="1">IFERROR(__xludf.DUMMYFUNCTION("""COMPUTED_VALUE"""),46)</f>
        <v>46</v>
      </c>
      <c r="F49" s="179"/>
      <c r="G49" s="150"/>
      <c r="H49" s="150"/>
      <c r="I49" s="151"/>
      <c r="J49" s="151"/>
      <c r="K49" s="153"/>
      <c r="L49" s="153"/>
      <c r="M49" s="151"/>
      <c r="N49" s="151"/>
      <c r="O49" s="142"/>
      <c r="P49" s="142"/>
      <c r="Q49" s="162"/>
      <c r="R49" s="162"/>
      <c r="S49" s="162"/>
      <c r="T49" s="145"/>
      <c r="U49" s="168" t="str">
        <f ca="1">IFERROR(__xludf.DUMMYFUNCTION("""COMPUTED_VALUE"""),"Greenbriar")</f>
        <v>Greenbriar</v>
      </c>
      <c r="V49" s="162" t="str">
        <f ca="1">IFERROR(__xludf.DUMMYFUNCTION("""COMPUTED_VALUE"""),"at")</f>
        <v>at</v>
      </c>
      <c r="W49" s="162" t="str">
        <f ca="1">IFERROR(__xludf.DUMMYFUNCTION("""COMPUTED_VALUE"""),"Walden Glen")</f>
        <v>Walden Glen</v>
      </c>
      <c r="X49" s="169">
        <f ca="1">IFERROR(__xludf.DUMMYFUNCTION("""COMPUTED_VALUE"""),0.75)</f>
        <v>0.75</v>
      </c>
      <c r="Y49" s="162" t="str">
        <f ca="1">IFERROR(__xludf.DUMMYFUNCTION("""COMPUTED_VALUE"""),"MAP")</f>
        <v>MAP</v>
      </c>
      <c r="Z49" s="145"/>
      <c r="AA49" s="170">
        <f ca="1">IFERROR(__xludf.DUMMYFUNCTION("""COMPUTED_VALUE"""),32)</f>
        <v>32</v>
      </c>
      <c r="AB49" s="171">
        <f ca="1">IFERROR(__xludf.DUMMYFUNCTION("""COMPUTED_VALUE"""),45468)</f>
        <v>45468</v>
      </c>
      <c r="AC49" s="172" t="str">
        <f ca="1">IFERROR(__xludf.DUMMYFUNCTION("""COMPUTED_VALUE"""),"20240625-32")</f>
        <v>20240625-32</v>
      </c>
      <c r="AD49" s="172" t="str">
        <f ca="1">IFERROR(__xludf.DUMMYFUNCTION("""COMPUTED_VALUE"""),"WG-Walden Glen")</f>
        <v>WG-Walden Glen</v>
      </c>
      <c r="AE49" s="172" t="str">
        <f ca="1">IFERROR(__xludf.DUMMYFUNCTION("""COMPUTED_VALUE"""),"G-Greenbriar")</f>
        <v>G-Greenbriar</v>
      </c>
      <c r="AF49" s="145"/>
      <c r="AG49" s="170" t="str">
        <f ca="1">IFERROR(__xludf.DUMMYFUNCTION("""COMPUTED_VALUE"""),"W")</f>
        <v>W</v>
      </c>
      <c r="AH49" s="162" t="str">
        <f ca="1">IFERROR(__xludf.DUMMYFUNCTION("""COMPUTED_VALUE"""),"Woodley")</f>
        <v>Woodley</v>
      </c>
    </row>
    <row r="50" spans="1:34" ht="13.2">
      <c r="A50" s="43"/>
      <c r="B50" s="43"/>
      <c r="C50" s="43"/>
      <c r="D50" s="43"/>
      <c r="E50" s="149">
        <f ca="1">IFERROR(__xludf.DUMMYFUNCTION("""COMPUTED_VALUE"""),47)</f>
        <v>47</v>
      </c>
      <c r="F50" s="179"/>
      <c r="G50" s="150"/>
      <c r="H50" s="150"/>
      <c r="I50" s="151"/>
      <c r="J50" s="151"/>
      <c r="K50" s="153"/>
      <c r="L50" s="153"/>
      <c r="M50" s="151"/>
      <c r="N50" s="151"/>
      <c r="O50" s="142"/>
      <c r="P50" s="142"/>
      <c r="Q50" s="157"/>
      <c r="R50" s="157"/>
      <c r="S50" s="157"/>
      <c r="T50" s="145"/>
      <c r="U50" s="174" t="str">
        <f ca="1">IFERROR(__xludf.DUMMYFUNCTION("""COMPUTED_VALUE"""),"Dunn Loring")</f>
        <v>Dunn Loring</v>
      </c>
      <c r="V50" s="157" t="str">
        <f ca="1">IFERROR(__xludf.DUMMYFUNCTION("""COMPUTED_VALUE"""),"at")</f>
        <v>at</v>
      </c>
      <c r="W50" s="157" t="str">
        <f ca="1">IFERROR(__xludf.DUMMYFUNCTION("""COMPUTED_VALUE"""),"Fairfax Station")</f>
        <v>Fairfax Station</v>
      </c>
      <c r="X50" s="175">
        <f ca="1">IFERROR(__xludf.DUMMYFUNCTION("""COMPUTED_VALUE"""),0.75)</f>
        <v>0.75</v>
      </c>
      <c r="Y50" s="157" t="str">
        <f ca="1">IFERROR(__xludf.DUMMYFUNCTION("""COMPUTED_VALUE"""),"MAP")</f>
        <v>MAP</v>
      </c>
      <c r="Z50" s="145"/>
      <c r="AA50" s="158">
        <f ca="1">IFERROR(__xludf.DUMMYFUNCTION("""COMPUTED_VALUE"""),33)</f>
        <v>33</v>
      </c>
      <c r="AB50" s="176">
        <f ca="1">IFERROR(__xludf.DUMMYFUNCTION("""COMPUTED_VALUE"""),45468)</f>
        <v>45468</v>
      </c>
      <c r="AC50" s="177" t="str">
        <f ca="1">IFERROR(__xludf.DUMMYFUNCTION("""COMPUTED_VALUE"""),"20240625-33")</f>
        <v>20240625-33</v>
      </c>
      <c r="AD50" s="177" t="str">
        <f ca="1">IFERROR(__xludf.DUMMYFUNCTION("""COMPUTED_VALUE"""),"FS-Fairfax Station")</f>
        <v>FS-Fairfax Station</v>
      </c>
      <c r="AE50" s="177" t="str">
        <f ca="1">IFERROR(__xludf.DUMMYFUNCTION("""COMPUTED_VALUE"""),"DL-Dunn Loring")</f>
        <v>DL-Dunn Loring</v>
      </c>
      <c r="AF50" s="145"/>
      <c r="AG50" s="158" t="str">
        <f ca="1">IFERROR(__xludf.DUMMYFUNCTION("""COMPUTED_VALUE"""),"WC")</f>
        <v>WC</v>
      </c>
      <c r="AH50" s="157" t="str">
        <f ca="1">IFERROR(__xludf.DUMMYFUNCTION("""COMPUTED_VALUE"""),"Wakefield Chapel")</f>
        <v>Wakefield Chapel</v>
      </c>
    </row>
    <row r="51" spans="1:34" ht="13.2">
      <c r="A51" s="43"/>
      <c r="B51" s="43"/>
      <c r="C51" s="43"/>
      <c r="D51" s="43"/>
      <c r="E51" s="149">
        <f ca="1">IFERROR(__xludf.DUMMYFUNCTION("""COMPUTED_VALUE"""),48)</f>
        <v>48</v>
      </c>
      <c r="F51" s="179"/>
      <c r="G51" s="150"/>
      <c r="H51" s="150"/>
      <c r="I51" s="151"/>
      <c r="J51" s="151"/>
      <c r="K51" s="153"/>
      <c r="L51" s="153"/>
      <c r="M51" s="151"/>
      <c r="N51" s="151"/>
      <c r="O51" s="142"/>
      <c r="P51" s="142"/>
      <c r="Q51" s="162"/>
      <c r="R51" s="162"/>
      <c r="S51" s="162"/>
      <c r="T51" s="145"/>
      <c r="U51" s="168" t="str">
        <f ca="1">IFERROR(__xludf.DUMMYFUNCTION("""COMPUTED_VALUE"""),"Division IV")</f>
        <v>Division IV</v>
      </c>
      <c r="V51" s="162"/>
      <c r="W51" s="162"/>
      <c r="X51" s="169"/>
      <c r="Y51" s="162"/>
      <c r="Z51" s="145"/>
      <c r="AA51" s="170">
        <f ca="1">IFERROR(__xludf.DUMMYFUNCTION("""COMPUTED_VALUE"""),4)</f>
        <v>4</v>
      </c>
      <c r="AB51" s="171">
        <f ca="1">IFERROR(__xludf.DUMMYFUNCTION("""COMPUTED_VALUE"""),45468)</f>
        <v>45468</v>
      </c>
      <c r="AC51" s="172" t="str">
        <f ca="1">IFERROR(__xludf.DUMMYFUNCTION("""COMPUTED_VALUE"""),"")</f>
        <v/>
      </c>
      <c r="AD51" s="172" t="str">
        <f ca="1">IFERROR(__xludf.DUMMYFUNCTION("""COMPUTED_VALUE"""),"")</f>
        <v/>
      </c>
      <c r="AE51" s="172" t="str">
        <f ca="1">IFERROR(__xludf.DUMMYFUNCTION("""COMPUTED_VALUE"""),"")</f>
        <v/>
      </c>
      <c r="AF51" s="145"/>
      <c r="AG51" s="170" t="str">
        <f ca="1">IFERROR(__xludf.DUMMYFUNCTION("""COMPUTED_VALUE"""),"WG")</f>
        <v>WG</v>
      </c>
      <c r="AH51" s="162" t="str">
        <f ca="1">IFERROR(__xludf.DUMMYFUNCTION("""COMPUTED_VALUE"""),"Walden Glen")</f>
        <v>Walden Glen</v>
      </c>
    </row>
    <row r="52" spans="1:34" ht="13.2">
      <c r="A52" s="43"/>
      <c r="B52" s="43"/>
      <c r="C52" s="43"/>
      <c r="D52" s="43"/>
      <c r="E52" s="149">
        <f ca="1">IFERROR(__xludf.DUMMYFUNCTION("""COMPUTED_VALUE"""),49)</f>
        <v>49</v>
      </c>
      <c r="F52" s="179"/>
      <c r="G52" s="150"/>
      <c r="H52" s="150"/>
      <c r="I52" s="151"/>
      <c r="J52" s="151"/>
      <c r="K52" s="153"/>
      <c r="L52" s="153"/>
      <c r="M52" s="151"/>
      <c r="N52" s="151"/>
      <c r="O52" s="142"/>
      <c r="P52" s="142"/>
      <c r="Q52" s="157"/>
      <c r="R52" s="157"/>
      <c r="S52" s="157"/>
      <c r="T52" s="145"/>
      <c r="U52" s="174" t="str">
        <f ca="1">IFERROR(__xludf.DUMMYFUNCTION("""COMPUTED_VALUE"""),"Hayfield Farm")</f>
        <v>Hayfield Farm</v>
      </c>
      <c r="V52" s="157" t="str">
        <f ca="1">IFERROR(__xludf.DUMMYFUNCTION("""COMPUTED_VALUE"""),"at")</f>
        <v>at</v>
      </c>
      <c r="W52" s="157" t="str">
        <f ca="1">IFERROR(__xludf.DUMMYFUNCTION("""COMPUTED_VALUE"""),"Truro")</f>
        <v>Truro</v>
      </c>
      <c r="X52" s="175">
        <f ca="1">IFERROR(__xludf.DUMMYFUNCTION("""COMPUTED_VALUE"""),0.75)</f>
        <v>0.75</v>
      </c>
      <c r="Y52" s="157" t="str">
        <f ca="1">IFERROR(__xludf.DUMMYFUNCTION("""COMPUTED_VALUE"""),"MAP")</f>
        <v>MAP</v>
      </c>
      <c r="Z52" s="145"/>
      <c r="AA52" s="158">
        <f ca="1">IFERROR(__xludf.DUMMYFUNCTION("""COMPUTED_VALUE"""),41)</f>
        <v>41</v>
      </c>
      <c r="AB52" s="176">
        <f ca="1">IFERROR(__xludf.DUMMYFUNCTION("""COMPUTED_VALUE"""),45468)</f>
        <v>45468</v>
      </c>
      <c r="AC52" s="177" t="str">
        <f ca="1">IFERROR(__xludf.DUMMYFUNCTION("""COMPUTED_VALUE"""),"20240625-41")</f>
        <v>20240625-41</v>
      </c>
      <c r="AD52" s="177" t="str">
        <f ca="1">IFERROR(__xludf.DUMMYFUNCTION("""COMPUTED_VALUE"""),"THA-Truro Homes Association")</f>
        <v>THA-Truro Homes Association</v>
      </c>
      <c r="AE52" s="177" t="str">
        <f ca="1">IFERROR(__xludf.DUMMYFUNCTION("""COMPUTED_VALUE"""),"HF-Hayfield Farm")</f>
        <v>HF-Hayfield Farm</v>
      </c>
      <c r="AF52" s="145"/>
      <c r="AG52" s="158" t="str">
        <f ca="1">IFERROR(__xludf.DUMMYFUNCTION("""COMPUTED_VALUE"""),"ALL")</f>
        <v>ALL</v>
      </c>
      <c r="AH52" s="157" t="str">
        <f ca="1">IFERROR(__xludf.DUMMYFUNCTION("""COMPUTED_VALUE"""),"ALL")</f>
        <v>ALL</v>
      </c>
    </row>
    <row r="53" spans="1:34" ht="13.2">
      <c r="A53" s="43"/>
      <c r="B53" s="43"/>
      <c r="C53" s="43"/>
      <c r="D53" s="43"/>
      <c r="E53" s="149">
        <f ca="1">IFERROR(__xludf.DUMMYFUNCTION("""COMPUTED_VALUE"""),50)</f>
        <v>50</v>
      </c>
      <c r="F53" s="179"/>
      <c r="G53" s="150"/>
      <c r="H53" s="150"/>
      <c r="I53" s="151"/>
      <c r="J53" s="151"/>
      <c r="K53" s="153"/>
      <c r="L53" s="153"/>
      <c r="M53" s="151"/>
      <c r="N53" s="151"/>
      <c r="O53" s="142"/>
      <c r="P53" s="142"/>
      <c r="Q53" s="162"/>
      <c r="R53" s="162"/>
      <c r="S53" s="162"/>
      <c r="T53" s="145"/>
      <c r="U53" s="168" t="str">
        <f ca="1">IFERROR(__xludf.DUMMYFUNCTION("""COMPUTED_VALUE"""),"Chesterbrook")</f>
        <v>Chesterbrook</v>
      </c>
      <c r="V53" s="162" t="str">
        <f ca="1">IFERROR(__xludf.DUMMYFUNCTION("""COMPUTED_VALUE"""),"at")</f>
        <v>at</v>
      </c>
      <c r="W53" s="162" t="str">
        <f ca="1">IFERROR(__xludf.DUMMYFUNCTION("""COMPUTED_VALUE"""),"Great Falls")</f>
        <v>Great Falls</v>
      </c>
      <c r="X53" s="169">
        <f ca="1">IFERROR(__xludf.DUMMYFUNCTION("""COMPUTED_VALUE"""),0.75)</f>
        <v>0.75</v>
      </c>
      <c r="Y53" s="162" t="str">
        <f ca="1">IFERROR(__xludf.DUMMYFUNCTION("""COMPUTED_VALUE"""),"MAP")</f>
        <v>MAP</v>
      </c>
      <c r="Z53" s="145"/>
      <c r="AA53" s="170">
        <f ca="1">IFERROR(__xludf.DUMMYFUNCTION("""COMPUTED_VALUE"""),42)</f>
        <v>42</v>
      </c>
      <c r="AB53" s="171">
        <f ca="1">IFERROR(__xludf.DUMMYFUNCTION("""COMPUTED_VALUE"""),45468)</f>
        <v>45468</v>
      </c>
      <c r="AC53" s="172" t="str">
        <f ca="1">IFERROR(__xludf.DUMMYFUNCTION("""COMPUTED_VALUE"""),"20240625-42")</f>
        <v>20240625-42</v>
      </c>
      <c r="AD53" s="172" t="str">
        <f ca="1">IFERROR(__xludf.DUMMYFUNCTION("""COMPUTED_VALUE"""),"GF-Great Falls")</f>
        <v>GF-Great Falls</v>
      </c>
      <c r="AE53" s="172" t="str">
        <f ca="1">IFERROR(__xludf.DUMMYFUNCTION("""COMPUTED_VALUE"""),"CB-Chesterbrook")</f>
        <v>CB-Chesterbrook</v>
      </c>
      <c r="AF53" s="145"/>
      <c r="AG53" s="170"/>
      <c r="AH53" s="162"/>
    </row>
    <row r="54" spans="1:34" ht="13.2">
      <c r="A54" s="43"/>
      <c r="B54" s="43"/>
      <c r="C54" s="43"/>
      <c r="D54" s="43"/>
      <c r="E54" s="149">
        <f ca="1">IFERROR(__xludf.DUMMYFUNCTION("""COMPUTED_VALUE"""),51)</f>
        <v>51</v>
      </c>
      <c r="F54" s="179"/>
      <c r="G54" s="150"/>
      <c r="H54" s="150"/>
      <c r="I54" s="151"/>
      <c r="J54" s="151"/>
      <c r="K54" s="153"/>
      <c r="L54" s="153"/>
      <c r="M54" s="151"/>
      <c r="N54" s="151"/>
      <c r="O54" s="142"/>
      <c r="P54" s="142"/>
      <c r="Q54" s="157"/>
      <c r="R54" s="157"/>
      <c r="S54" s="157"/>
      <c r="T54" s="145"/>
      <c r="U54" s="174" t="str">
        <f ca="1">IFERROR(__xludf.DUMMYFUNCTION("""COMPUTED_VALUE"""),"Highland Park")</f>
        <v>Highland Park</v>
      </c>
      <c r="V54" s="157" t="str">
        <f ca="1">IFERROR(__xludf.DUMMYFUNCTION("""COMPUTED_VALUE"""),"at")</f>
        <v>at</v>
      </c>
      <c r="W54" s="157" t="str">
        <f ca="1">IFERROR(__xludf.DUMMYFUNCTION("""COMPUTED_VALUE"""),"Woodley")</f>
        <v>Woodley</v>
      </c>
      <c r="X54" s="175">
        <f ca="1">IFERROR(__xludf.DUMMYFUNCTION("""COMPUTED_VALUE"""),0.75)</f>
        <v>0.75</v>
      </c>
      <c r="Y54" s="157" t="str">
        <f ca="1">IFERROR(__xludf.DUMMYFUNCTION("""COMPUTED_VALUE"""),"MAP")</f>
        <v>MAP</v>
      </c>
      <c r="Z54" s="145"/>
      <c r="AA54" s="158">
        <f ca="1">IFERROR(__xludf.DUMMYFUNCTION("""COMPUTED_VALUE"""),43)</f>
        <v>43</v>
      </c>
      <c r="AB54" s="176">
        <f ca="1">IFERROR(__xludf.DUMMYFUNCTION("""COMPUTED_VALUE"""),45468)</f>
        <v>45468</v>
      </c>
      <c r="AC54" s="177" t="str">
        <f ca="1">IFERROR(__xludf.DUMMYFUNCTION("""COMPUTED_VALUE"""),"20240625-43")</f>
        <v>20240625-43</v>
      </c>
      <c r="AD54" s="177" t="str">
        <f ca="1">IFERROR(__xludf.DUMMYFUNCTION("""COMPUTED_VALUE"""),"W-Woodley")</f>
        <v>W-Woodley</v>
      </c>
      <c r="AE54" s="177" t="str">
        <f ca="1">IFERROR(__xludf.DUMMYFUNCTION("""COMPUTED_VALUE"""),"HP-Highland Park")</f>
        <v>HP-Highland Park</v>
      </c>
      <c r="AF54" s="145"/>
      <c r="AG54" s="158"/>
      <c r="AH54" s="157"/>
    </row>
    <row r="55" spans="1:34" ht="13.2">
      <c r="A55" s="43"/>
      <c r="B55" s="43"/>
      <c r="C55" s="43"/>
      <c r="D55" s="43"/>
      <c r="E55" s="149"/>
      <c r="F55" s="179"/>
      <c r="G55" s="150"/>
      <c r="H55" s="150"/>
      <c r="I55" s="151"/>
      <c r="J55" s="151"/>
      <c r="K55" s="153"/>
      <c r="L55" s="153"/>
      <c r="M55" s="151"/>
      <c r="N55" s="151"/>
      <c r="O55" s="142"/>
      <c r="P55" s="142"/>
      <c r="Q55" s="162"/>
      <c r="R55" s="162"/>
      <c r="S55" s="162"/>
      <c r="T55" s="145"/>
      <c r="U55" s="168" t="str">
        <f ca="1">IFERROR(__xludf.DUMMYFUNCTION("""COMPUTED_VALUE"""),"Division V")</f>
        <v>Division V</v>
      </c>
      <c r="V55" s="162"/>
      <c r="W55" s="162"/>
      <c r="X55" s="169"/>
      <c r="Y55" s="162"/>
      <c r="Z55" s="145"/>
      <c r="AA55" s="170">
        <f ca="1">IFERROR(__xludf.DUMMYFUNCTION("""COMPUTED_VALUE"""),5)</f>
        <v>5</v>
      </c>
      <c r="AB55" s="171">
        <f ca="1">IFERROR(__xludf.DUMMYFUNCTION("""COMPUTED_VALUE"""),45468)</f>
        <v>45468</v>
      </c>
      <c r="AC55" s="172" t="str">
        <f ca="1">IFERROR(__xludf.DUMMYFUNCTION("""COMPUTED_VALUE"""),"")</f>
        <v/>
      </c>
      <c r="AD55" s="172" t="str">
        <f ca="1">IFERROR(__xludf.DUMMYFUNCTION("""COMPUTED_VALUE"""),"")</f>
        <v/>
      </c>
      <c r="AE55" s="172" t="str">
        <f ca="1">IFERROR(__xludf.DUMMYFUNCTION("""COMPUTED_VALUE"""),"")</f>
        <v/>
      </c>
      <c r="AF55" s="145"/>
      <c r="AG55" s="170"/>
      <c r="AH55" s="162"/>
    </row>
    <row r="56" spans="1:34" ht="13.2">
      <c r="A56" s="43"/>
      <c r="B56" s="43"/>
      <c r="C56" s="43"/>
      <c r="D56" s="43"/>
      <c r="E56" s="149"/>
      <c r="F56" s="179"/>
      <c r="G56" s="150"/>
      <c r="H56" s="150"/>
      <c r="I56" s="151"/>
      <c r="J56" s="151"/>
      <c r="K56" s="153"/>
      <c r="L56" s="153"/>
      <c r="M56" s="151"/>
      <c r="N56" s="151"/>
      <c r="O56" s="142"/>
      <c r="P56" s="142"/>
      <c r="Q56" s="157"/>
      <c r="R56" s="157"/>
      <c r="S56" s="157"/>
      <c r="T56" s="145"/>
      <c r="U56" s="174" t="str">
        <f ca="1">IFERROR(__xludf.DUMMYFUNCTION("""COMPUTED_VALUE"""),"Crosspointe")</f>
        <v>Crosspointe</v>
      </c>
      <c r="V56" s="157" t="str">
        <f ca="1">IFERROR(__xludf.DUMMYFUNCTION("""COMPUTED_VALUE"""),"at")</f>
        <v>at</v>
      </c>
      <c r="W56" s="157" t="str">
        <f ca="1">IFERROR(__xludf.DUMMYFUNCTION("""COMPUTED_VALUE"""),"Lakeview")</f>
        <v>Lakeview</v>
      </c>
      <c r="X56" s="175">
        <f ca="1">IFERROR(__xludf.DUMMYFUNCTION("""COMPUTED_VALUE"""),0.75)</f>
        <v>0.75</v>
      </c>
      <c r="Y56" s="157" t="str">
        <f ca="1">IFERROR(__xludf.DUMMYFUNCTION("""COMPUTED_VALUE"""),"MAP")</f>
        <v>MAP</v>
      </c>
      <c r="Z56" s="145"/>
      <c r="AA56" s="158">
        <f ca="1">IFERROR(__xludf.DUMMYFUNCTION("""COMPUTED_VALUE"""),51)</f>
        <v>51</v>
      </c>
      <c r="AB56" s="176">
        <f ca="1">IFERROR(__xludf.DUMMYFUNCTION("""COMPUTED_VALUE"""),45468)</f>
        <v>45468</v>
      </c>
      <c r="AC56" s="177" t="str">
        <f ca="1">IFERROR(__xludf.DUMMYFUNCTION("""COMPUTED_VALUE"""),"20240625-51")</f>
        <v>20240625-51</v>
      </c>
      <c r="AD56" s="177" t="str">
        <f ca="1">IFERROR(__xludf.DUMMYFUNCTION("""COMPUTED_VALUE"""),"LV-Lakeview")</f>
        <v>LV-Lakeview</v>
      </c>
      <c r="AE56" s="177" t="str">
        <f ca="1">IFERROR(__xludf.DUMMYFUNCTION("""COMPUTED_VALUE"""),"CP-Crosspointe")</f>
        <v>CP-Crosspointe</v>
      </c>
      <c r="AF56" s="145"/>
      <c r="AG56" s="158"/>
      <c r="AH56" s="157"/>
    </row>
    <row r="57" spans="1:34" ht="13.2">
      <c r="A57" s="43"/>
      <c r="B57" s="43"/>
      <c r="C57" s="43"/>
      <c r="D57" s="43"/>
      <c r="E57" s="149"/>
      <c r="F57" s="179"/>
      <c r="G57" s="150"/>
      <c r="H57" s="150"/>
      <c r="I57" s="151"/>
      <c r="J57" s="151"/>
      <c r="K57" s="153"/>
      <c r="L57" s="153"/>
      <c r="M57" s="151"/>
      <c r="N57" s="151"/>
      <c r="O57" s="142"/>
      <c r="P57" s="142"/>
      <c r="Q57" s="162"/>
      <c r="R57" s="162"/>
      <c r="S57" s="162"/>
      <c r="T57" s="145"/>
      <c r="U57" s="168" t="str">
        <f ca="1">IFERROR(__xludf.DUMMYFUNCTION("""COMPUTED_VALUE"""),"Camelot")</f>
        <v>Camelot</v>
      </c>
      <c r="V57" s="162" t="str">
        <f ca="1">IFERROR(__xludf.DUMMYFUNCTION("""COMPUTED_VALUE"""),"at")</f>
        <v>at</v>
      </c>
      <c r="W57" s="162" t="str">
        <f ca="1">IFERROR(__xludf.DUMMYFUNCTION("""COMPUTED_VALUE"""),"Cardinal Hill")</f>
        <v>Cardinal Hill</v>
      </c>
      <c r="X57" s="169">
        <f ca="1">IFERROR(__xludf.DUMMYFUNCTION("""COMPUTED_VALUE"""),0.75)</f>
        <v>0.75</v>
      </c>
      <c r="Y57" s="162" t="str">
        <f ca="1">IFERROR(__xludf.DUMMYFUNCTION("""COMPUTED_VALUE"""),"MAP")</f>
        <v>MAP</v>
      </c>
      <c r="Z57" s="145"/>
      <c r="AA57" s="170">
        <f ca="1">IFERROR(__xludf.DUMMYFUNCTION("""COMPUTED_VALUE"""),52)</f>
        <v>52</v>
      </c>
      <c r="AB57" s="171">
        <f ca="1">IFERROR(__xludf.DUMMYFUNCTION("""COMPUTED_VALUE"""),45468)</f>
        <v>45468</v>
      </c>
      <c r="AC57" s="172" t="str">
        <f ca="1">IFERROR(__xludf.DUMMYFUNCTION("""COMPUTED_VALUE"""),"20240625-52")</f>
        <v>20240625-52</v>
      </c>
      <c r="AD57" s="172" t="str">
        <f ca="1">IFERROR(__xludf.DUMMYFUNCTION("""COMPUTED_VALUE"""),"CH-Cardinal Hill")</f>
        <v>CH-Cardinal Hill</v>
      </c>
      <c r="AE57" s="172" t="str">
        <f ca="1">IFERROR(__xludf.DUMMYFUNCTION("""COMPUTED_VALUE"""),"CCC-Camelot Community Club")</f>
        <v>CCC-Camelot Community Club</v>
      </c>
      <c r="AF57" s="145"/>
      <c r="AG57" s="170"/>
      <c r="AH57" s="162"/>
    </row>
    <row r="58" spans="1:34" ht="13.2">
      <c r="A58" s="43"/>
      <c r="B58" s="43"/>
      <c r="C58" s="43"/>
      <c r="D58" s="43"/>
      <c r="E58" s="149"/>
      <c r="F58" s="179"/>
      <c r="G58" s="150"/>
      <c r="H58" s="150"/>
      <c r="I58" s="151"/>
      <c r="J58" s="151"/>
      <c r="K58" s="153"/>
      <c r="L58" s="153"/>
      <c r="M58" s="151"/>
      <c r="N58" s="151"/>
      <c r="O58" s="142"/>
      <c r="P58" s="142"/>
      <c r="Q58" s="157"/>
      <c r="R58" s="157"/>
      <c r="S58" s="157"/>
      <c r="T58" s="145"/>
      <c r="U58" s="174" t="str">
        <f ca="1">IFERROR(__xludf.DUMMYFUNCTION("""COMPUTED_VALUE"""),"Sideburn Run")</f>
        <v>Sideburn Run</v>
      </c>
      <c r="V58" s="157" t="str">
        <f ca="1">IFERROR(__xludf.DUMMYFUNCTION("""COMPUTED_VALUE"""),"at")</f>
        <v>at</v>
      </c>
      <c r="W58" s="157" t="str">
        <f ca="1">IFERROR(__xludf.DUMMYFUNCTION("""COMPUTED_VALUE"""),"Ravensworth Farm")</f>
        <v>Ravensworth Farm</v>
      </c>
      <c r="X58" s="175">
        <f ca="1">IFERROR(__xludf.DUMMYFUNCTION("""COMPUTED_VALUE"""),0.75)</f>
        <v>0.75</v>
      </c>
      <c r="Y58" s="157" t="str">
        <f ca="1">IFERROR(__xludf.DUMMYFUNCTION("""COMPUTED_VALUE"""),"MAP")</f>
        <v>MAP</v>
      </c>
      <c r="Z58" s="145"/>
      <c r="AA58" s="158">
        <f ca="1">IFERROR(__xludf.DUMMYFUNCTION("""COMPUTED_VALUE"""),53)</f>
        <v>53</v>
      </c>
      <c r="AB58" s="176">
        <f ca="1">IFERROR(__xludf.DUMMYFUNCTION("""COMPUTED_VALUE"""),45468)</f>
        <v>45468</v>
      </c>
      <c r="AC58" s="177" t="str">
        <f ca="1">IFERROR(__xludf.DUMMYFUNCTION("""COMPUTED_VALUE"""),"20240625-53")</f>
        <v>20240625-53</v>
      </c>
      <c r="AD58" s="177" t="str">
        <f ca="1">IFERROR(__xludf.DUMMYFUNCTION("""COMPUTED_VALUE"""),"R-Ravensworth Farm")</f>
        <v>R-Ravensworth Farm</v>
      </c>
      <c r="AE58" s="177" t="str">
        <f ca="1">IFERROR(__xludf.DUMMYFUNCTION("""COMPUTED_VALUE"""),"SR-Sideburn Run")</f>
        <v>SR-Sideburn Run</v>
      </c>
      <c r="AF58" s="145"/>
      <c r="AG58" s="158"/>
      <c r="AH58" s="157"/>
    </row>
    <row r="59" spans="1:34" ht="13.2">
      <c r="A59" s="43"/>
      <c r="B59" s="43"/>
      <c r="C59" s="43"/>
      <c r="D59" s="43"/>
      <c r="E59" s="179"/>
      <c r="F59" s="179"/>
      <c r="G59" s="150"/>
      <c r="H59" s="150"/>
      <c r="I59" s="151"/>
      <c r="J59" s="151"/>
      <c r="K59" s="153"/>
      <c r="L59" s="153"/>
      <c r="M59" s="151"/>
      <c r="N59" s="151"/>
      <c r="O59" s="142"/>
      <c r="P59" s="142"/>
      <c r="Q59" s="162"/>
      <c r="R59" s="162"/>
      <c r="S59" s="162"/>
      <c r="T59" s="145"/>
      <c r="U59" s="168" t="str">
        <f ca="1">IFERROR(__xludf.DUMMYFUNCTION("""COMPUTED_VALUE"""),"Division VI")</f>
        <v>Division VI</v>
      </c>
      <c r="V59" s="162"/>
      <c r="W59" s="162"/>
      <c r="X59" s="169"/>
      <c r="Y59" s="162"/>
      <c r="Z59" s="145"/>
      <c r="AA59" s="170">
        <f ca="1">IFERROR(__xludf.DUMMYFUNCTION("""COMPUTED_VALUE"""),6)</f>
        <v>6</v>
      </c>
      <c r="AB59" s="171">
        <f ca="1">IFERROR(__xludf.DUMMYFUNCTION("""COMPUTED_VALUE"""),45468)</f>
        <v>45468</v>
      </c>
      <c r="AC59" s="172" t="str">
        <f ca="1">IFERROR(__xludf.DUMMYFUNCTION("""COMPUTED_VALUE"""),"")</f>
        <v/>
      </c>
      <c r="AD59" s="172" t="str">
        <f ca="1">IFERROR(__xludf.DUMMYFUNCTION("""COMPUTED_VALUE"""),"")</f>
        <v/>
      </c>
      <c r="AE59" s="172" t="str">
        <f ca="1">IFERROR(__xludf.DUMMYFUNCTION("""COMPUTED_VALUE"""),"")</f>
        <v/>
      </c>
      <c r="AF59" s="145"/>
      <c r="AG59" s="170"/>
      <c r="AH59" s="162"/>
    </row>
    <row r="60" spans="1:34" ht="13.2">
      <c r="A60" s="43"/>
      <c r="B60" s="43"/>
      <c r="C60" s="43"/>
      <c r="D60" s="43"/>
      <c r="E60" s="179"/>
      <c r="F60" s="179"/>
      <c r="G60" s="150"/>
      <c r="H60" s="150"/>
      <c r="I60" s="151"/>
      <c r="J60" s="151"/>
      <c r="K60" s="153"/>
      <c r="L60" s="153"/>
      <c r="M60" s="151"/>
      <c r="N60" s="151"/>
      <c r="O60" s="142"/>
      <c r="P60" s="142"/>
      <c r="Q60" s="157"/>
      <c r="R60" s="157"/>
      <c r="S60" s="157"/>
      <c r="T60" s="145"/>
      <c r="U60" s="174" t="str">
        <f ca="1">IFERROR(__xludf.DUMMYFUNCTION("""COMPUTED_VALUE"""),"Mansion House")</f>
        <v>Mansion House</v>
      </c>
      <c r="V60" s="157" t="str">
        <f ca="1">IFERROR(__xludf.DUMMYFUNCTION("""COMPUTED_VALUE"""),"at")</f>
        <v>at</v>
      </c>
      <c r="W60" s="157" t="str">
        <f ca="1">IFERROR(__xludf.DUMMYFUNCTION("""COMPUTED_VALUE"""),"Parklawn")</f>
        <v>Parklawn</v>
      </c>
      <c r="X60" s="175">
        <f ca="1">IFERROR(__xludf.DUMMYFUNCTION("""COMPUTED_VALUE"""),0.75)</f>
        <v>0.75</v>
      </c>
      <c r="Y60" s="157" t="str">
        <f ca="1">IFERROR(__xludf.DUMMYFUNCTION("""COMPUTED_VALUE"""),"MAP")</f>
        <v>MAP</v>
      </c>
      <c r="Z60" s="145"/>
      <c r="AA60" s="158">
        <f ca="1">IFERROR(__xludf.DUMMYFUNCTION("""COMPUTED_VALUE"""),61)</f>
        <v>61</v>
      </c>
      <c r="AB60" s="176">
        <f ca="1">IFERROR(__xludf.DUMMYFUNCTION("""COMPUTED_VALUE"""),45468)</f>
        <v>45468</v>
      </c>
      <c r="AC60" s="177" t="str">
        <f ca="1">IFERROR(__xludf.DUMMYFUNCTION("""COMPUTED_VALUE"""),"20240625-61")</f>
        <v>20240625-61</v>
      </c>
      <c r="AD60" s="177" t="str">
        <f ca="1">IFERROR(__xludf.DUMMYFUNCTION("""COMPUTED_VALUE"""),"PL-Parklawn")</f>
        <v>PL-Parklawn</v>
      </c>
      <c r="AE60" s="177" t="str">
        <f ca="1">IFERROR(__xludf.DUMMYFUNCTION("""COMPUTED_VALUE"""),"MHC-Mansion House")</f>
        <v>MHC-Mansion House</v>
      </c>
      <c r="AF60" s="145"/>
      <c r="AG60" s="158"/>
      <c r="AH60" s="157"/>
    </row>
    <row r="61" spans="1:34" ht="13.2">
      <c r="A61" s="43"/>
      <c r="B61" s="43"/>
      <c r="C61" s="43"/>
      <c r="D61" s="43"/>
      <c r="E61" s="179"/>
      <c r="F61" s="179"/>
      <c r="G61" s="150"/>
      <c r="H61" s="150"/>
      <c r="I61" s="151"/>
      <c r="J61" s="151"/>
      <c r="K61" s="153"/>
      <c r="L61" s="153"/>
      <c r="M61" s="151"/>
      <c r="N61" s="151"/>
      <c r="O61" s="142"/>
      <c r="P61" s="142"/>
      <c r="Q61" s="162"/>
      <c r="R61" s="162"/>
      <c r="S61" s="162"/>
      <c r="T61" s="145"/>
      <c r="U61" s="168" t="str">
        <f ca="1">IFERROR(__xludf.DUMMYFUNCTION("""COMPUTED_VALUE"""),"Sleepy Hollow B &amp; R")</f>
        <v>Sleepy Hollow B &amp; R</v>
      </c>
      <c r="V61" s="162" t="str">
        <f ca="1">IFERROR(__xludf.DUMMYFUNCTION("""COMPUTED_VALUE"""),"at")</f>
        <v>at</v>
      </c>
      <c r="W61" s="162" t="str">
        <f ca="1">IFERROR(__xludf.DUMMYFUNCTION("""COMPUTED_VALUE"""),"Tuckahoe")</f>
        <v>Tuckahoe</v>
      </c>
      <c r="X61" s="169">
        <f ca="1">IFERROR(__xludf.DUMMYFUNCTION("""COMPUTED_VALUE"""),0.75)</f>
        <v>0.75</v>
      </c>
      <c r="Y61" s="162" t="str">
        <f ca="1">IFERROR(__xludf.DUMMYFUNCTION("""COMPUTED_VALUE"""),"MAP")</f>
        <v>MAP</v>
      </c>
      <c r="Z61" s="145"/>
      <c r="AA61" s="170">
        <f ca="1">IFERROR(__xludf.DUMMYFUNCTION("""COMPUTED_VALUE"""),62)</f>
        <v>62</v>
      </c>
      <c r="AB61" s="171">
        <f ca="1">IFERROR(__xludf.DUMMYFUNCTION("""COMPUTED_VALUE"""),45468)</f>
        <v>45468</v>
      </c>
      <c r="AC61" s="172" t="str">
        <f ca="1">IFERROR(__xludf.DUMMYFUNCTION("""COMPUTED_VALUE"""),"20240625-62")</f>
        <v>20240625-62</v>
      </c>
      <c r="AD61" s="172" t="str">
        <f ca="1">IFERROR(__xludf.DUMMYFUNCTION("""COMPUTED_VALUE"""),"T-Tuckahoe")</f>
        <v>T-Tuckahoe</v>
      </c>
      <c r="AE61" s="172" t="str">
        <f ca="1">IFERROR(__xludf.DUMMYFUNCTION("""COMPUTED_VALUE"""),"SHB-Sleepy Hollow Bath")</f>
        <v>SHB-Sleepy Hollow Bath</v>
      </c>
      <c r="AF61" s="145"/>
      <c r="AG61" s="170"/>
      <c r="AH61" s="162"/>
    </row>
    <row r="62" spans="1:34" ht="13.2">
      <c r="A62" s="43"/>
      <c r="B62" s="43"/>
      <c r="C62" s="43"/>
      <c r="D62" s="43"/>
      <c r="E62" s="179"/>
      <c r="F62" s="179"/>
      <c r="G62" s="150"/>
      <c r="H62" s="150"/>
      <c r="I62" s="151"/>
      <c r="J62" s="151"/>
      <c r="K62" s="153"/>
      <c r="L62" s="153"/>
      <c r="M62" s="151"/>
      <c r="N62" s="151"/>
      <c r="O62" s="142"/>
      <c r="P62" s="142"/>
      <c r="Q62" s="157"/>
      <c r="R62" s="157"/>
      <c r="S62" s="157"/>
      <c r="T62" s="145"/>
      <c r="U62" s="174" t="str">
        <f ca="1">IFERROR(__xludf.DUMMYFUNCTION("""COMPUTED_VALUE"""),"Mantua")</f>
        <v>Mantua</v>
      </c>
      <c r="V62" s="157" t="str">
        <f ca="1">IFERROR(__xludf.DUMMYFUNCTION("""COMPUTED_VALUE"""),"at")</f>
        <v>at</v>
      </c>
      <c r="W62" s="157" t="str">
        <f ca="1">IFERROR(__xludf.DUMMYFUNCTION("""COMPUTED_VALUE"""),"Wakefield Chapel")</f>
        <v>Wakefield Chapel</v>
      </c>
      <c r="X62" s="175">
        <f ca="1">IFERROR(__xludf.DUMMYFUNCTION("""COMPUTED_VALUE"""),0.75)</f>
        <v>0.75</v>
      </c>
      <c r="Y62" s="157" t="str">
        <f ca="1">IFERROR(__xludf.DUMMYFUNCTION("""COMPUTED_VALUE"""),"MAP")</f>
        <v>MAP</v>
      </c>
      <c r="Z62" s="145"/>
      <c r="AA62" s="158">
        <f ca="1">IFERROR(__xludf.DUMMYFUNCTION("""COMPUTED_VALUE"""),63)</f>
        <v>63</v>
      </c>
      <c r="AB62" s="176">
        <f ca="1">IFERROR(__xludf.DUMMYFUNCTION("""COMPUTED_VALUE"""),45468)</f>
        <v>45468</v>
      </c>
      <c r="AC62" s="177" t="str">
        <f ca="1">IFERROR(__xludf.DUMMYFUNCTION("""COMPUTED_VALUE"""),"20240625-63")</f>
        <v>20240625-63</v>
      </c>
      <c r="AD62" s="177" t="str">
        <f ca="1">IFERROR(__xludf.DUMMYFUNCTION("""COMPUTED_VALUE"""),"WC-Wakefield Chapel")</f>
        <v>WC-Wakefield Chapel</v>
      </c>
      <c r="AE62" s="177" t="str">
        <f ca="1">IFERROR(__xludf.DUMMYFUNCTION("""COMPUTED_VALUE"""),"M-Mantua")</f>
        <v>M-Mantua</v>
      </c>
      <c r="AF62" s="145"/>
      <c r="AG62" s="158"/>
      <c r="AH62" s="157"/>
    </row>
    <row r="63" spans="1:34" ht="13.2">
      <c r="A63" s="43"/>
      <c r="B63" s="43"/>
      <c r="C63" s="43"/>
      <c r="D63" s="43"/>
      <c r="E63" s="179"/>
      <c r="F63" s="179"/>
      <c r="G63" s="150"/>
      <c r="H63" s="150"/>
      <c r="I63" s="151"/>
      <c r="J63" s="151"/>
      <c r="K63" s="153"/>
      <c r="L63" s="153"/>
      <c r="M63" s="151"/>
      <c r="N63" s="151"/>
      <c r="O63" s="142"/>
      <c r="P63" s="142"/>
      <c r="Q63" s="162"/>
      <c r="R63" s="162"/>
      <c r="S63" s="162"/>
      <c r="T63" s="145"/>
      <c r="U63" s="168" t="str">
        <f ca="1">IFERROR(__xludf.DUMMYFUNCTION("""COMPUTED_VALUE"""),"Division VII")</f>
        <v>Division VII</v>
      </c>
      <c r="V63" s="162"/>
      <c r="W63" s="162"/>
      <c r="X63" s="162"/>
      <c r="Y63" s="162"/>
      <c r="Z63" s="145"/>
      <c r="AA63" s="170">
        <f ca="1">IFERROR(__xludf.DUMMYFUNCTION("""COMPUTED_VALUE"""),7)</f>
        <v>7</v>
      </c>
      <c r="AB63" s="171">
        <f ca="1">IFERROR(__xludf.DUMMYFUNCTION("""COMPUTED_VALUE"""),45468)</f>
        <v>45468</v>
      </c>
      <c r="AC63" s="172" t="str">
        <f ca="1">IFERROR(__xludf.DUMMYFUNCTION("""COMPUTED_VALUE"""),"")</f>
        <v/>
      </c>
      <c r="AD63" s="162" t="str">
        <f ca="1">IFERROR(__xludf.DUMMYFUNCTION("""COMPUTED_VALUE"""),"")</f>
        <v/>
      </c>
      <c r="AE63" s="162" t="str">
        <f ca="1">IFERROR(__xludf.DUMMYFUNCTION("""COMPUTED_VALUE"""),"")</f>
        <v/>
      </c>
      <c r="AF63" s="145"/>
      <c r="AG63" s="170"/>
      <c r="AH63" s="162"/>
    </row>
    <row r="64" spans="1:34" ht="13.2">
      <c r="A64" s="43"/>
      <c r="B64" s="43"/>
      <c r="C64" s="43"/>
      <c r="D64" s="43"/>
      <c r="E64" s="179"/>
      <c r="F64" s="179"/>
      <c r="G64" s="150"/>
      <c r="H64" s="150"/>
      <c r="I64" s="151"/>
      <c r="J64" s="151"/>
      <c r="K64" s="153"/>
      <c r="L64" s="153"/>
      <c r="M64" s="151"/>
      <c r="N64" s="151"/>
      <c r="O64" s="142"/>
      <c r="P64" s="142"/>
      <c r="Q64" s="157"/>
      <c r="R64" s="157"/>
      <c r="S64" s="157"/>
      <c r="T64" s="145"/>
      <c r="U64" s="174" t="str">
        <f ca="1">IFERROR(__xludf.DUMMYFUNCTION("""COMPUTED_VALUE"""),"Rutherford")</f>
        <v>Rutherford</v>
      </c>
      <c r="V64" s="157" t="str">
        <f ca="1">IFERROR(__xludf.DUMMYFUNCTION("""COMPUTED_VALUE"""),"at")</f>
        <v>at</v>
      </c>
      <c r="W64" s="157" t="str">
        <f ca="1">IFERROR(__xludf.DUMMYFUNCTION("""COMPUTED_VALUE"""),"Springfield")</f>
        <v>Springfield</v>
      </c>
      <c r="X64" s="175">
        <f ca="1">IFERROR(__xludf.DUMMYFUNCTION("""COMPUTED_VALUE"""),0.75)</f>
        <v>0.75</v>
      </c>
      <c r="Y64" s="157" t="str">
        <f ca="1">IFERROR(__xludf.DUMMYFUNCTION("""COMPUTED_VALUE"""),"MAP")</f>
        <v>MAP</v>
      </c>
      <c r="Z64" s="145"/>
      <c r="AA64" s="158">
        <f ca="1">IFERROR(__xludf.DUMMYFUNCTION("""COMPUTED_VALUE"""),71)</f>
        <v>71</v>
      </c>
      <c r="AB64" s="176">
        <f ca="1">IFERROR(__xludf.DUMMYFUNCTION("""COMPUTED_VALUE"""),45468)</f>
        <v>45468</v>
      </c>
      <c r="AC64" s="177" t="str">
        <f ca="1">IFERROR(__xludf.DUMMYFUNCTION("""COMPUTED_VALUE"""),"20240625-71")</f>
        <v>20240625-71</v>
      </c>
      <c r="AD64" s="157" t="str">
        <f ca="1">IFERROR(__xludf.DUMMYFUNCTION("""COMPUTED_VALUE"""),"S-Springfield")</f>
        <v>S-Springfield</v>
      </c>
      <c r="AE64" s="157" t="str">
        <f ca="1">IFERROR(__xludf.DUMMYFUNCTION("""COMPUTED_VALUE"""),"RFD-Rutherford")</f>
        <v>RFD-Rutherford</v>
      </c>
      <c r="AF64" s="145"/>
      <c r="AG64" s="158"/>
      <c r="AH64" s="157"/>
    </row>
    <row r="65" spans="1:34" ht="13.2">
      <c r="A65" s="43"/>
      <c r="B65" s="43"/>
      <c r="C65" s="43"/>
      <c r="D65" s="43"/>
      <c r="E65" s="179"/>
      <c r="F65" s="179"/>
      <c r="G65" s="150"/>
      <c r="H65" s="150"/>
      <c r="I65" s="151"/>
      <c r="J65" s="151"/>
      <c r="K65" s="153"/>
      <c r="L65" s="153"/>
      <c r="M65" s="151"/>
      <c r="N65" s="151"/>
      <c r="O65" s="142"/>
      <c r="P65" s="142"/>
      <c r="Q65" s="162"/>
      <c r="R65" s="162"/>
      <c r="S65" s="162"/>
      <c r="T65" s="145"/>
      <c r="U65" s="168" t="str">
        <f ca="1">IFERROR(__xludf.DUMMYFUNCTION("""COMPUTED_VALUE"""),"Arlington Forest")</f>
        <v>Arlington Forest</v>
      </c>
      <c r="V65" s="162" t="str">
        <f ca="1">IFERROR(__xludf.DUMMYFUNCTION("""COMPUTED_VALUE"""),"at")</f>
        <v>at</v>
      </c>
      <c r="W65" s="162" t="str">
        <f ca="1">IFERROR(__xludf.DUMMYFUNCTION("""COMPUTED_VALUE"""),"North Springfield")</f>
        <v>North Springfield</v>
      </c>
      <c r="X65" s="169">
        <f ca="1">IFERROR(__xludf.DUMMYFUNCTION("""COMPUTED_VALUE"""),0.75)</f>
        <v>0.75</v>
      </c>
      <c r="Y65" s="162" t="str">
        <f ca="1">IFERROR(__xludf.DUMMYFUNCTION("""COMPUTED_VALUE"""),"MAP")</f>
        <v>MAP</v>
      </c>
      <c r="Z65" s="145"/>
      <c r="AA65" s="170">
        <f ca="1">IFERROR(__xludf.DUMMYFUNCTION("""COMPUTED_VALUE"""),72)</f>
        <v>72</v>
      </c>
      <c r="AB65" s="171">
        <f ca="1">IFERROR(__xludf.DUMMYFUNCTION("""COMPUTED_VALUE"""),45468)</f>
        <v>45468</v>
      </c>
      <c r="AC65" s="172" t="str">
        <f ca="1">IFERROR(__xludf.DUMMYFUNCTION("""COMPUTED_VALUE"""),"20240625-72")</f>
        <v>20240625-72</v>
      </c>
      <c r="AD65" s="162" t="str">
        <f ca="1">IFERROR(__xludf.DUMMYFUNCTION("""COMPUTED_VALUE"""),"NS-North Springfield")</f>
        <v>NS-North Springfield</v>
      </c>
      <c r="AE65" s="162" t="str">
        <f ca="1">IFERROR(__xludf.DUMMYFUNCTION("""COMPUTED_VALUE"""),"AF-Arlington Forest")</f>
        <v>AF-Arlington Forest</v>
      </c>
      <c r="AF65" s="145"/>
      <c r="AG65" s="170"/>
      <c r="AH65" s="162"/>
    </row>
    <row r="66" spans="1:34" ht="13.2">
      <c r="A66" s="43"/>
      <c r="B66" s="43"/>
      <c r="C66" s="43"/>
      <c r="D66" s="43"/>
      <c r="E66" s="179"/>
      <c r="F66" s="179"/>
      <c r="G66" s="150"/>
      <c r="H66" s="150"/>
      <c r="I66" s="151"/>
      <c r="J66" s="151"/>
      <c r="K66" s="153"/>
      <c r="L66" s="153"/>
      <c r="M66" s="151"/>
      <c r="N66" s="151"/>
      <c r="O66" s="142"/>
      <c r="P66" s="142"/>
      <c r="Q66" s="157"/>
      <c r="R66" s="157"/>
      <c r="S66" s="157"/>
      <c r="T66" s="145"/>
      <c r="U66" s="174" t="str">
        <f ca="1">IFERROR(__xludf.DUMMYFUNCTION("""COMPUTED_VALUE"""),"Commonwealth")</f>
        <v>Commonwealth</v>
      </c>
      <c r="V66" s="157" t="str">
        <f ca="1">IFERROR(__xludf.DUMMYFUNCTION("""COMPUTED_VALUE"""),"at")</f>
        <v>at</v>
      </c>
      <c r="W66" s="157" t="str">
        <f ca="1">IFERROR(__xludf.DUMMYFUNCTION("""COMPUTED_VALUE"""),"Annandale")</f>
        <v>Annandale</v>
      </c>
      <c r="X66" s="175">
        <f ca="1">IFERROR(__xludf.DUMMYFUNCTION("""COMPUTED_VALUE"""),0.75)</f>
        <v>0.75</v>
      </c>
      <c r="Y66" s="157" t="str">
        <f ca="1">IFERROR(__xludf.DUMMYFUNCTION("""COMPUTED_VALUE"""),"MAP")</f>
        <v>MAP</v>
      </c>
      <c r="Z66" s="145"/>
      <c r="AA66" s="158">
        <f ca="1">IFERROR(__xludf.DUMMYFUNCTION("""COMPUTED_VALUE"""),73)</f>
        <v>73</v>
      </c>
      <c r="AB66" s="176">
        <f ca="1">IFERROR(__xludf.DUMMYFUNCTION("""COMPUTED_VALUE"""),45468)</f>
        <v>45468</v>
      </c>
      <c r="AC66" s="177" t="str">
        <f ca="1">IFERROR(__xludf.DUMMYFUNCTION("""COMPUTED_VALUE"""),"20240625-73")</f>
        <v>20240625-73</v>
      </c>
      <c r="AD66" s="157" t="str">
        <f ca="1">IFERROR(__xludf.DUMMYFUNCTION("""COMPUTED_VALUE"""),"A-Annandale")</f>
        <v>A-Annandale</v>
      </c>
      <c r="AE66" s="157" t="str">
        <f ca="1">IFERROR(__xludf.DUMMYFUNCTION("""COMPUTED_VALUE"""),"CSC-Commonwealth Swim Club")</f>
        <v>CSC-Commonwealth Swim Club</v>
      </c>
      <c r="AF66" s="145"/>
      <c r="AG66" s="158"/>
      <c r="AH66" s="157"/>
    </row>
    <row r="67" spans="1:34" ht="13.2">
      <c r="A67" s="43"/>
      <c r="B67" s="43"/>
      <c r="C67" s="43"/>
      <c r="D67" s="43"/>
      <c r="E67" s="179"/>
      <c r="F67" s="179"/>
      <c r="G67" s="150"/>
      <c r="H67" s="150"/>
      <c r="I67" s="151"/>
      <c r="J67" s="151"/>
      <c r="K67" s="153"/>
      <c r="L67" s="153"/>
      <c r="M67" s="151"/>
      <c r="N67" s="151"/>
      <c r="O67" s="142"/>
      <c r="P67" s="142"/>
      <c r="Q67" s="162"/>
      <c r="R67" s="162"/>
      <c r="S67" s="162"/>
      <c r="T67" s="145"/>
      <c r="U67" s="168" t="str">
        <f ca="1">IFERROR(__xludf.DUMMYFUNCTION("""COMPUTED_VALUE"""),"Division VIII")</f>
        <v>Division VIII</v>
      </c>
      <c r="V67" s="162"/>
      <c r="W67" s="162"/>
      <c r="X67" s="162"/>
      <c r="Y67" s="162"/>
      <c r="Z67" s="145"/>
      <c r="AA67" s="170">
        <f ca="1">IFERROR(__xludf.DUMMYFUNCTION("""COMPUTED_VALUE"""),8)</f>
        <v>8</v>
      </c>
      <c r="AB67" s="171">
        <f ca="1">IFERROR(__xludf.DUMMYFUNCTION("""COMPUTED_VALUE"""),45468)</f>
        <v>45468</v>
      </c>
      <c r="AC67" s="172" t="str">
        <f ca="1">IFERROR(__xludf.DUMMYFUNCTION("""COMPUTED_VALUE"""),"")</f>
        <v/>
      </c>
      <c r="AD67" s="162" t="str">
        <f ca="1">IFERROR(__xludf.DUMMYFUNCTION("""COMPUTED_VALUE"""),"")</f>
        <v/>
      </c>
      <c r="AE67" s="162" t="str">
        <f ca="1">IFERROR(__xludf.DUMMYFUNCTION("""COMPUTED_VALUE"""),"")</f>
        <v/>
      </c>
      <c r="AF67" s="145"/>
      <c r="AG67" s="170"/>
      <c r="AH67" s="162"/>
    </row>
    <row r="68" spans="1:34" ht="13.2">
      <c r="A68" s="43"/>
      <c r="B68" s="43"/>
      <c r="C68" s="43"/>
      <c r="D68" s="43"/>
      <c r="E68" s="179"/>
      <c r="F68" s="179"/>
      <c r="G68" s="150"/>
      <c r="H68" s="150"/>
      <c r="I68" s="151"/>
      <c r="J68" s="151"/>
      <c r="K68" s="153"/>
      <c r="L68" s="153"/>
      <c r="M68" s="151"/>
      <c r="N68" s="151"/>
      <c r="O68" s="142"/>
      <c r="P68" s="142"/>
      <c r="Q68" s="157"/>
      <c r="R68" s="157"/>
      <c r="S68" s="157"/>
      <c r="T68" s="145"/>
      <c r="U68" s="174" t="str">
        <f ca="1">IFERROR(__xludf.DUMMYFUNCTION("""COMPUTED_VALUE"""),"Orange Hunt")</f>
        <v>Orange Hunt</v>
      </c>
      <c r="V68" s="157" t="str">
        <f ca="1">IFERROR(__xludf.DUMMYFUNCTION("""COMPUTED_VALUE"""),"at")</f>
        <v>at</v>
      </c>
      <c r="W68" s="157" t="str">
        <f ca="1">IFERROR(__xludf.DUMMYFUNCTION("""COMPUTED_VALUE"""),"Ilda Community")</f>
        <v>Ilda Community</v>
      </c>
      <c r="X68" s="175">
        <f ca="1">IFERROR(__xludf.DUMMYFUNCTION("""COMPUTED_VALUE"""),0.75)</f>
        <v>0.75</v>
      </c>
      <c r="Y68" s="157" t="str">
        <f ca="1">IFERROR(__xludf.DUMMYFUNCTION("""COMPUTED_VALUE"""),"MAP")</f>
        <v>MAP</v>
      </c>
      <c r="Z68" s="145"/>
      <c r="AA68" s="158">
        <f ca="1">IFERROR(__xludf.DUMMYFUNCTION("""COMPUTED_VALUE"""),81)</f>
        <v>81</v>
      </c>
      <c r="AB68" s="176">
        <f ca="1">IFERROR(__xludf.DUMMYFUNCTION("""COMPUTED_VALUE"""),45468)</f>
        <v>45468</v>
      </c>
      <c r="AC68" s="177" t="str">
        <f ca="1">IFERROR(__xludf.DUMMYFUNCTION("""COMPUTED_VALUE"""),"20240625-81")</f>
        <v>20240625-81</v>
      </c>
      <c r="AD68" s="157" t="str">
        <f ca="1">IFERROR(__xludf.DUMMYFUNCTION("""COMPUTED_VALUE"""),"IC-Ilda Community")</f>
        <v>IC-Ilda Community</v>
      </c>
      <c r="AE68" s="157" t="str">
        <f ca="1">IFERROR(__xludf.DUMMYFUNCTION("""COMPUTED_VALUE"""),"OH-Orange Hunt")</f>
        <v>OH-Orange Hunt</v>
      </c>
      <c r="AF68" s="145"/>
      <c r="AG68" s="158"/>
      <c r="AH68" s="157"/>
    </row>
    <row r="69" spans="1:34" ht="13.2">
      <c r="A69" s="43"/>
      <c r="B69" s="43"/>
      <c r="C69" s="43"/>
      <c r="D69" s="43"/>
      <c r="E69" s="179"/>
      <c r="F69" s="179"/>
      <c r="G69" s="150"/>
      <c r="H69" s="150"/>
      <c r="I69" s="151"/>
      <c r="J69" s="151"/>
      <c r="K69" s="153"/>
      <c r="L69" s="153"/>
      <c r="M69" s="151"/>
      <c r="N69" s="151"/>
      <c r="O69" s="142"/>
      <c r="P69" s="142"/>
      <c r="Q69" s="162"/>
      <c r="R69" s="162"/>
      <c r="S69" s="162"/>
      <c r="T69" s="145"/>
      <c r="U69" s="168" t="str">
        <f ca="1">IFERROR(__xludf.DUMMYFUNCTION("""COMPUTED_VALUE"""),"Springboard")</f>
        <v>Springboard</v>
      </c>
      <c r="V69" s="162" t="str">
        <f ca="1">IFERROR(__xludf.DUMMYFUNCTION("""COMPUTED_VALUE"""),"at")</f>
        <v>at</v>
      </c>
      <c r="W69" s="162" t="str">
        <f ca="1">IFERROR(__xludf.DUMMYFUNCTION("""COMPUTED_VALUE"""),"Stratford")</f>
        <v>Stratford</v>
      </c>
      <c r="X69" s="169">
        <f ca="1">IFERROR(__xludf.DUMMYFUNCTION("""COMPUTED_VALUE"""),0.75)</f>
        <v>0.75</v>
      </c>
      <c r="Y69" s="162" t="str">
        <f ca="1">IFERROR(__xludf.DUMMYFUNCTION("""COMPUTED_VALUE"""),"MAP")</f>
        <v>MAP</v>
      </c>
      <c r="Z69" s="145"/>
      <c r="AA69" s="170">
        <f ca="1">IFERROR(__xludf.DUMMYFUNCTION("""COMPUTED_VALUE"""),82)</f>
        <v>82</v>
      </c>
      <c r="AB69" s="171">
        <f ca="1">IFERROR(__xludf.DUMMYFUNCTION("""COMPUTED_VALUE"""),45468)</f>
        <v>45468</v>
      </c>
      <c r="AC69" s="172" t="str">
        <f ca="1">IFERROR(__xludf.DUMMYFUNCTION("""COMPUTED_VALUE"""),"20240625-82")</f>
        <v>20240625-82</v>
      </c>
      <c r="AD69" s="162" t="str">
        <f ca="1">IFERROR(__xludf.DUMMYFUNCTION("""COMPUTED_VALUE"""),"SRA-Stratford Rec Association")</f>
        <v>SRA-Stratford Rec Association</v>
      </c>
      <c r="AE69" s="162" t="str">
        <f ca="1">IFERROR(__xludf.DUMMYFUNCTION("""COMPUTED_VALUE"""),"SB-Springboard Recreation Club")</f>
        <v>SB-Springboard Recreation Club</v>
      </c>
      <c r="AF69" s="145"/>
      <c r="AG69" s="170"/>
      <c r="AH69" s="162"/>
    </row>
    <row r="70" spans="1:34" ht="13.2">
      <c r="A70" s="43"/>
      <c r="B70" s="43"/>
      <c r="C70" s="43"/>
      <c r="D70" s="43"/>
      <c r="E70" s="179"/>
      <c r="F70" s="179"/>
      <c r="G70" s="150"/>
      <c r="H70" s="150"/>
      <c r="I70" s="151"/>
      <c r="J70" s="151"/>
      <c r="K70" s="153"/>
      <c r="L70" s="153"/>
      <c r="M70" s="151"/>
      <c r="N70" s="151"/>
      <c r="O70" s="142"/>
      <c r="P70" s="142"/>
      <c r="Q70" s="157"/>
      <c r="R70" s="157"/>
      <c r="S70" s="157"/>
      <c r="T70" s="145"/>
      <c r="U70" s="174" t="str">
        <f ca="1">IFERROR(__xludf.DUMMYFUNCTION("""COMPUTED_VALUE"""),"Pinecrest")</f>
        <v>Pinecrest</v>
      </c>
      <c r="V70" s="157" t="str">
        <f ca="1">IFERROR(__xludf.DUMMYFUNCTION("""COMPUTED_VALUE"""),"at")</f>
        <v>at</v>
      </c>
      <c r="W70" s="157" t="str">
        <f ca="1">IFERROR(__xludf.DUMMYFUNCTION("""COMPUTED_VALUE"""),"Hamlet")</f>
        <v>Hamlet</v>
      </c>
      <c r="X70" s="175">
        <f ca="1">IFERROR(__xludf.DUMMYFUNCTION("""COMPUTED_VALUE"""),0.75)</f>
        <v>0.75</v>
      </c>
      <c r="Y70" s="157" t="str">
        <f ca="1">IFERROR(__xludf.DUMMYFUNCTION("""COMPUTED_VALUE"""),"MAP")</f>
        <v>MAP</v>
      </c>
      <c r="Z70" s="145"/>
      <c r="AA70" s="158">
        <f ca="1">IFERROR(__xludf.DUMMYFUNCTION("""COMPUTED_VALUE"""),83)</f>
        <v>83</v>
      </c>
      <c r="AB70" s="176">
        <f ca="1">IFERROR(__xludf.DUMMYFUNCTION("""COMPUTED_VALUE"""),45468)</f>
        <v>45468</v>
      </c>
      <c r="AC70" s="157" t="str">
        <f ca="1">IFERROR(__xludf.DUMMYFUNCTION("""COMPUTED_VALUE"""),"20240625-83")</f>
        <v>20240625-83</v>
      </c>
      <c r="AD70" s="157" t="str">
        <f ca="1">IFERROR(__xludf.DUMMYFUNCTION("""COMPUTED_VALUE"""),"HSC-Hamlet Swim Club")</f>
        <v>HSC-Hamlet Swim Club</v>
      </c>
      <c r="AE70" s="157" t="str">
        <f ca="1">IFERROR(__xludf.DUMMYFUNCTION("""COMPUTED_VALUE"""),"PC-Pinecrest")</f>
        <v>PC-Pinecrest</v>
      </c>
      <c r="AF70" s="145"/>
      <c r="AG70" s="158"/>
      <c r="AH70" s="157"/>
    </row>
    <row r="71" spans="1:34" ht="13.2">
      <c r="A71" s="43"/>
      <c r="B71" s="43"/>
      <c r="C71" s="43"/>
      <c r="D71" s="43"/>
      <c r="E71" s="179"/>
      <c r="F71" s="179"/>
      <c r="G71" s="150"/>
      <c r="H71" s="150"/>
      <c r="I71" s="151"/>
      <c r="J71" s="151"/>
      <c r="K71" s="153"/>
      <c r="L71" s="153"/>
      <c r="M71" s="151"/>
      <c r="N71" s="151"/>
      <c r="O71" s="142"/>
      <c r="P71" s="142"/>
      <c r="Q71" s="162"/>
      <c r="R71" s="162"/>
      <c r="S71" s="162"/>
      <c r="T71" s="145"/>
      <c r="U71" s="168">
        <f ca="1">IFERROR(__xludf.DUMMYFUNCTION("""COMPUTED_VALUE"""),45475)</f>
        <v>45475</v>
      </c>
      <c r="V71" s="162"/>
      <c r="W71" s="162"/>
      <c r="X71" s="162"/>
      <c r="Y71" s="162"/>
      <c r="Z71" s="145"/>
      <c r="AA71" s="170">
        <f ca="1">IFERROR(__xludf.DUMMYFUNCTION("""COMPUTED_VALUE"""),1)</f>
        <v>1</v>
      </c>
      <c r="AB71" s="171">
        <f ca="1">IFERROR(__xludf.DUMMYFUNCTION("""COMPUTED_VALUE"""),45475)</f>
        <v>45475</v>
      </c>
      <c r="AC71" s="162" t="str">
        <f ca="1">IFERROR(__xludf.DUMMYFUNCTION("""COMPUTED_VALUE"""),"")</f>
        <v/>
      </c>
      <c r="AD71" s="162" t="str">
        <f ca="1">IFERROR(__xludf.DUMMYFUNCTION("""COMPUTED_VALUE"""),"")</f>
        <v/>
      </c>
      <c r="AE71" s="162" t="str">
        <f ca="1">IFERROR(__xludf.DUMMYFUNCTION("""COMPUTED_VALUE"""),"")</f>
        <v/>
      </c>
      <c r="AF71" s="145"/>
      <c r="AG71" s="170"/>
      <c r="AH71" s="162"/>
    </row>
    <row r="72" spans="1:34" ht="13.2">
      <c r="A72" s="43"/>
      <c r="B72" s="43"/>
      <c r="C72" s="43"/>
      <c r="D72" s="43"/>
      <c r="E72" s="179"/>
      <c r="F72" s="179"/>
      <c r="G72" s="150"/>
      <c r="H72" s="150"/>
      <c r="I72" s="151"/>
      <c r="J72" s="151"/>
      <c r="K72" s="153"/>
      <c r="L72" s="153"/>
      <c r="M72" s="151"/>
      <c r="N72" s="151"/>
      <c r="O72" s="142"/>
      <c r="P72" s="142"/>
      <c r="Q72" s="157"/>
      <c r="R72" s="157"/>
      <c r="S72" s="157"/>
      <c r="T72" s="145"/>
      <c r="U72" s="174" t="str">
        <f ca="1">IFERROR(__xludf.DUMMYFUNCTION("""COMPUTED_VALUE"""),"Fairfax")</f>
        <v>Fairfax</v>
      </c>
      <c r="V72" s="157" t="str">
        <f ca="1">IFERROR(__xludf.DUMMYFUNCTION("""COMPUTED_VALUE"""),"at")</f>
        <v>at</v>
      </c>
      <c r="W72" s="157" t="str">
        <f ca="1">IFERROR(__xludf.DUMMYFUNCTION("""COMPUTED_VALUE"""),"Overlee")</f>
        <v>Overlee</v>
      </c>
      <c r="X72" s="175">
        <f ca="1">IFERROR(__xludf.DUMMYFUNCTION("""COMPUTED_VALUE"""),0.75)</f>
        <v>0.75</v>
      </c>
      <c r="Y72" s="157" t="str">
        <f ca="1">IFERROR(__xludf.DUMMYFUNCTION("""COMPUTED_VALUE"""),"MAP")</f>
        <v>MAP</v>
      </c>
      <c r="Z72" s="145"/>
      <c r="AA72" s="158">
        <f ca="1">IFERROR(__xludf.DUMMYFUNCTION("""COMPUTED_VALUE"""),11)</f>
        <v>11</v>
      </c>
      <c r="AB72" s="176">
        <f ca="1">IFERROR(__xludf.DUMMYFUNCTION("""COMPUTED_VALUE"""),45475)</f>
        <v>45475</v>
      </c>
      <c r="AC72" s="157" t="str">
        <f ca="1">IFERROR(__xludf.DUMMYFUNCTION("""COMPUTED_VALUE"""),"20240702-11")</f>
        <v>20240702-11</v>
      </c>
      <c r="AD72" s="157" t="str">
        <f ca="1">IFERROR(__xludf.DUMMYFUNCTION("""COMPUTED_VALUE"""),"O-Overlee")</f>
        <v>O-Overlee</v>
      </c>
      <c r="AE72" s="157" t="str">
        <f ca="1">IFERROR(__xludf.DUMMYFUNCTION("""COMPUTED_VALUE"""),"F-Fairfax")</f>
        <v>F-Fairfax</v>
      </c>
      <c r="AF72" s="145"/>
      <c r="AG72" s="158"/>
      <c r="AH72" s="157"/>
    </row>
    <row r="73" spans="1:34" ht="13.2">
      <c r="A73" s="43"/>
      <c r="B73" s="43"/>
      <c r="C73" s="43"/>
      <c r="D73" s="43"/>
      <c r="E73" s="179"/>
      <c r="F73" s="179"/>
      <c r="G73" s="150"/>
      <c r="H73" s="150"/>
      <c r="I73" s="151"/>
      <c r="J73" s="151"/>
      <c r="K73" s="153"/>
      <c r="L73" s="153"/>
      <c r="M73" s="151"/>
      <c r="N73" s="151"/>
      <c r="O73" s="142"/>
      <c r="P73" s="142"/>
      <c r="Q73" s="162"/>
      <c r="R73" s="162"/>
      <c r="S73" s="162"/>
      <c r="T73" s="145"/>
      <c r="U73" s="168" t="str">
        <f ca="1">IFERROR(__xludf.DUMMYFUNCTION("""COMPUTED_VALUE"""),"Donaldson Run")</f>
        <v>Donaldson Run</v>
      </c>
      <c r="V73" s="162" t="str">
        <f ca="1">IFERROR(__xludf.DUMMYFUNCTION("""COMPUTED_VALUE"""),"at")</f>
        <v>at</v>
      </c>
      <c r="W73" s="162" t="str">
        <f ca="1">IFERROR(__xludf.DUMMYFUNCTION("""COMPUTED_VALUE"""),"Oakton")</f>
        <v>Oakton</v>
      </c>
      <c r="X73" s="169">
        <f ca="1">IFERROR(__xludf.DUMMYFUNCTION("""COMPUTED_VALUE"""),0.75)</f>
        <v>0.75</v>
      </c>
      <c r="Y73" s="162" t="str">
        <f ca="1">IFERROR(__xludf.DUMMYFUNCTION("""COMPUTED_VALUE"""),"MAP")</f>
        <v>MAP</v>
      </c>
      <c r="Z73" s="145"/>
      <c r="AA73" s="170">
        <f ca="1">IFERROR(__xludf.DUMMYFUNCTION("""COMPUTED_VALUE"""),12)</f>
        <v>12</v>
      </c>
      <c r="AB73" s="171">
        <f ca="1">IFERROR(__xludf.DUMMYFUNCTION("""COMPUTED_VALUE"""),45475)</f>
        <v>45475</v>
      </c>
      <c r="AC73" s="162" t="str">
        <f ca="1">IFERROR(__xludf.DUMMYFUNCTION("""COMPUTED_VALUE"""),"20240702-12")</f>
        <v>20240702-12</v>
      </c>
      <c r="AD73" s="162" t="str">
        <f ca="1">IFERROR(__xludf.DUMMYFUNCTION("""COMPUTED_VALUE"""),"OAK-Oakton")</f>
        <v>OAK-Oakton</v>
      </c>
      <c r="AE73" s="162" t="str">
        <f ca="1">IFERROR(__xludf.DUMMYFUNCTION("""COMPUTED_VALUE"""),"DR-Donaldson Run")</f>
        <v>DR-Donaldson Run</v>
      </c>
      <c r="AF73" s="145"/>
      <c r="AG73" s="170"/>
      <c r="AH73" s="162"/>
    </row>
    <row r="74" spans="1:34" ht="13.2">
      <c r="A74" s="43"/>
      <c r="B74" s="43"/>
      <c r="C74" s="43"/>
      <c r="D74" s="43"/>
      <c r="E74" s="179"/>
      <c r="F74" s="179"/>
      <c r="G74" s="150"/>
      <c r="H74" s="150"/>
      <c r="I74" s="151"/>
      <c r="J74" s="151"/>
      <c r="K74" s="153"/>
      <c r="L74" s="153"/>
      <c r="M74" s="151"/>
      <c r="N74" s="151"/>
      <c r="O74" s="142"/>
      <c r="P74" s="142"/>
      <c r="Q74" s="157"/>
      <c r="R74" s="157"/>
      <c r="S74" s="157"/>
      <c r="T74" s="145"/>
      <c r="U74" s="174" t="str">
        <f ca="1">IFERROR(__xludf.DUMMYFUNCTION("""COMPUTED_VALUE"""),"Vienna Woods")</f>
        <v>Vienna Woods</v>
      </c>
      <c r="V74" s="157" t="str">
        <f ca="1">IFERROR(__xludf.DUMMYFUNCTION("""COMPUTED_VALUE"""),"at")</f>
        <v>at</v>
      </c>
      <c r="W74" s="157" t="str">
        <f ca="1">IFERROR(__xludf.DUMMYFUNCTION("""COMPUTED_VALUE"""),"Old Keene Mill")</f>
        <v>Old Keene Mill</v>
      </c>
      <c r="X74" s="175">
        <f ca="1">IFERROR(__xludf.DUMMYFUNCTION("""COMPUTED_VALUE"""),0.75)</f>
        <v>0.75</v>
      </c>
      <c r="Y74" s="157" t="str">
        <f ca="1">IFERROR(__xludf.DUMMYFUNCTION("""COMPUTED_VALUE"""),"MAP")</f>
        <v>MAP</v>
      </c>
      <c r="Z74" s="145"/>
      <c r="AA74" s="158">
        <f ca="1">IFERROR(__xludf.DUMMYFUNCTION("""COMPUTED_VALUE"""),13)</f>
        <v>13</v>
      </c>
      <c r="AB74" s="176">
        <f ca="1">IFERROR(__xludf.DUMMYFUNCTION("""COMPUTED_VALUE"""),45475)</f>
        <v>45475</v>
      </c>
      <c r="AC74" s="157" t="str">
        <f ca="1">IFERROR(__xludf.DUMMYFUNCTION("""COMPUTED_VALUE"""),"20240702-13")</f>
        <v>20240702-13</v>
      </c>
      <c r="AD74" s="157" t="str">
        <f ca="1">IFERROR(__xludf.DUMMYFUNCTION("""COMPUTED_VALUE"""),"OKM-Old Keene Mill")</f>
        <v>OKM-Old Keene Mill</v>
      </c>
      <c r="AE74" s="157" t="str">
        <f ca="1">IFERROR(__xludf.DUMMYFUNCTION("""COMPUTED_VALUE"""),"VW-Vienna Woods")</f>
        <v>VW-Vienna Woods</v>
      </c>
      <c r="AF74" s="145"/>
      <c r="AG74" s="158"/>
      <c r="AH74" s="157"/>
    </row>
    <row r="75" spans="1:34" ht="13.2">
      <c r="A75" s="43"/>
      <c r="B75" s="43"/>
      <c r="C75" s="43"/>
      <c r="D75" s="43"/>
      <c r="E75" s="179"/>
      <c r="F75" s="179"/>
      <c r="G75" s="150"/>
      <c r="H75" s="150"/>
      <c r="I75" s="151"/>
      <c r="J75" s="151"/>
      <c r="K75" s="153"/>
      <c r="L75" s="153"/>
      <c r="M75" s="151"/>
      <c r="N75" s="151"/>
      <c r="O75" s="142"/>
      <c r="P75" s="142"/>
      <c r="Q75" s="162"/>
      <c r="R75" s="162"/>
      <c r="S75" s="162"/>
      <c r="T75" s="145"/>
      <c r="U75" s="168" t="str">
        <f ca="1">IFERROR(__xludf.DUMMYFUNCTION("""COMPUTED_VALUE"""),"Division II")</f>
        <v>Division II</v>
      </c>
      <c r="V75" s="162"/>
      <c r="W75" s="162"/>
      <c r="X75" s="162"/>
      <c r="Y75" s="162"/>
      <c r="Z75" s="145"/>
      <c r="AA75" s="170">
        <f ca="1">IFERROR(__xludf.DUMMYFUNCTION("""COMPUTED_VALUE"""),2)</f>
        <v>2</v>
      </c>
      <c r="AB75" s="171">
        <f ca="1">IFERROR(__xludf.DUMMYFUNCTION("""COMPUTED_VALUE"""),45475)</f>
        <v>45475</v>
      </c>
      <c r="AC75" s="162" t="str">
        <f ca="1">IFERROR(__xludf.DUMMYFUNCTION("""COMPUTED_VALUE"""),"")</f>
        <v/>
      </c>
      <c r="AD75" s="162" t="str">
        <f ca="1">IFERROR(__xludf.DUMMYFUNCTION("""COMPUTED_VALUE"""),"")</f>
        <v/>
      </c>
      <c r="AE75" s="162" t="str">
        <f ca="1">IFERROR(__xludf.DUMMYFUNCTION("""COMPUTED_VALUE"""),"")</f>
        <v/>
      </c>
      <c r="AF75" s="145"/>
      <c r="AG75" s="170"/>
      <c r="AH75" s="162"/>
    </row>
    <row r="76" spans="1:34" ht="13.2">
      <c r="A76" s="43"/>
      <c r="B76" s="43"/>
      <c r="C76" s="43"/>
      <c r="D76" s="43"/>
      <c r="E76" s="179"/>
      <c r="F76" s="179"/>
      <c r="G76" s="150"/>
      <c r="H76" s="150"/>
      <c r="I76" s="151"/>
      <c r="J76" s="151"/>
      <c r="K76" s="153"/>
      <c r="L76" s="153"/>
      <c r="M76" s="151"/>
      <c r="N76" s="151"/>
      <c r="O76" s="142"/>
      <c r="P76" s="142"/>
      <c r="Q76" s="157"/>
      <c r="R76" s="157"/>
      <c r="S76" s="157"/>
      <c r="T76" s="145"/>
      <c r="U76" s="174" t="str">
        <f ca="1">IFERROR(__xludf.DUMMYFUNCTION("""COMPUTED_VALUE"""),"Kent Gardens")</f>
        <v>Kent Gardens</v>
      </c>
      <c r="V76" s="157" t="str">
        <f ca="1">IFERROR(__xludf.DUMMYFUNCTION("""COMPUTED_VALUE"""),"at")</f>
        <v>at</v>
      </c>
      <c r="W76" s="157" t="str">
        <f ca="1">IFERROR(__xludf.DUMMYFUNCTION("""COMPUTED_VALUE"""),"Dominion Hills")</f>
        <v>Dominion Hills</v>
      </c>
      <c r="X76" s="175">
        <f ca="1">IFERROR(__xludf.DUMMYFUNCTION("""COMPUTED_VALUE"""),0.75)</f>
        <v>0.75</v>
      </c>
      <c r="Y76" s="157" t="str">
        <f ca="1">IFERROR(__xludf.DUMMYFUNCTION("""COMPUTED_VALUE"""),"MAP")</f>
        <v>MAP</v>
      </c>
      <c r="Z76" s="145"/>
      <c r="AA76" s="158">
        <f ca="1">IFERROR(__xludf.DUMMYFUNCTION("""COMPUTED_VALUE"""),21)</f>
        <v>21</v>
      </c>
      <c r="AB76" s="176">
        <f ca="1">IFERROR(__xludf.DUMMYFUNCTION("""COMPUTED_VALUE"""),45475)</f>
        <v>45475</v>
      </c>
      <c r="AC76" s="157" t="str">
        <f ca="1">IFERROR(__xludf.DUMMYFUNCTION("""COMPUTED_VALUE"""),"20240702-21")</f>
        <v>20240702-21</v>
      </c>
      <c r="AD76" s="157" t="str">
        <f ca="1">IFERROR(__xludf.DUMMYFUNCTION("""COMPUTED_VALUE"""),"DH-Dominion Hills")</f>
        <v>DH-Dominion Hills</v>
      </c>
      <c r="AE76" s="157" t="str">
        <f ca="1">IFERROR(__xludf.DUMMYFUNCTION("""COMPUTED_VALUE"""),"KG-Kent Gardens")</f>
        <v>KG-Kent Gardens</v>
      </c>
      <c r="AF76" s="145"/>
      <c r="AG76" s="158"/>
      <c r="AH76" s="157"/>
    </row>
    <row r="77" spans="1:34" ht="13.2">
      <c r="A77" s="43"/>
      <c r="B77" s="43"/>
      <c r="C77" s="43"/>
      <c r="D77" s="43"/>
      <c r="E77" s="179"/>
      <c r="F77" s="179"/>
      <c r="G77" s="150"/>
      <c r="H77" s="150"/>
      <c r="I77" s="151"/>
      <c r="J77" s="151"/>
      <c r="K77" s="153"/>
      <c r="L77" s="153"/>
      <c r="M77" s="151"/>
      <c r="N77" s="151"/>
      <c r="O77" s="142"/>
      <c r="P77" s="142"/>
      <c r="Q77" s="162"/>
      <c r="R77" s="162"/>
      <c r="S77" s="162"/>
      <c r="T77" s="145"/>
      <c r="U77" s="168" t="str">
        <f ca="1">IFERROR(__xludf.DUMMYFUNCTION("""COMPUTED_VALUE"""),"Highlands Swim")</f>
        <v>Highlands Swim</v>
      </c>
      <c r="V77" s="162" t="str">
        <f ca="1">IFERROR(__xludf.DUMMYFUNCTION("""COMPUTED_VALUE"""),"at")</f>
        <v>at</v>
      </c>
      <c r="W77" s="162" t="str">
        <f ca="1">IFERROR(__xludf.DUMMYFUNCTION("""COMPUTED_VALUE"""),"Hunt Valley")</f>
        <v>Hunt Valley</v>
      </c>
      <c r="X77" s="169">
        <f ca="1">IFERROR(__xludf.DUMMYFUNCTION("""COMPUTED_VALUE"""),0.75)</f>
        <v>0.75</v>
      </c>
      <c r="Y77" s="162" t="str">
        <f ca="1">IFERROR(__xludf.DUMMYFUNCTION("""COMPUTED_VALUE"""),"MAP")</f>
        <v>MAP</v>
      </c>
      <c r="Z77" s="145"/>
      <c r="AA77" s="170">
        <f ca="1">IFERROR(__xludf.DUMMYFUNCTION("""COMPUTED_VALUE"""),22)</f>
        <v>22</v>
      </c>
      <c r="AB77" s="171">
        <f ca="1">IFERROR(__xludf.DUMMYFUNCTION("""COMPUTED_VALUE"""),45475)</f>
        <v>45475</v>
      </c>
      <c r="AC77" s="162" t="str">
        <f ca="1">IFERROR(__xludf.DUMMYFUNCTION("""COMPUTED_VALUE"""),"20240702-22")</f>
        <v>20240702-22</v>
      </c>
      <c r="AD77" s="162" t="str">
        <f ca="1">IFERROR(__xludf.DUMMYFUNCTION("""COMPUTED_VALUE"""),"HV-Hunt Valley")</f>
        <v>HV-Hunt Valley</v>
      </c>
      <c r="AE77" s="162" t="str">
        <f ca="1">IFERROR(__xludf.DUMMYFUNCTION("""COMPUTED_VALUE"""),"HS-Highlands Swim")</f>
        <v>HS-Highlands Swim</v>
      </c>
      <c r="AF77" s="145"/>
      <c r="AG77" s="170"/>
      <c r="AH77" s="162"/>
    </row>
    <row r="78" spans="1:34" ht="13.2">
      <c r="A78" s="43"/>
      <c r="B78" s="43"/>
      <c r="C78" s="43"/>
      <c r="D78" s="43"/>
      <c r="E78" s="179"/>
      <c r="F78" s="179"/>
      <c r="G78" s="150"/>
      <c r="H78" s="150"/>
      <c r="I78" s="151"/>
      <c r="J78" s="151"/>
      <c r="K78" s="153"/>
      <c r="L78" s="153"/>
      <c r="M78" s="151"/>
      <c r="N78" s="151"/>
      <c r="O78" s="142"/>
      <c r="P78" s="142"/>
      <c r="Q78" s="157"/>
      <c r="R78" s="157"/>
      <c r="S78" s="157"/>
      <c r="T78" s="145"/>
      <c r="U78" s="174" t="str">
        <f ca="1">IFERROR(__xludf.DUMMYFUNCTION("""COMPUTED_VALUE"""),"Sleepy Hollow Rec")</f>
        <v>Sleepy Hollow Rec</v>
      </c>
      <c r="V78" s="157" t="str">
        <f ca="1">IFERROR(__xludf.DUMMYFUNCTION("""COMPUTED_VALUE"""),"at")</f>
        <v>at</v>
      </c>
      <c r="W78" s="157" t="str">
        <f ca="1">IFERROR(__xludf.DUMMYFUNCTION("""COMPUTED_VALUE"""),"Rolling Hills")</f>
        <v>Rolling Hills</v>
      </c>
      <c r="X78" s="175">
        <f ca="1">IFERROR(__xludf.DUMMYFUNCTION("""COMPUTED_VALUE"""),0.75)</f>
        <v>0.75</v>
      </c>
      <c r="Y78" s="157" t="str">
        <f ca="1">IFERROR(__xludf.DUMMYFUNCTION("""COMPUTED_VALUE"""),"MAP")</f>
        <v>MAP</v>
      </c>
      <c r="Z78" s="145"/>
      <c r="AA78" s="158">
        <f ca="1">IFERROR(__xludf.DUMMYFUNCTION("""COMPUTED_VALUE"""),23)</f>
        <v>23</v>
      </c>
      <c r="AB78" s="176">
        <f ca="1">IFERROR(__xludf.DUMMYFUNCTION("""COMPUTED_VALUE"""),45475)</f>
        <v>45475</v>
      </c>
      <c r="AC78" s="157" t="str">
        <f ca="1">IFERROR(__xludf.DUMMYFUNCTION("""COMPUTED_VALUE"""),"20240702-23")</f>
        <v>20240702-23</v>
      </c>
      <c r="AD78" s="157" t="str">
        <f ca="1">IFERROR(__xludf.DUMMYFUNCTION("""COMPUTED_VALUE"""),"RH-Rolling Hills")</f>
        <v>RH-Rolling Hills</v>
      </c>
      <c r="AE78" s="157" t="str">
        <f ca="1">IFERROR(__xludf.DUMMYFUNCTION("""COMPUTED_VALUE"""),"SHR-Sleepy Hollow Rec")</f>
        <v>SHR-Sleepy Hollow Rec</v>
      </c>
      <c r="AF78" s="145"/>
      <c r="AG78" s="158"/>
      <c r="AH78" s="157"/>
    </row>
    <row r="79" spans="1:34" ht="13.2">
      <c r="A79" s="43"/>
      <c r="B79" s="43"/>
      <c r="C79" s="43"/>
      <c r="D79" s="43"/>
      <c r="E79" s="179"/>
      <c r="F79" s="179"/>
      <c r="G79" s="150"/>
      <c r="H79" s="150"/>
      <c r="I79" s="151"/>
      <c r="J79" s="151"/>
      <c r="K79" s="153"/>
      <c r="L79" s="153"/>
      <c r="M79" s="151"/>
      <c r="N79" s="151"/>
      <c r="O79" s="142"/>
      <c r="P79" s="142"/>
      <c r="Q79" s="162"/>
      <c r="R79" s="162"/>
      <c r="S79" s="162"/>
      <c r="T79" s="145"/>
      <c r="U79" s="168" t="str">
        <f ca="1">IFERROR(__xludf.DUMMYFUNCTION("""COMPUTED_VALUE"""),"Division III")</f>
        <v>Division III</v>
      </c>
      <c r="V79" s="162"/>
      <c r="W79" s="162"/>
      <c r="X79" s="162"/>
      <c r="Y79" s="162"/>
      <c r="Z79" s="145"/>
      <c r="AA79" s="170">
        <f ca="1">IFERROR(__xludf.DUMMYFUNCTION("""COMPUTED_VALUE"""),3)</f>
        <v>3</v>
      </c>
      <c r="AB79" s="171">
        <f ca="1">IFERROR(__xludf.DUMMYFUNCTION("""COMPUTED_VALUE"""),45475)</f>
        <v>45475</v>
      </c>
      <c r="AC79" s="162" t="str">
        <f ca="1">IFERROR(__xludf.DUMMYFUNCTION("""COMPUTED_VALUE"""),"")</f>
        <v/>
      </c>
      <c r="AD79" s="162" t="str">
        <f ca="1">IFERROR(__xludf.DUMMYFUNCTION("""COMPUTED_VALUE"""),"")</f>
        <v/>
      </c>
      <c r="AE79" s="162" t="str">
        <f ca="1">IFERROR(__xludf.DUMMYFUNCTION("""COMPUTED_VALUE"""),"")</f>
        <v/>
      </c>
      <c r="AF79" s="145"/>
      <c r="AG79" s="170"/>
      <c r="AH79" s="162"/>
    </row>
    <row r="80" spans="1:34" ht="13.2">
      <c r="A80" s="43"/>
      <c r="B80" s="43"/>
      <c r="C80" s="43"/>
      <c r="D80" s="43"/>
      <c r="E80" s="179"/>
      <c r="F80" s="179"/>
      <c r="G80" s="150"/>
      <c r="H80" s="150"/>
      <c r="I80" s="151"/>
      <c r="J80" s="151"/>
      <c r="K80" s="153"/>
      <c r="L80" s="153"/>
      <c r="M80" s="151"/>
      <c r="N80" s="151"/>
      <c r="O80" s="142"/>
      <c r="P80" s="142"/>
      <c r="Q80" s="157"/>
      <c r="R80" s="157"/>
      <c r="S80" s="157"/>
      <c r="T80" s="145"/>
      <c r="U80" s="174" t="str">
        <f ca="1">IFERROR(__xludf.DUMMYFUNCTION("""COMPUTED_VALUE"""),"Dunn Loring")</f>
        <v>Dunn Loring</v>
      </c>
      <c r="V80" s="157" t="str">
        <f ca="1">IFERROR(__xludf.DUMMYFUNCTION("""COMPUTED_VALUE"""),"at")</f>
        <v>at</v>
      </c>
      <c r="W80" s="157" t="str">
        <f ca="1">IFERROR(__xludf.DUMMYFUNCTION("""COMPUTED_VALUE"""),"Lee Graham")</f>
        <v>Lee Graham</v>
      </c>
      <c r="X80" s="175">
        <f ca="1">IFERROR(__xludf.DUMMYFUNCTION("""COMPUTED_VALUE"""),0.75)</f>
        <v>0.75</v>
      </c>
      <c r="Y80" s="157" t="str">
        <f ca="1">IFERROR(__xludf.DUMMYFUNCTION("""COMPUTED_VALUE"""),"MAP")</f>
        <v>MAP</v>
      </c>
      <c r="Z80" s="145"/>
      <c r="AA80" s="158">
        <f ca="1">IFERROR(__xludf.DUMMYFUNCTION("""COMPUTED_VALUE"""),31)</f>
        <v>31</v>
      </c>
      <c r="AB80" s="176">
        <f ca="1">IFERROR(__xludf.DUMMYFUNCTION("""COMPUTED_VALUE"""),45475)</f>
        <v>45475</v>
      </c>
      <c r="AC80" s="157" t="str">
        <f ca="1">IFERROR(__xludf.DUMMYFUNCTION("""COMPUTED_VALUE"""),"20240702-31")</f>
        <v>20240702-31</v>
      </c>
      <c r="AD80" s="157" t="str">
        <f ca="1">IFERROR(__xludf.DUMMYFUNCTION("""COMPUTED_VALUE"""),"LG-Lee Graham")</f>
        <v>LG-Lee Graham</v>
      </c>
      <c r="AE80" s="157" t="str">
        <f ca="1">IFERROR(__xludf.DUMMYFUNCTION("""COMPUTED_VALUE"""),"DL-Dunn Loring")</f>
        <v>DL-Dunn Loring</v>
      </c>
      <c r="AF80" s="145"/>
      <c r="AG80" s="158"/>
      <c r="AH80" s="157"/>
    </row>
    <row r="81" spans="1:34" ht="13.2">
      <c r="A81" s="43"/>
      <c r="B81" s="43"/>
      <c r="C81" s="43"/>
      <c r="D81" s="43"/>
      <c r="E81" s="179"/>
      <c r="F81" s="179"/>
      <c r="G81" s="150"/>
      <c r="H81" s="150"/>
      <c r="I81" s="151"/>
      <c r="J81" s="151"/>
      <c r="K81" s="153"/>
      <c r="L81" s="153"/>
      <c r="M81" s="151"/>
      <c r="N81" s="151"/>
      <c r="O81" s="142"/>
      <c r="P81" s="142"/>
      <c r="Q81" s="162"/>
      <c r="R81" s="162"/>
      <c r="S81" s="162"/>
      <c r="T81" s="145"/>
      <c r="U81" s="168" t="str">
        <f ca="1">IFERROR(__xludf.DUMMYFUNCTION("""COMPUTED_VALUE"""),"Parliament")</f>
        <v>Parliament</v>
      </c>
      <c r="V81" s="162" t="str">
        <f ca="1">IFERROR(__xludf.DUMMYFUNCTION("""COMPUTED_VALUE"""),"at")</f>
        <v>at</v>
      </c>
      <c r="W81" s="162" t="str">
        <f ca="1">IFERROR(__xludf.DUMMYFUNCTION("""COMPUTED_VALUE"""),"Walden Glen")</f>
        <v>Walden Glen</v>
      </c>
      <c r="X81" s="169">
        <f ca="1">IFERROR(__xludf.DUMMYFUNCTION("""COMPUTED_VALUE"""),0.75)</f>
        <v>0.75</v>
      </c>
      <c r="Y81" s="162" t="str">
        <f ca="1">IFERROR(__xludf.DUMMYFUNCTION("""COMPUTED_VALUE"""),"MAP")</f>
        <v>MAP</v>
      </c>
      <c r="Z81" s="145"/>
      <c r="AA81" s="170">
        <f ca="1">IFERROR(__xludf.DUMMYFUNCTION("""COMPUTED_VALUE"""),32)</f>
        <v>32</v>
      </c>
      <c r="AB81" s="171">
        <f ca="1">IFERROR(__xludf.DUMMYFUNCTION("""COMPUTED_VALUE"""),45475)</f>
        <v>45475</v>
      </c>
      <c r="AC81" s="162" t="str">
        <f ca="1">IFERROR(__xludf.DUMMYFUNCTION("""COMPUTED_VALUE"""),"20240702-32")</f>
        <v>20240702-32</v>
      </c>
      <c r="AD81" s="162" t="str">
        <f ca="1">IFERROR(__xludf.DUMMYFUNCTION("""COMPUTED_VALUE"""),"WG-Walden Glen")</f>
        <v>WG-Walden Glen</v>
      </c>
      <c r="AE81" s="162" t="str">
        <f ca="1">IFERROR(__xludf.DUMMYFUNCTION("""COMPUTED_VALUE"""),"PAR-Parliament")</f>
        <v>PAR-Parliament</v>
      </c>
      <c r="AF81" s="145"/>
      <c r="AG81" s="170"/>
      <c r="AH81" s="162"/>
    </row>
    <row r="82" spans="1:34" ht="13.2">
      <c r="A82" s="43"/>
      <c r="B82" s="43"/>
      <c r="C82" s="43"/>
      <c r="D82" s="43"/>
      <c r="E82" s="179"/>
      <c r="F82" s="179"/>
      <c r="G82" s="150"/>
      <c r="H82" s="150"/>
      <c r="I82" s="151"/>
      <c r="J82" s="151"/>
      <c r="K82" s="153"/>
      <c r="L82" s="153"/>
      <c r="M82" s="151"/>
      <c r="N82" s="151"/>
      <c r="O82" s="142"/>
      <c r="P82" s="142"/>
      <c r="Q82" s="157"/>
      <c r="R82" s="157"/>
      <c r="S82" s="157"/>
      <c r="T82" s="145"/>
      <c r="U82" s="174" t="str">
        <f ca="1">IFERROR(__xludf.DUMMYFUNCTION("""COMPUTED_VALUE"""),"Fairfax Station")</f>
        <v>Fairfax Station</v>
      </c>
      <c r="V82" s="157" t="str">
        <f ca="1">IFERROR(__xludf.DUMMYFUNCTION("""COMPUTED_VALUE"""),"at")</f>
        <v>at</v>
      </c>
      <c r="W82" s="157" t="str">
        <f ca="1">IFERROR(__xludf.DUMMYFUNCTION("""COMPUTED_VALUE"""),"Greenbriar")</f>
        <v>Greenbriar</v>
      </c>
      <c r="X82" s="175">
        <f ca="1">IFERROR(__xludf.DUMMYFUNCTION("""COMPUTED_VALUE"""),0.75)</f>
        <v>0.75</v>
      </c>
      <c r="Y82" s="157" t="str">
        <f ca="1">IFERROR(__xludf.DUMMYFUNCTION("""COMPUTED_VALUE"""),"MAP")</f>
        <v>MAP</v>
      </c>
      <c r="Z82" s="145"/>
      <c r="AA82" s="158">
        <f ca="1">IFERROR(__xludf.DUMMYFUNCTION("""COMPUTED_VALUE"""),33)</f>
        <v>33</v>
      </c>
      <c r="AB82" s="176">
        <f ca="1">IFERROR(__xludf.DUMMYFUNCTION("""COMPUTED_VALUE"""),45475)</f>
        <v>45475</v>
      </c>
      <c r="AC82" s="157" t="str">
        <f ca="1">IFERROR(__xludf.DUMMYFUNCTION("""COMPUTED_VALUE"""),"20240702-33")</f>
        <v>20240702-33</v>
      </c>
      <c r="AD82" s="157" t="str">
        <f ca="1">IFERROR(__xludf.DUMMYFUNCTION("""COMPUTED_VALUE"""),"G-Greenbriar")</f>
        <v>G-Greenbriar</v>
      </c>
      <c r="AE82" s="157" t="str">
        <f ca="1">IFERROR(__xludf.DUMMYFUNCTION("""COMPUTED_VALUE"""),"FS-Fairfax Station")</f>
        <v>FS-Fairfax Station</v>
      </c>
      <c r="AF82" s="145"/>
      <c r="AG82" s="158"/>
      <c r="AH82" s="157"/>
    </row>
    <row r="83" spans="1:34" ht="13.2">
      <c r="A83" s="43"/>
      <c r="B83" s="43"/>
      <c r="C83" s="43"/>
      <c r="D83" s="43"/>
      <c r="E83" s="179"/>
      <c r="F83" s="179"/>
      <c r="G83" s="150"/>
      <c r="H83" s="150"/>
      <c r="I83" s="151"/>
      <c r="J83" s="151"/>
      <c r="K83" s="153"/>
      <c r="L83" s="153"/>
      <c r="M83" s="151"/>
      <c r="N83" s="151"/>
      <c r="O83" s="142"/>
      <c r="P83" s="142"/>
      <c r="Q83" s="162"/>
      <c r="R83" s="162"/>
      <c r="S83" s="162"/>
      <c r="T83" s="145"/>
      <c r="U83" s="168" t="str">
        <f ca="1">IFERROR(__xludf.DUMMYFUNCTION("""COMPUTED_VALUE"""),"Division IV")</f>
        <v>Division IV</v>
      </c>
      <c r="V83" s="162"/>
      <c r="W83" s="162"/>
      <c r="X83" s="162"/>
      <c r="Y83" s="162"/>
      <c r="Z83" s="145"/>
      <c r="AA83" s="170">
        <f ca="1">IFERROR(__xludf.DUMMYFUNCTION("""COMPUTED_VALUE"""),4)</f>
        <v>4</v>
      </c>
      <c r="AB83" s="171">
        <f ca="1">IFERROR(__xludf.DUMMYFUNCTION("""COMPUTED_VALUE"""),45475)</f>
        <v>45475</v>
      </c>
      <c r="AC83" s="162" t="str">
        <f ca="1">IFERROR(__xludf.DUMMYFUNCTION("""COMPUTED_VALUE"""),"")</f>
        <v/>
      </c>
      <c r="AD83" s="162" t="str">
        <f ca="1">IFERROR(__xludf.DUMMYFUNCTION("""COMPUTED_VALUE"""),"")</f>
        <v/>
      </c>
      <c r="AE83" s="162" t="str">
        <f ca="1">IFERROR(__xludf.DUMMYFUNCTION("""COMPUTED_VALUE"""),"")</f>
        <v/>
      </c>
      <c r="AF83" s="145"/>
      <c r="AG83" s="170"/>
      <c r="AH83" s="162"/>
    </row>
    <row r="84" spans="1:34" ht="13.2">
      <c r="A84" s="43"/>
      <c r="B84" s="43"/>
      <c r="C84" s="43"/>
      <c r="D84" s="43"/>
      <c r="E84" s="179"/>
      <c r="F84" s="179"/>
      <c r="G84" s="150"/>
      <c r="H84" s="150"/>
      <c r="I84" s="151"/>
      <c r="J84" s="151"/>
      <c r="K84" s="153"/>
      <c r="L84" s="153"/>
      <c r="M84" s="151"/>
      <c r="N84" s="151"/>
      <c r="O84" s="142"/>
      <c r="P84" s="142"/>
      <c r="Q84" s="157"/>
      <c r="R84" s="157"/>
      <c r="S84" s="157"/>
      <c r="T84" s="145"/>
      <c r="U84" s="174" t="str">
        <f ca="1">IFERROR(__xludf.DUMMYFUNCTION("""COMPUTED_VALUE"""),"Woodley")</f>
        <v>Woodley</v>
      </c>
      <c r="V84" s="157" t="str">
        <f ca="1">IFERROR(__xludf.DUMMYFUNCTION("""COMPUTED_VALUE"""),"at")</f>
        <v>at</v>
      </c>
      <c r="W84" s="157" t="str">
        <f ca="1">IFERROR(__xludf.DUMMYFUNCTION("""COMPUTED_VALUE"""),"Truro")</f>
        <v>Truro</v>
      </c>
      <c r="X84" s="175">
        <f ca="1">IFERROR(__xludf.DUMMYFUNCTION("""COMPUTED_VALUE"""),0.75)</f>
        <v>0.75</v>
      </c>
      <c r="Y84" s="157" t="str">
        <f ca="1">IFERROR(__xludf.DUMMYFUNCTION("""COMPUTED_VALUE"""),"MAP")</f>
        <v>MAP</v>
      </c>
      <c r="Z84" s="145"/>
      <c r="AA84" s="158">
        <f ca="1">IFERROR(__xludf.DUMMYFUNCTION("""COMPUTED_VALUE"""),41)</f>
        <v>41</v>
      </c>
      <c r="AB84" s="176">
        <f ca="1">IFERROR(__xludf.DUMMYFUNCTION("""COMPUTED_VALUE"""),45475)</f>
        <v>45475</v>
      </c>
      <c r="AC84" s="157" t="str">
        <f ca="1">IFERROR(__xludf.DUMMYFUNCTION("""COMPUTED_VALUE"""),"20240702-41")</f>
        <v>20240702-41</v>
      </c>
      <c r="AD84" s="157" t="str">
        <f ca="1">IFERROR(__xludf.DUMMYFUNCTION("""COMPUTED_VALUE"""),"THA-Truro Homes Association")</f>
        <v>THA-Truro Homes Association</v>
      </c>
      <c r="AE84" s="157" t="str">
        <f ca="1">IFERROR(__xludf.DUMMYFUNCTION("""COMPUTED_VALUE"""),"W-Woodley")</f>
        <v>W-Woodley</v>
      </c>
      <c r="AF84" s="145"/>
      <c r="AG84" s="158"/>
      <c r="AH84" s="157"/>
    </row>
    <row r="85" spans="1:34" ht="13.2">
      <c r="A85" s="43"/>
      <c r="B85" s="43"/>
      <c r="C85" s="43"/>
      <c r="D85" s="43"/>
      <c r="E85" s="179"/>
      <c r="F85" s="179"/>
      <c r="G85" s="150"/>
      <c r="H85" s="150"/>
      <c r="I85" s="151"/>
      <c r="J85" s="151"/>
      <c r="K85" s="153"/>
      <c r="L85" s="153"/>
      <c r="M85" s="151"/>
      <c r="N85" s="151"/>
      <c r="O85" s="142"/>
      <c r="P85" s="142"/>
      <c r="Q85" s="162"/>
      <c r="R85" s="162"/>
      <c r="S85" s="162"/>
      <c r="T85" s="145"/>
      <c r="U85" s="168" t="str">
        <f ca="1">IFERROR(__xludf.DUMMYFUNCTION("""COMPUTED_VALUE"""),"Highland Park")</f>
        <v>Highland Park</v>
      </c>
      <c r="V85" s="162" t="str">
        <f ca="1">IFERROR(__xludf.DUMMYFUNCTION("""COMPUTED_VALUE"""),"at")</f>
        <v>at</v>
      </c>
      <c r="W85" s="162" t="str">
        <f ca="1">IFERROR(__xludf.DUMMYFUNCTION("""COMPUTED_VALUE"""),"Chesterbrook")</f>
        <v>Chesterbrook</v>
      </c>
      <c r="X85" s="169">
        <f ca="1">IFERROR(__xludf.DUMMYFUNCTION("""COMPUTED_VALUE"""),0.75)</f>
        <v>0.75</v>
      </c>
      <c r="Y85" s="162" t="str">
        <f ca="1">IFERROR(__xludf.DUMMYFUNCTION("""COMPUTED_VALUE"""),"MAP")</f>
        <v>MAP</v>
      </c>
      <c r="Z85" s="145"/>
      <c r="AA85" s="170">
        <f ca="1">IFERROR(__xludf.DUMMYFUNCTION("""COMPUTED_VALUE"""),42)</f>
        <v>42</v>
      </c>
      <c r="AB85" s="171">
        <f ca="1">IFERROR(__xludf.DUMMYFUNCTION("""COMPUTED_VALUE"""),45475)</f>
        <v>45475</v>
      </c>
      <c r="AC85" s="162" t="str">
        <f ca="1">IFERROR(__xludf.DUMMYFUNCTION("""COMPUTED_VALUE"""),"20240702-42")</f>
        <v>20240702-42</v>
      </c>
      <c r="AD85" s="162" t="str">
        <f ca="1">IFERROR(__xludf.DUMMYFUNCTION("""COMPUTED_VALUE"""),"CB-Chesterbrook")</f>
        <v>CB-Chesterbrook</v>
      </c>
      <c r="AE85" s="162" t="str">
        <f ca="1">IFERROR(__xludf.DUMMYFUNCTION("""COMPUTED_VALUE"""),"HP-Highland Park")</f>
        <v>HP-Highland Park</v>
      </c>
      <c r="AF85" s="145"/>
      <c r="AG85" s="170"/>
      <c r="AH85" s="162"/>
    </row>
    <row r="86" spans="1:34" ht="13.2">
      <c r="A86" s="43"/>
      <c r="B86" s="43"/>
      <c r="C86" s="43"/>
      <c r="D86" s="43"/>
      <c r="E86" s="179"/>
      <c r="F86" s="179"/>
      <c r="G86" s="150"/>
      <c r="H86" s="150"/>
      <c r="I86" s="151"/>
      <c r="J86" s="151"/>
      <c r="K86" s="153"/>
      <c r="L86" s="153"/>
      <c r="M86" s="151"/>
      <c r="N86" s="151"/>
      <c r="O86" s="142"/>
      <c r="P86" s="142"/>
      <c r="Q86" s="157"/>
      <c r="R86" s="157"/>
      <c r="S86" s="157"/>
      <c r="T86" s="145"/>
      <c r="U86" s="174" t="str">
        <f ca="1">IFERROR(__xludf.DUMMYFUNCTION("""COMPUTED_VALUE"""),"Great Falls")</f>
        <v>Great Falls</v>
      </c>
      <c r="V86" s="157" t="str">
        <f ca="1">IFERROR(__xludf.DUMMYFUNCTION("""COMPUTED_VALUE"""),"at")</f>
        <v>at</v>
      </c>
      <c r="W86" s="157" t="str">
        <f ca="1">IFERROR(__xludf.DUMMYFUNCTION("""COMPUTED_VALUE"""),"Hayfield Farm")</f>
        <v>Hayfield Farm</v>
      </c>
      <c r="X86" s="175">
        <f ca="1">IFERROR(__xludf.DUMMYFUNCTION("""COMPUTED_VALUE"""),0.75)</f>
        <v>0.75</v>
      </c>
      <c r="Y86" s="157" t="str">
        <f ca="1">IFERROR(__xludf.DUMMYFUNCTION("""COMPUTED_VALUE"""),"MAP")</f>
        <v>MAP</v>
      </c>
      <c r="Z86" s="145"/>
      <c r="AA86" s="158">
        <f ca="1">IFERROR(__xludf.DUMMYFUNCTION("""COMPUTED_VALUE"""),43)</f>
        <v>43</v>
      </c>
      <c r="AB86" s="176">
        <f ca="1">IFERROR(__xludf.DUMMYFUNCTION("""COMPUTED_VALUE"""),45475)</f>
        <v>45475</v>
      </c>
      <c r="AC86" s="157" t="str">
        <f ca="1">IFERROR(__xludf.DUMMYFUNCTION("""COMPUTED_VALUE"""),"20240702-43")</f>
        <v>20240702-43</v>
      </c>
      <c r="AD86" s="157" t="str">
        <f ca="1">IFERROR(__xludf.DUMMYFUNCTION("""COMPUTED_VALUE"""),"HF-Hayfield Farm")</f>
        <v>HF-Hayfield Farm</v>
      </c>
      <c r="AE86" s="157" t="str">
        <f ca="1">IFERROR(__xludf.DUMMYFUNCTION("""COMPUTED_VALUE"""),"GF-Great Falls")</f>
        <v>GF-Great Falls</v>
      </c>
      <c r="AF86" s="145"/>
      <c r="AG86" s="158"/>
      <c r="AH86" s="157"/>
    </row>
    <row r="87" spans="1:34" ht="13.2">
      <c r="A87" s="43"/>
      <c r="B87" s="43"/>
      <c r="C87" s="43"/>
      <c r="D87" s="43"/>
      <c r="E87" s="179"/>
      <c r="F87" s="179"/>
      <c r="G87" s="150"/>
      <c r="H87" s="150"/>
      <c r="I87" s="151"/>
      <c r="J87" s="151"/>
      <c r="K87" s="153"/>
      <c r="L87" s="153"/>
      <c r="M87" s="151"/>
      <c r="N87" s="151"/>
      <c r="O87" s="142"/>
      <c r="P87" s="142"/>
      <c r="Q87" s="162"/>
      <c r="R87" s="162"/>
      <c r="S87" s="162"/>
      <c r="T87" s="145"/>
      <c r="U87" s="168" t="str">
        <f ca="1">IFERROR(__xludf.DUMMYFUNCTION("""COMPUTED_VALUE"""),"Division V")</f>
        <v>Division V</v>
      </c>
      <c r="V87" s="162"/>
      <c r="W87" s="162"/>
      <c r="X87" s="162"/>
      <c r="Y87" s="162"/>
      <c r="Z87" s="145"/>
      <c r="AA87" s="170">
        <f ca="1">IFERROR(__xludf.DUMMYFUNCTION("""COMPUTED_VALUE"""),5)</f>
        <v>5</v>
      </c>
      <c r="AB87" s="171">
        <f ca="1">IFERROR(__xludf.DUMMYFUNCTION("""COMPUTED_VALUE"""),45475)</f>
        <v>45475</v>
      </c>
      <c r="AC87" s="162" t="str">
        <f ca="1">IFERROR(__xludf.DUMMYFUNCTION("""COMPUTED_VALUE"""),"")</f>
        <v/>
      </c>
      <c r="AD87" s="162" t="str">
        <f ca="1">IFERROR(__xludf.DUMMYFUNCTION("""COMPUTED_VALUE"""),"")</f>
        <v/>
      </c>
      <c r="AE87" s="162" t="str">
        <f ca="1">IFERROR(__xludf.DUMMYFUNCTION("""COMPUTED_VALUE"""),"")</f>
        <v/>
      </c>
      <c r="AF87" s="145"/>
      <c r="AG87" s="170"/>
      <c r="AH87" s="162"/>
    </row>
    <row r="88" spans="1:34" ht="13.2">
      <c r="A88" s="43"/>
      <c r="B88" s="43"/>
      <c r="C88" s="43"/>
      <c r="D88" s="43"/>
      <c r="E88" s="179"/>
      <c r="F88" s="179"/>
      <c r="G88" s="150"/>
      <c r="H88" s="150"/>
      <c r="I88" s="151"/>
      <c r="J88" s="151"/>
      <c r="K88" s="153"/>
      <c r="L88" s="153"/>
      <c r="M88" s="151"/>
      <c r="N88" s="151"/>
      <c r="O88" s="142"/>
      <c r="P88" s="142"/>
      <c r="Q88" s="157"/>
      <c r="R88" s="157"/>
      <c r="S88" s="157"/>
      <c r="T88" s="145"/>
      <c r="U88" s="174" t="str">
        <f ca="1">IFERROR(__xludf.DUMMYFUNCTION("""COMPUTED_VALUE"""),"Sideburn Run")</f>
        <v>Sideburn Run</v>
      </c>
      <c r="V88" s="157" t="str">
        <f ca="1">IFERROR(__xludf.DUMMYFUNCTION("""COMPUTED_VALUE"""),"at")</f>
        <v>at</v>
      </c>
      <c r="W88" s="157" t="str">
        <f ca="1">IFERROR(__xludf.DUMMYFUNCTION("""COMPUTED_VALUE"""),"Crosspointe")</f>
        <v>Crosspointe</v>
      </c>
      <c r="X88" s="175">
        <f ca="1">IFERROR(__xludf.DUMMYFUNCTION("""COMPUTED_VALUE"""),0.75)</f>
        <v>0.75</v>
      </c>
      <c r="Y88" s="157" t="str">
        <f ca="1">IFERROR(__xludf.DUMMYFUNCTION("""COMPUTED_VALUE"""),"MAP")</f>
        <v>MAP</v>
      </c>
      <c r="Z88" s="145"/>
      <c r="AA88" s="158">
        <f ca="1">IFERROR(__xludf.DUMMYFUNCTION("""COMPUTED_VALUE"""),51)</f>
        <v>51</v>
      </c>
      <c r="AB88" s="176">
        <f ca="1">IFERROR(__xludf.DUMMYFUNCTION("""COMPUTED_VALUE"""),45475)</f>
        <v>45475</v>
      </c>
      <c r="AC88" s="157" t="str">
        <f ca="1">IFERROR(__xludf.DUMMYFUNCTION("""COMPUTED_VALUE"""),"20240702-51")</f>
        <v>20240702-51</v>
      </c>
      <c r="AD88" s="157" t="str">
        <f ca="1">IFERROR(__xludf.DUMMYFUNCTION("""COMPUTED_VALUE"""),"CP-Crosspointe")</f>
        <v>CP-Crosspointe</v>
      </c>
      <c r="AE88" s="157" t="str">
        <f ca="1">IFERROR(__xludf.DUMMYFUNCTION("""COMPUTED_VALUE"""),"SR-Sideburn Run")</f>
        <v>SR-Sideburn Run</v>
      </c>
      <c r="AF88" s="145"/>
      <c r="AG88" s="158"/>
      <c r="AH88" s="157"/>
    </row>
    <row r="89" spans="1:34" ht="13.2">
      <c r="A89" s="43"/>
      <c r="B89" s="43"/>
      <c r="C89" s="43"/>
      <c r="D89" s="43"/>
      <c r="E89" s="179"/>
      <c r="F89" s="179"/>
      <c r="G89" s="150"/>
      <c r="H89" s="150"/>
      <c r="I89" s="151"/>
      <c r="J89" s="151"/>
      <c r="K89" s="153"/>
      <c r="L89" s="153"/>
      <c r="M89" s="151"/>
      <c r="N89" s="151"/>
      <c r="O89" s="142"/>
      <c r="P89" s="142"/>
      <c r="Q89" s="162"/>
      <c r="R89" s="162"/>
      <c r="S89" s="162"/>
      <c r="T89" s="145"/>
      <c r="U89" s="168" t="str">
        <f ca="1">IFERROR(__xludf.DUMMYFUNCTION("""COMPUTED_VALUE"""),"Lakeview")</f>
        <v>Lakeview</v>
      </c>
      <c r="V89" s="162" t="str">
        <f ca="1">IFERROR(__xludf.DUMMYFUNCTION("""COMPUTED_VALUE"""),"at")</f>
        <v>at</v>
      </c>
      <c r="W89" s="162" t="str">
        <f ca="1">IFERROR(__xludf.DUMMYFUNCTION("""COMPUTED_VALUE"""),"Cardinal Hill")</f>
        <v>Cardinal Hill</v>
      </c>
      <c r="X89" s="169">
        <f ca="1">IFERROR(__xludf.DUMMYFUNCTION("""COMPUTED_VALUE"""),0.75)</f>
        <v>0.75</v>
      </c>
      <c r="Y89" s="162" t="str">
        <f ca="1">IFERROR(__xludf.DUMMYFUNCTION("""COMPUTED_VALUE"""),"MAP")</f>
        <v>MAP</v>
      </c>
      <c r="Z89" s="145"/>
      <c r="AA89" s="170">
        <f ca="1">IFERROR(__xludf.DUMMYFUNCTION("""COMPUTED_VALUE"""),52)</f>
        <v>52</v>
      </c>
      <c r="AB89" s="171">
        <f ca="1">IFERROR(__xludf.DUMMYFUNCTION("""COMPUTED_VALUE"""),45475)</f>
        <v>45475</v>
      </c>
      <c r="AC89" s="162" t="str">
        <f ca="1">IFERROR(__xludf.DUMMYFUNCTION("""COMPUTED_VALUE"""),"20240702-52")</f>
        <v>20240702-52</v>
      </c>
      <c r="AD89" s="162" t="str">
        <f ca="1">IFERROR(__xludf.DUMMYFUNCTION("""COMPUTED_VALUE"""),"CH-Cardinal Hill")</f>
        <v>CH-Cardinal Hill</v>
      </c>
      <c r="AE89" s="162" t="str">
        <f ca="1">IFERROR(__xludf.DUMMYFUNCTION("""COMPUTED_VALUE"""),"LV-Lakeview")</f>
        <v>LV-Lakeview</v>
      </c>
      <c r="AF89" s="145"/>
      <c r="AG89" s="170"/>
      <c r="AH89" s="162"/>
    </row>
    <row r="90" spans="1:34" ht="13.2">
      <c r="A90" s="43"/>
      <c r="B90" s="43"/>
      <c r="C90" s="43"/>
      <c r="D90" s="43"/>
      <c r="E90" s="179"/>
      <c r="F90" s="179"/>
      <c r="G90" s="150"/>
      <c r="H90" s="150"/>
      <c r="I90" s="151"/>
      <c r="J90" s="151"/>
      <c r="K90" s="153"/>
      <c r="L90" s="153"/>
      <c r="M90" s="151"/>
      <c r="N90" s="151"/>
      <c r="O90" s="142"/>
      <c r="P90" s="142"/>
      <c r="Q90" s="157"/>
      <c r="R90" s="157"/>
      <c r="S90" s="157"/>
      <c r="T90" s="145"/>
      <c r="U90" s="174" t="str">
        <f ca="1">IFERROR(__xludf.DUMMYFUNCTION("""COMPUTED_VALUE"""),"Ravensworth Farm")</f>
        <v>Ravensworth Farm</v>
      </c>
      <c r="V90" s="157" t="str">
        <f ca="1">IFERROR(__xludf.DUMMYFUNCTION("""COMPUTED_VALUE"""),"at")</f>
        <v>at</v>
      </c>
      <c r="W90" s="157" t="str">
        <f ca="1">IFERROR(__xludf.DUMMYFUNCTION("""COMPUTED_VALUE"""),"Camelot")</f>
        <v>Camelot</v>
      </c>
      <c r="X90" s="175">
        <f ca="1">IFERROR(__xludf.DUMMYFUNCTION("""COMPUTED_VALUE"""),0.75)</f>
        <v>0.75</v>
      </c>
      <c r="Y90" s="157" t="str">
        <f ca="1">IFERROR(__xludf.DUMMYFUNCTION("""COMPUTED_VALUE"""),"MAP")</f>
        <v>MAP</v>
      </c>
      <c r="Z90" s="145"/>
      <c r="AA90" s="158">
        <f ca="1">IFERROR(__xludf.DUMMYFUNCTION("""COMPUTED_VALUE"""),53)</f>
        <v>53</v>
      </c>
      <c r="AB90" s="176">
        <f ca="1">IFERROR(__xludf.DUMMYFUNCTION("""COMPUTED_VALUE"""),45475)</f>
        <v>45475</v>
      </c>
      <c r="AC90" s="157" t="str">
        <f ca="1">IFERROR(__xludf.DUMMYFUNCTION("""COMPUTED_VALUE"""),"20240702-53")</f>
        <v>20240702-53</v>
      </c>
      <c r="AD90" s="157" t="str">
        <f ca="1">IFERROR(__xludf.DUMMYFUNCTION("""COMPUTED_VALUE"""),"CCC-Camelot Community Club")</f>
        <v>CCC-Camelot Community Club</v>
      </c>
      <c r="AE90" s="157" t="str">
        <f ca="1">IFERROR(__xludf.DUMMYFUNCTION("""COMPUTED_VALUE"""),"R-Ravensworth Farm")</f>
        <v>R-Ravensworth Farm</v>
      </c>
      <c r="AF90" s="145"/>
      <c r="AG90" s="158"/>
      <c r="AH90" s="157"/>
    </row>
    <row r="91" spans="1:34" ht="13.2">
      <c r="A91" s="43"/>
      <c r="B91" s="43"/>
      <c r="C91" s="43"/>
      <c r="D91" s="43"/>
      <c r="E91" s="179"/>
      <c r="F91" s="179"/>
      <c r="G91" s="150"/>
      <c r="H91" s="150"/>
      <c r="I91" s="151"/>
      <c r="J91" s="151"/>
      <c r="K91" s="153"/>
      <c r="L91" s="153"/>
      <c r="M91" s="151"/>
      <c r="N91" s="151"/>
      <c r="O91" s="142"/>
      <c r="P91" s="142"/>
      <c r="Q91" s="162"/>
      <c r="R91" s="162"/>
      <c r="S91" s="162"/>
      <c r="T91" s="145"/>
      <c r="U91" s="168" t="str">
        <f ca="1">IFERROR(__xludf.DUMMYFUNCTION("""COMPUTED_VALUE"""),"Division VI")</f>
        <v>Division VI</v>
      </c>
      <c r="V91" s="162"/>
      <c r="W91" s="162"/>
      <c r="X91" s="162"/>
      <c r="Y91" s="162"/>
      <c r="Z91" s="145"/>
      <c r="AA91" s="170">
        <f ca="1">IFERROR(__xludf.DUMMYFUNCTION("""COMPUTED_VALUE"""),6)</f>
        <v>6</v>
      </c>
      <c r="AB91" s="171">
        <f ca="1">IFERROR(__xludf.DUMMYFUNCTION("""COMPUTED_VALUE"""),45475)</f>
        <v>45475</v>
      </c>
      <c r="AC91" s="162" t="str">
        <f ca="1">IFERROR(__xludf.DUMMYFUNCTION("""COMPUTED_VALUE"""),"")</f>
        <v/>
      </c>
      <c r="AD91" s="162" t="str">
        <f ca="1">IFERROR(__xludf.DUMMYFUNCTION("""COMPUTED_VALUE"""),"")</f>
        <v/>
      </c>
      <c r="AE91" s="162" t="str">
        <f ca="1">IFERROR(__xludf.DUMMYFUNCTION("""COMPUTED_VALUE"""),"")</f>
        <v/>
      </c>
      <c r="AF91" s="145"/>
      <c r="AG91" s="170"/>
      <c r="AH91" s="162"/>
    </row>
    <row r="92" spans="1:34" ht="13.2">
      <c r="A92" s="43"/>
      <c r="B92" s="43"/>
      <c r="C92" s="43"/>
      <c r="D92" s="43"/>
      <c r="E92" s="179"/>
      <c r="F92" s="179"/>
      <c r="G92" s="150"/>
      <c r="H92" s="150"/>
      <c r="I92" s="151"/>
      <c r="J92" s="151"/>
      <c r="K92" s="153"/>
      <c r="L92" s="153"/>
      <c r="M92" s="151"/>
      <c r="N92" s="151"/>
      <c r="O92" s="142"/>
      <c r="P92" s="142"/>
      <c r="Q92" s="157"/>
      <c r="R92" s="157"/>
      <c r="S92" s="157"/>
      <c r="T92" s="145"/>
      <c r="U92" s="174" t="str">
        <f ca="1">IFERROR(__xludf.DUMMYFUNCTION("""COMPUTED_VALUE"""),"Mantua")</f>
        <v>Mantua</v>
      </c>
      <c r="V92" s="157" t="str">
        <f ca="1">IFERROR(__xludf.DUMMYFUNCTION("""COMPUTED_VALUE"""),"at")</f>
        <v>at</v>
      </c>
      <c r="W92" s="157" t="str">
        <f ca="1">IFERROR(__xludf.DUMMYFUNCTION("""COMPUTED_VALUE"""),"Mansion House")</f>
        <v>Mansion House</v>
      </c>
      <c r="X92" s="175">
        <f ca="1">IFERROR(__xludf.DUMMYFUNCTION("""COMPUTED_VALUE"""),0.75)</f>
        <v>0.75</v>
      </c>
      <c r="Y92" s="157" t="str">
        <f ca="1">IFERROR(__xludf.DUMMYFUNCTION("""COMPUTED_VALUE"""),"MAP")</f>
        <v>MAP</v>
      </c>
      <c r="Z92" s="145"/>
      <c r="AA92" s="158">
        <f ca="1">IFERROR(__xludf.DUMMYFUNCTION("""COMPUTED_VALUE"""),61)</f>
        <v>61</v>
      </c>
      <c r="AB92" s="176">
        <f ca="1">IFERROR(__xludf.DUMMYFUNCTION("""COMPUTED_VALUE"""),45475)</f>
        <v>45475</v>
      </c>
      <c r="AC92" s="157" t="str">
        <f ca="1">IFERROR(__xludf.DUMMYFUNCTION("""COMPUTED_VALUE"""),"20240702-61")</f>
        <v>20240702-61</v>
      </c>
      <c r="AD92" s="157" t="str">
        <f ca="1">IFERROR(__xludf.DUMMYFUNCTION("""COMPUTED_VALUE"""),"MHC-Mansion House")</f>
        <v>MHC-Mansion House</v>
      </c>
      <c r="AE92" s="157" t="str">
        <f ca="1">IFERROR(__xludf.DUMMYFUNCTION("""COMPUTED_VALUE"""),"M-Mantua")</f>
        <v>M-Mantua</v>
      </c>
      <c r="AF92" s="145"/>
      <c r="AG92" s="158"/>
      <c r="AH92" s="157"/>
    </row>
    <row r="93" spans="1:34" ht="13.2">
      <c r="A93" s="43"/>
      <c r="B93" s="43"/>
      <c r="C93" s="43"/>
      <c r="D93" s="43"/>
      <c r="E93" s="179"/>
      <c r="F93" s="179"/>
      <c r="G93" s="150"/>
      <c r="H93" s="150"/>
      <c r="I93" s="151"/>
      <c r="J93" s="151"/>
      <c r="K93" s="153"/>
      <c r="L93" s="153"/>
      <c r="M93" s="151"/>
      <c r="N93" s="151"/>
      <c r="O93" s="142"/>
      <c r="P93" s="142"/>
      <c r="Q93" s="162"/>
      <c r="R93" s="162"/>
      <c r="S93" s="162"/>
      <c r="T93" s="145"/>
      <c r="U93" s="168" t="str">
        <f ca="1">IFERROR(__xludf.DUMMYFUNCTION("""COMPUTED_VALUE"""),"Parklawn")</f>
        <v>Parklawn</v>
      </c>
      <c r="V93" s="162" t="str">
        <f ca="1">IFERROR(__xludf.DUMMYFUNCTION("""COMPUTED_VALUE"""),"at")</f>
        <v>at</v>
      </c>
      <c r="W93" s="162" t="str">
        <f ca="1">IFERROR(__xludf.DUMMYFUNCTION("""COMPUTED_VALUE"""),"Tuckahoe")</f>
        <v>Tuckahoe</v>
      </c>
      <c r="X93" s="169">
        <f ca="1">IFERROR(__xludf.DUMMYFUNCTION("""COMPUTED_VALUE"""),0.75)</f>
        <v>0.75</v>
      </c>
      <c r="Y93" s="162" t="str">
        <f ca="1">IFERROR(__xludf.DUMMYFUNCTION("""COMPUTED_VALUE"""),"MAP")</f>
        <v>MAP</v>
      </c>
      <c r="Z93" s="145"/>
      <c r="AA93" s="170">
        <f ca="1">IFERROR(__xludf.DUMMYFUNCTION("""COMPUTED_VALUE"""),62)</f>
        <v>62</v>
      </c>
      <c r="AB93" s="171">
        <f ca="1">IFERROR(__xludf.DUMMYFUNCTION("""COMPUTED_VALUE"""),45475)</f>
        <v>45475</v>
      </c>
      <c r="AC93" s="162" t="str">
        <f ca="1">IFERROR(__xludf.DUMMYFUNCTION("""COMPUTED_VALUE"""),"20240702-62")</f>
        <v>20240702-62</v>
      </c>
      <c r="AD93" s="162" t="str">
        <f ca="1">IFERROR(__xludf.DUMMYFUNCTION("""COMPUTED_VALUE"""),"T-Tuckahoe")</f>
        <v>T-Tuckahoe</v>
      </c>
      <c r="AE93" s="162" t="str">
        <f ca="1">IFERROR(__xludf.DUMMYFUNCTION("""COMPUTED_VALUE"""),"PL-Parklawn")</f>
        <v>PL-Parklawn</v>
      </c>
      <c r="AF93" s="145"/>
      <c r="AG93" s="170"/>
      <c r="AH93" s="162"/>
    </row>
    <row r="94" spans="1:34" ht="13.2">
      <c r="A94" s="43"/>
      <c r="B94" s="43"/>
      <c r="C94" s="43"/>
      <c r="D94" s="43"/>
      <c r="E94" s="179"/>
      <c r="F94" s="179"/>
      <c r="G94" s="150"/>
      <c r="H94" s="150"/>
      <c r="I94" s="151"/>
      <c r="J94" s="151"/>
      <c r="K94" s="153"/>
      <c r="L94" s="153"/>
      <c r="M94" s="151"/>
      <c r="N94" s="151"/>
      <c r="O94" s="142"/>
      <c r="P94" s="142"/>
      <c r="Q94" s="157"/>
      <c r="R94" s="157"/>
      <c r="S94" s="157"/>
      <c r="T94" s="145"/>
      <c r="U94" s="174" t="str">
        <f ca="1">IFERROR(__xludf.DUMMYFUNCTION("""COMPUTED_VALUE"""),"Wakefield Chapel")</f>
        <v>Wakefield Chapel</v>
      </c>
      <c r="V94" s="157" t="str">
        <f ca="1">IFERROR(__xludf.DUMMYFUNCTION("""COMPUTED_VALUE"""),"at")</f>
        <v>at</v>
      </c>
      <c r="W94" s="157" t="str">
        <f ca="1">IFERROR(__xludf.DUMMYFUNCTION("""COMPUTED_VALUE"""),"Sleepy Hollow B &amp; R")</f>
        <v>Sleepy Hollow B &amp; R</v>
      </c>
      <c r="X94" s="175">
        <f ca="1">IFERROR(__xludf.DUMMYFUNCTION("""COMPUTED_VALUE"""),0.75)</f>
        <v>0.75</v>
      </c>
      <c r="Y94" s="157" t="str">
        <f ca="1">IFERROR(__xludf.DUMMYFUNCTION("""COMPUTED_VALUE"""),"MAP")</f>
        <v>MAP</v>
      </c>
      <c r="Z94" s="145"/>
      <c r="AA94" s="158">
        <f ca="1">IFERROR(__xludf.DUMMYFUNCTION("""COMPUTED_VALUE"""),63)</f>
        <v>63</v>
      </c>
      <c r="AB94" s="176">
        <f ca="1">IFERROR(__xludf.DUMMYFUNCTION("""COMPUTED_VALUE"""),45475)</f>
        <v>45475</v>
      </c>
      <c r="AC94" s="157" t="str">
        <f ca="1">IFERROR(__xludf.DUMMYFUNCTION("""COMPUTED_VALUE"""),"20240702-63")</f>
        <v>20240702-63</v>
      </c>
      <c r="AD94" s="157" t="str">
        <f ca="1">IFERROR(__xludf.DUMMYFUNCTION("""COMPUTED_VALUE"""),"SHB-Sleepy Hollow Bath")</f>
        <v>SHB-Sleepy Hollow Bath</v>
      </c>
      <c r="AE94" s="157" t="str">
        <f ca="1">IFERROR(__xludf.DUMMYFUNCTION("""COMPUTED_VALUE"""),"WC-Wakefield Chapel")</f>
        <v>WC-Wakefield Chapel</v>
      </c>
      <c r="AF94" s="145"/>
      <c r="AG94" s="158"/>
      <c r="AH94" s="157"/>
    </row>
    <row r="95" spans="1:34" ht="13.2">
      <c r="A95" s="43"/>
      <c r="B95" s="43"/>
      <c r="C95" s="43"/>
      <c r="D95" s="43"/>
      <c r="E95" s="179"/>
      <c r="F95" s="179"/>
      <c r="G95" s="150"/>
      <c r="H95" s="150"/>
      <c r="I95" s="151"/>
      <c r="J95" s="151"/>
      <c r="K95" s="153"/>
      <c r="L95" s="153"/>
      <c r="M95" s="151"/>
      <c r="N95" s="151"/>
      <c r="O95" s="142"/>
      <c r="P95" s="142"/>
      <c r="Q95" s="162"/>
      <c r="R95" s="162"/>
      <c r="S95" s="162"/>
      <c r="T95" s="145"/>
      <c r="U95" s="168" t="str">
        <f ca="1">IFERROR(__xludf.DUMMYFUNCTION("""COMPUTED_VALUE"""),"Division VII")</f>
        <v>Division VII</v>
      </c>
      <c r="V95" s="162"/>
      <c r="W95" s="162"/>
      <c r="X95" s="162"/>
      <c r="Y95" s="162"/>
      <c r="Z95" s="145"/>
      <c r="AA95" s="170">
        <f ca="1">IFERROR(__xludf.DUMMYFUNCTION("""COMPUTED_VALUE"""),7)</f>
        <v>7</v>
      </c>
      <c r="AB95" s="171">
        <f ca="1">IFERROR(__xludf.DUMMYFUNCTION("""COMPUTED_VALUE"""),45475)</f>
        <v>45475</v>
      </c>
      <c r="AC95" s="162" t="str">
        <f ca="1">IFERROR(__xludf.DUMMYFUNCTION("""COMPUTED_VALUE"""),"")</f>
        <v/>
      </c>
      <c r="AD95" s="162" t="str">
        <f ca="1">IFERROR(__xludf.DUMMYFUNCTION("""COMPUTED_VALUE"""),"")</f>
        <v/>
      </c>
      <c r="AE95" s="162" t="str">
        <f ca="1">IFERROR(__xludf.DUMMYFUNCTION("""COMPUTED_VALUE"""),"")</f>
        <v/>
      </c>
      <c r="AF95" s="145"/>
      <c r="AG95" s="170"/>
      <c r="AH95" s="162"/>
    </row>
    <row r="96" spans="1:34" ht="13.2">
      <c r="A96" s="43"/>
      <c r="B96" s="43"/>
      <c r="C96" s="43"/>
      <c r="D96" s="43"/>
      <c r="E96" s="179"/>
      <c r="F96" s="179"/>
      <c r="G96" s="150"/>
      <c r="H96" s="150"/>
      <c r="I96" s="151"/>
      <c r="J96" s="151"/>
      <c r="K96" s="153"/>
      <c r="L96" s="153"/>
      <c r="M96" s="151"/>
      <c r="N96" s="151"/>
      <c r="O96" s="142"/>
      <c r="P96" s="142"/>
      <c r="Q96" s="157"/>
      <c r="R96" s="157"/>
      <c r="S96" s="157"/>
      <c r="T96" s="145"/>
      <c r="U96" s="174" t="str">
        <f ca="1">IFERROR(__xludf.DUMMYFUNCTION("""COMPUTED_VALUE"""),"Commonwealth")</f>
        <v>Commonwealth</v>
      </c>
      <c r="V96" s="157" t="str">
        <f ca="1">IFERROR(__xludf.DUMMYFUNCTION("""COMPUTED_VALUE"""),"at")</f>
        <v>at</v>
      </c>
      <c r="W96" s="157" t="str">
        <f ca="1">IFERROR(__xludf.DUMMYFUNCTION("""COMPUTED_VALUE"""),"Rutherford")</f>
        <v>Rutherford</v>
      </c>
      <c r="X96" s="175">
        <f ca="1">IFERROR(__xludf.DUMMYFUNCTION("""COMPUTED_VALUE"""),0.75)</f>
        <v>0.75</v>
      </c>
      <c r="Y96" s="157" t="str">
        <f ca="1">IFERROR(__xludf.DUMMYFUNCTION("""COMPUTED_VALUE"""),"MAP")</f>
        <v>MAP</v>
      </c>
      <c r="Z96" s="145"/>
      <c r="AA96" s="158">
        <f ca="1">IFERROR(__xludf.DUMMYFUNCTION("""COMPUTED_VALUE"""),71)</f>
        <v>71</v>
      </c>
      <c r="AB96" s="176">
        <f ca="1">IFERROR(__xludf.DUMMYFUNCTION("""COMPUTED_VALUE"""),45475)</f>
        <v>45475</v>
      </c>
      <c r="AC96" s="157" t="str">
        <f ca="1">IFERROR(__xludf.DUMMYFUNCTION("""COMPUTED_VALUE"""),"20240702-71")</f>
        <v>20240702-71</v>
      </c>
      <c r="AD96" s="157" t="str">
        <f ca="1">IFERROR(__xludf.DUMMYFUNCTION("""COMPUTED_VALUE"""),"RFD-Rutherford")</f>
        <v>RFD-Rutherford</v>
      </c>
      <c r="AE96" s="157" t="str">
        <f ca="1">IFERROR(__xludf.DUMMYFUNCTION("""COMPUTED_VALUE"""),"CSC-Commonwealth Swim Club")</f>
        <v>CSC-Commonwealth Swim Club</v>
      </c>
      <c r="AF96" s="145"/>
      <c r="AG96" s="158"/>
      <c r="AH96" s="157"/>
    </row>
    <row r="97" spans="1:34" ht="13.2">
      <c r="A97" s="43"/>
      <c r="B97" s="43"/>
      <c r="C97" s="43"/>
      <c r="D97" s="43"/>
      <c r="E97" s="179"/>
      <c r="F97" s="179"/>
      <c r="G97" s="150"/>
      <c r="H97" s="150"/>
      <c r="I97" s="151"/>
      <c r="J97" s="151"/>
      <c r="K97" s="153"/>
      <c r="L97" s="153"/>
      <c r="M97" s="151"/>
      <c r="N97" s="151"/>
      <c r="O97" s="142"/>
      <c r="P97" s="142"/>
      <c r="Q97" s="162"/>
      <c r="R97" s="162"/>
      <c r="S97" s="162"/>
      <c r="T97" s="145"/>
      <c r="U97" s="168" t="str">
        <f ca="1">IFERROR(__xludf.DUMMYFUNCTION("""COMPUTED_VALUE"""),"Springfield")</f>
        <v>Springfield</v>
      </c>
      <c r="V97" s="162" t="str">
        <f ca="1">IFERROR(__xludf.DUMMYFUNCTION("""COMPUTED_VALUE"""),"at")</f>
        <v>at</v>
      </c>
      <c r="W97" s="162" t="str">
        <f ca="1">IFERROR(__xludf.DUMMYFUNCTION("""COMPUTED_VALUE"""),"North Springfield")</f>
        <v>North Springfield</v>
      </c>
      <c r="X97" s="169">
        <f ca="1">IFERROR(__xludf.DUMMYFUNCTION("""COMPUTED_VALUE"""),0.75)</f>
        <v>0.75</v>
      </c>
      <c r="Y97" s="162" t="str">
        <f ca="1">IFERROR(__xludf.DUMMYFUNCTION("""COMPUTED_VALUE"""),"MAP")</f>
        <v>MAP</v>
      </c>
      <c r="Z97" s="145"/>
      <c r="AA97" s="170">
        <f ca="1">IFERROR(__xludf.DUMMYFUNCTION("""COMPUTED_VALUE"""),72)</f>
        <v>72</v>
      </c>
      <c r="AB97" s="171">
        <f ca="1">IFERROR(__xludf.DUMMYFUNCTION("""COMPUTED_VALUE"""),45475)</f>
        <v>45475</v>
      </c>
      <c r="AC97" s="162" t="str">
        <f ca="1">IFERROR(__xludf.DUMMYFUNCTION("""COMPUTED_VALUE"""),"20240702-72")</f>
        <v>20240702-72</v>
      </c>
      <c r="AD97" s="162" t="str">
        <f ca="1">IFERROR(__xludf.DUMMYFUNCTION("""COMPUTED_VALUE"""),"NS-North Springfield")</f>
        <v>NS-North Springfield</v>
      </c>
      <c r="AE97" s="162" t="str">
        <f ca="1">IFERROR(__xludf.DUMMYFUNCTION("""COMPUTED_VALUE"""),"S-Springfield")</f>
        <v>S-Springfield</v>
      </c>
      <c r="AF97" s="145"/>
      <c r="AG97" s="170"/>
      <c r="AH97" s="162"/>
    </row>
    <row r="98" spans="1:34" ht="13.2">
      <c r="A98" s="43"/>
      <c r="B98" s="43"/>
      <c r="C98" s="43"/>
      <c r="D98" s="43"/>
      <c r="E98" s="179"/>
      <c r="F98" s="179"/>
      <c r="G98" s="150"/>
      <c r="H98" s="150"/>
      <c r="I98" s="151"/>
      <c r="J98" s="151"/>
      <c r="K98" s="153"/>
      <c r="L98" s="153"/>
      <c r="M98" s="151"/>
      <c r="N98" s="151"/>
      <c r="O98" s="142"/>
      <c r="P98" s="142"/>
      <c r="Q98" s="157"/>
      <c r="R98" s="157"/>
      <c r="S98" s="157"/>
      <c r="T98" s="145"/>
      <c r="U98" s="174" t="str">
        <f ca="1">IFERROR(__xludf.DUMMYFUNCTION("""COMPUTED_VALUE"""),"Annandale")</f>
        <v>Annandale</v>
      </c>
      <c r="V98" s="157" t="str">
        <f ca="1">IFERROR(__xludf.DUMMYFUNCTION("""COMPUTED_VALUE"""),"at")</f>
        <v>at</v>
      </c>
      <c r="W98" s="157" t="str">
        <f ca="1">IFERROR(__xludf.DUMMYFUNCTION("""COMPUTED_VALUE"""),"Arlington Forest")</f>
        <v>Arlington Forest</v>
      </c>
      <c r="X98" s="175">
        <f ca="1">IFERROR(__xludf.DUMMYFUNCTION("""COMPUTED_VALUE"""),0.75)</f>
        <v>0.75</v>
      </c>
      <c r="Y98" s="157" t="str">
        <f ca="1">IFERROR(__xludf.DUMMYFUNCTION("""COMPUTED_VALUE"""),"MAP")</f>
        <v>MAP</v>
      </c>
      <c r="Z98" s="145"/>
      <c r="AA98" s="158">
        <f ca="1">IFERROR(__xludf.DUMMYFUNCTION("""COMPUTED_VALUE"""),73)</f>
        <v>73</v>
      </c>
      <c r="AB98" s="176">
        <f ca="1">IFERROR(__xludf.DUMMYFUNCTION("""COMPUTED_VALUE"""),45475)</f>
        <v>45475</v>
      </c>
      <c r="AC98" s="157" t="str">
        <f ca="1">IFERROR(__xludf.DUMMYFUNCTION("""COMPUTED_VALUE"""),"20240702-73")</f>
        <v>20240702-73</v>
      </c>
      <c r="AD98" s="157" t="str">
        <f ca="1">IFERROR(__xludf.DUMMYFUNCTION("""COMPUTED_VALUE"""),"AF-Arlington Forest")</f>
        <v>AF-Arlington Forest</v>
      </c>
      <c r="AE98" s="157" t="str">
        <f ca="1">IFERROR(__xludf.DUMMYFUNCTION("""COMPUTED_VALUE"""),"A-Annandale")</f>
        <v>A-Annandale</v>
      </c>
      <c r="AF98" s="145"/>
      <c r="AG98" s="158"/>
      <c r="AH98" s="157"/>
    </row>
    <row r="99" spans="1:34" ht="13.2">
      <c r="A99" s="43"/>
      <c r="B99" s="43"/>
      <c r="C99" s="43"/>
      <c r="D99" s="43"/>
      <c r="E99" s="179"/>
      <c r="F99" s="179"/>
      <c r="G99" s="150"/>
      <c r="H99" s="150"/>
      <c r="I99" s="151"/>
      <c r="J99" s="151"/>
      <c r="K99" s="153"/>
      <c r="L99" s="153"/>
      <c r="M99" s="151"/>
      <c r="N99" s="151"/>
      <c r="O99" s="142"/>
      <c r="P99" s="142"/>
      <c r="Q99" s="162"/>
      <c r="R99" s="162"/>
      <c r="S99" s="162"/>
      <c r="T99" s="145"/>
      <c r="U99" s="168" t="str">
        <f ca="1">IFERROR(__xludf.DUMMYFUNCTION("""COMPUTED_VALUE"""),"Division VIII")</f>
        <v>Division VIII</v>
      </c>
      <c r="V99" s="162"/>
      <c r="W99" s="162"/>
      <c r="X99" s="162"/>
      <c r="Y99" s="162"/>
      <c r="Z99" s="145"/>
      <c r="AA99" s="170">
        <f ca="1">IFERROR(__xludf.DUMMYFUNCTION("""COMPUTED_VALUE"""),8)</f>
        <v>8</v>
      </c>
      <c r="AB99" s="171">
        <f ca="1">IFERROR(__xludf.DUMMYFUNCTION("""COMPUTED_VALUE"""),45475)</f>
        <v>45475</v>
      </c>
      <c r="AC99" s="162" t="str">
        <f ca="1">IFERROR(__xludf.DUMMYFUNCTION("""COMPUTED_VALUE"""),"")</f>
        <v/>
      </c>
      <c r="AD99" s="162" t="str">
        <f ca="1">IFERROR(__xludf.DUMMYFUNCTION("""COMPUTED_VALUE"""),"")</f>
        <v/>
      </c>
      <c r="AE99" s="162" t="str">
        <f ca="1">IFERROR(__xludf.DUMMYFUNCTION("""COMPUTED_VALUE"""),"")</f>
        <v/>
      </c>
      <c r="AF99" s="145"/>
      <c r="AG99" s="170"/>
      <c r="AH99" s="162"/>
    </row>
    <row r="100" spans="1:34" ht="13.2">
      <c r="A100" s="43"/>
      <c r="B100" s="43"/>
      <c r="C100" s="43"/>
      <c r="D100" s="43"/>
      <c r="E100" s="179"/>
      <c r="F100" s="179"/>
      <c r="G100" s="150"/>
      <c r="H100" s="150"/>
      <c r="I100" s="151"/>
      <c r="J100" s="151"/>
      <c r="K100" s="153"/>
      <c r="L100" s="153"/>
      <c r="M100" s="151"/>
      <c r="N100" s="151"/>
      <c r="O100" s="142"/>
      <c r="P100" s="142"/>
      <c r="Q100" s="157"/>
      <c r="R100" s="157"/>
      <c r="S100" s="157"/>
      <c r="T100" s="145"/>
      <c r="U100" s="174" t="str">
        <f ca="1">IFERROR(__xludf.DUMMYFUNCTION("""COMPUTED_VALUE"""),"Pinecrest")</f>
        <v>Pinecrest</v>
      </c>
      <c r="V100" s="157" t="str">
        <f ca="1">IFERROR(__xludf.DUMMYFUNCTION("""COMPUTED_VALUE"""),"at")</f>
        <v>at</v>
      </c>
      <c r="W100" s="157" t="str">
        <f ca="1">IFERROR(__xludf.DUMMYFUNCTION("""COMPUTED_VALUE"""),"Orange Hunt")</f>
        <v>Orange Hunt</v>
      </c>
      <c r="X100" s="175">
        <f ca="1">IFERROR(__xludf.DUMMYFUNCTION("""COMPUTED_VALUE"""),0.75)</f>
        <v>0.75</v>
      </c>
      <c r="Y100" s="157" t="str">
        <f ca="1">IFERROR(__xludf.DUMMYFUNCTION("""COMPUTED_VALUE"""),"MAP")</f>
        <v>MAP</v>
      </c>
      <c r="Z100" s="145"/>
      <c r="AA100" s="158">
        <f ca="1">IFERROR(__xludf.DUMMYFUNCTION("""COMPUTED_VALUE"""),81)</f>
        <v>81</v>
      </c>
      <c r="AB100" s="176">
        <f ca="1">IFERROR(__xludf.DUMMYFUNCTION("""COMPUTED_VALUE"""),45475)</f>
        <v>45475</v>
      </c>
      <c r="AC100" s="157" t="str">
        <f ca="1">IFERROR(__xludf.DUMMYFUNCTION("""COMPUTED_VALUE"""),"20240702-81")</f>
        <v>20240702-81</v>
      </c>
      <c r="AD100" s="157" t="str">
        <f ca="1">IFERROR(__xludf.DUMMYFUNCTION("""COMPUTED_VALUE"""),"OH-Orange Hunt")</f>
        <v>OH-Orange Hunt</v>
      </c>
      <c r="AE100" s="157" t="str">
        <f ca="1">IFERROR(__xludf.DUMMYFUNCTION("""COMPUTED_VALUE"""),"PC-Pinecrest")</f>
        <v>PC-Pinecrest</v>
      </c>
      <c r="AF100" s="145"/>
      <c r="AG100" s="158"/>
      <c r="AH100" s="157"/>
    </row>
    <row r="101" spans="1:34" ht="13.2">
      <c r="A101" s="43"/>
      <c r="B101" s="43"/>
      <c r="C101" s="43"/>
      <c r="D101" s="43"/>
      <c r="E101" s="179"/>
      <c r="F101" s="179"/>
      <c r="G101" s="150"/>
      <c r="H101" s="150"/>
      <c r="I101" s="151"/>
      <c r="J101" s="151"/>
      <c r="K101" s="153"/>
      <c r="L101" s="153"/>
      <c r="M101" s="151"/>
      <c r="N101" s="151"/>
      <c r="O101" s="142"/>
      <c r="P101" s="142"/>
      <c r="Q101" s="162"/>
      <c r="R101" s="162"/>
      <c r="S101" s="162"/>
      <c r="T101" s="145"/>
      <c r="U101" s="168" t="str">
        <f ca="1">IFERROR(__xludf.DUMMYFUNCTION("""COMPUTED_VALUE"""),"Ilda Community")</f>
        <v>Ilda Community</v>
      </c>
      <c r="V101" s="162" t="str">
        <f ca="1">IFERROR(__xludf.DUMMYFUNCTION("""COMPUTED_VALUE"""),"at")</f>
        <v>at</v>
      </c>
      <c r="W101" s="162" t="str">
        <f ca="1">IFERROR(__xludf.DUMMYFUNCTION("""COMPUTED_VALUE"""),"Stratford")</f>
        <v>Stratford</v>
      </c>
      <c r="X101" s="169">
        <f ca="1">IFERROR(__xludf.DUMMYFUNCTION("""COMPUTED_VALUE"""),0.75)</f>
        <v>0.75</v>
      </c>
      <c r="Y101" s="162" t="str">
        <f ca="1">IFERROR(__xludf.DUMMYFUNCTION("""COMPUTED_VALUE"""),"MAP")</f>
        <v>MAP</v>
      </c>
      <c r="Z101" s="145"/>
      <c r="AA101" s="170">
        <f ca="1">IFERROR(__xludf.DUMMYFUNCTION("""COMPUTED_VALUE"""),82)</f>
        <v>82</v>
      </c>
      <c r="AB101" s="171">
        <f ca="1">IFERROR(__xludf.DUMMYFUNCTION("""COMPUTED_VALUE"""),45475)</f>
        <v>45475</v>
      </c>
      <c r="AC101" s="162" t="str">
        <f ca="1">IFERROR(__xludf.DUMMYFUNCTION("""COMPUTED_VALUE"""),"20240702-82")</f>
        <v>20240702-82</v>
      </c>
      <c r="AD101" s="162" t="str">
        <f ca="1">IFERROR(__xludf.DUMMYFUNCTION("""COMPUTED_VALUE"""),"SRA-Stratford Rec Association")</f>
        <v>SRA-Stratford Rec Association</v>
      </c>
      <c r="AE101" s="162" t="str">
        <f ca="1">IFERROR(__xludf.DUMMYFUNCTION("""COMPUTED_VALUE"""),"IC-Ilda Community")</f>
        <v>IC-Ilda Community</v>
      </c>
      <c r="AF101" s="145"/>
      <c r="AG101" s="170"/>
      <c r="AH101" s="162"/>
    </row>
    <row r="102" spans="1:34" ht="13.2">
      <c r="A102" s="43"/>
      <c r="B102" s="43"/>
      <c r="C102" s="43"/>
      <c r="D102" s="43"/>
      <c r="E102" s="179"/>
      <c r="F102" s="179"/>
      <c r="G102" s="150"/>
      <c r="H102" s="150"/>
      <c r="I102" s="151"/>
      <c r="J102" s="151"/>
      <c r="K102" s="153"/>
      <c r="L102" s="153"/>
      <c r="M102" s="151"/>
      <c r="N102" s="151"/>
      <c r="O102" s="142"/>
      <c r="P102" s="142"/>
      <c r="Q102" s="157"/>
      <c r="R102" s="157"/>
      <c r="S102" s="157"/>
      <c r="T102" s="145"/>
      <c r="U102" s="174" t="str">
        <f ca="1">IFERROR(__xludf.DUMMYFUNCTION("""COMPUTED_VALUE"""),"Hamlet")</f>
        <v>Hamlet</v>
      </c>
      <c r="V102" s="157" t="str">
        <f ca="1">IFERROR(__xludf.DUMMYFUNCTION("""COMPUTED_VALUE"""),"at")</f>
        <v>at</v>
      </c>
      <c r="W102" s="157" t="str">
        <f ca="1">IFERROR(__xludf.DUMMYFUNCTION("""COMPUTED_VALUE"""),"Springboard")</f>
        <v>Springboard</v>
      </c>
      <c r="X102" s="175">
        <f ca="1">IFERROR(__xludf.DUMMYFUNCTION("""COMPUTED_VALUE"""),0.75)</f>
        <v>0.75</v>
      </c>
      <c r="Y102" s="157" t="str">
        <f ca="1">IFERROR(__xludf.DUMMYFUNCTION("""COMPUTED_VALUE"""),"MAP")</f>
        <v>MAP</v>
      </c>
      <c r="Z102" s="145"/>
      <c r="AA102" s="158">
        <f ca="1">IFERROR(__xludf.DUMMYFUNCTION("""COMPUTED_VALUE"""),83)</f>
        <v>83</v>
      </c>
      <c r="AB102" s="176">
        <f ca="1">IFERROR(__xludf.DUMMYFUNCTION("""COMPUTED_VALUE"""),45475)</f>
        <v>45475</v>
      </c>
      <c r="AC102" s="157" t="str">
        <f ca="1">IFERROR(__xludf.DUMMYFUNCTION("""COMPUTED_VALUE"""),"20240702-83")</f>
        <v>20240702-83</v>
      </c>
      <c r="AD102" s="157" t="str">
        <f ca="1">IFERROR(__xludf.DUMMYFUNCTION("""COMPUTED_VALUE"""),"SB-Springboard Recreation Club")</f>
        <v>SB-Springboard Recreation Club</v>
      </c>
      <c r="AE102" s="157" t="str">
        <f ca="1">IFERROR(__xludf.DUMMYFUNCTION("""COMPUTED_VALUE"""),"HSC-Hamlet Swim Club")</f>
        <v>HSC-Hamlet Swim Club</v>
      </c>
      <c r="AF102" s="145"/>
      <c r="AG102" s="158"/>
      <c r="AH102" s="157"/>
    </row>
    <row r="103" spans="1:34" ht="13.2">
      <c r="A103" s="43"/>
      <c r="B103" s="43"/>
      <c r="C103" s="43"/>
      <c r="D103" s="43"/>
      <c r="E103" s="179"/>
      <c r="F103" s="179"/>
      <c r="G103" s="150"/>
      <c r="H103" s="150"/>
      <c r="I103" s="151"/>
      <c r="J103" s="151"/>
      <c r="K103" s="153"/>
      <c r="L103" s="153"/>
      <c r="M103" s="151"/>
      <c r="N103" s="151"/>
      <c r="O103" s="142"/>
      <c r="P103" s="142"/>
      <c r="Q103" s="162"/>
      <c r="R103" s="162"/>
      <c r="S103" s="162"/>
      <c r="T103" s="145"/>
      <c r="U103" s="168">
        <f ca="1">IFERROR(__xludf.DUMMYFUNCTION("""COMPUTED_VALUE"""),45482)</f>
        <v>45482</v>
      </c>
      <c r="V103" s="162"/>
      <c r="W103" s="162"/>
      <c r="X103" s="162"/>
      <c r="Y103" s="162"/>
      <c r="Z103" s="145"/>
      <c r="AA103" s="170">
        <f ca="1">IFERROR(__xludf.DUMMYFUNCTION("""COMPUTED_VALUE"""),1)</f>
        <v>1</v>
      </c>
      <c r="AB103" s="171">
        <f ca="1">IFERROR(__xludf.DUMMYFUNCTION("""COMPUTED_VALUE"""),45482)</f>
        <v>45482</v>
      </c>
      <c r="AC103" s="162" t="str">
        <f ca="1">IFERROR(__xludf.DUMMYFUNCTION("""COMPUTED_VALUE"""),"")</f>
        <v/>
      </c>
      <c r="AD103" s="162" t="str">
        <f ca="1">IFERROR(__xludf.DUMMYFUNCTION("""COMPUTED_VALUE"""),"")</f>
        <v/>
      </c>
      <c r="AE103" s="162" t="str">
        <f ca="1">IFERROR(__xludf.DUMMYFUNCTION("""COMPUTED_VALUE"""),"")</f>
        <v/>
      </c>
      <c r="AF103" s="145"/>
      <c r="AG103" s="170"/>
      <c r="AH103" s="162"/>
    </row>
    <row r="104" spans="1:34" ht="13.2">
      <c r="A104" s="43"/>
      <c r="B104" s="43"/>
      <c r="C104" s="43"/>
      <c r="D104" s="43"/>
      <c r="E104" s="179"/>
      <c r="F104" s="179"/>
      <c r="G104" s="150"/>
      <c r="H104" s="150"/>
      <c r="I104" s="151"/>
      <c r="J104" s="151"/>
      <c r="K104" s="153"/>
      <c r="L104" s="153"/>
      <c r="M104" s="151"/>
      <c r="N104" s="151"/>
      <c r="O104" s="142"/>
      <c r="P104" s="142"/>
      <c r="Q104" s="157"/>
      <c r="R104" s="157"/>
      <c r="S104" s="157"/>
      <c r="T104" s="145"/>
      <c r="U104" s="174" t="str">
        <f ca="1">IFERROR(__xludf.DUMMYFUNCTION("""COMPUTED_VALUE"""),"Fairfax")</f>
        <v>Fairfax</v>
      </c>
      <c r="V104" s="157" t="str">
        <f ca="1">IFERROR(__xludf.DUMMYFUNCTION("""COMPUTED_VALUE"""),"at")</f>
        <v>at</v>
      </c>
      <c r="W104" s="157" t="str">
        <f ca="1">IFERROR(__xludf.DUMMYFUNCTION("""COMPUTED_VALUE"""),"Old Keene Mill")</f>
        <v>Old Keene Mill</v>
      </c>
      <c r="X104" s="175">
        <f ca="1">IFERROR(__xludf.DUMMYFUNCTION("""COMPUTED_VALUE"""),0.75)</f>
        <v>0.75</v>
      </c>
      <c r="Y104" s="157" t="str">
        <f ca="1">IFERROR(__xludf.DUMMYFUNCTION("""COMPUTED_VALUE"""),"MAP")</f>
        <v>MAP</v>
      </c>
      <c r="Z104" s="145"/>
      <c r="AA104" s="158">
        <f ca="1">IFERROR(__xludf.DUMMYFUNCTION("""COMPUTED_VALUE"""),11)</f>
        <v>11</v>
      </c>
      <c r="AB104" s="176">
        <f ca="1">IFERROR(__xludf.DUMMYFUNCTION("""COMPUTED_VALUE"""),45482)</f>
        <v>45482</v>
      </c>
      <c r="AC104" s="157" t="str">
        <f ca="1">IFERROR(__xludf.DUMMYFUNCTION("""COMPUTED_VALUE"""),"20240709-11")</f>
        <v>20240709-11</v>
      </c>
      <c r="AD104" s="157" t="str">
        <f ca="1">IFERROR(__xludf.DUMMYFUNCTION("""COMPUTED_VALUE"""),"OKM-Old Keene Mill")</f>
        <v>OKM-Old Keene Mill</v>
      </c>
      <c r="AE104" s="157" t="str">
        <f ca="1">IFERROR(__xludf.DUMMYFUNCTION("""COMPUTED_VALUE"""),"F-Fairfax")</f>
        <v>F-Fairfax</v>
      </c>
      <c r="AF104" s="145"/>
      <c r="AG104" s="158"/>
      <c r="AH104" s="157"/>
    </row>
    <row r="105" spans="1:34" ht="13.2">
      <c r="A105" s="43"/>
      <c r="B105" s="43"/>
      <c r="C105" s="43"/>
      <c r="D105" s="43"/>
      <c r="E105" s="179"/>
      <c r="F105" s="179"/>
      <c r="G105" s="150"/>
      <c r="H105" s="150"/>
      <c r="I105" s="151"/>
      <c r="J105" s="151"/>
      <c r="K105" s="153"/>
      <c r="L105" s="153"/>
      <c r="M105" s="151"/>
      <c r="N105" s="151"/>
      <c r="O105" s="142"/>
      <c r="P105" s="142"/>
      <c r="Q105" s="162"/>
      <c r="R105" s="162"/>
      <c r="S105" s="162"/>
      <c r="T105" s="145"/>
      <c r="U105" s="168" t="str">
        <f ca="1">IFERROR(__xludf.DUMMYFUNCTION("""COMPUTED_VALUE"""),"Oakton")</f>
        <v>Oakton</v>
      </c>
      <c r="V105" s="162" t="str">
        <f ca="1">IFERROR(__xludf.DUMMYFUNCTION("""COMPUTED_VALUE"""),"at")</f>
        <v>at</v>
      </c>
      <c r="W105" s="162" t="str">
        <f ca="1">IFERROR(__xludf.DUMMYFUNCTION("""COMPUTED_VALUE"""),"Vienna Woods")</f>
        <v>Vienna Woods</v>
      </c>
      <c r="X105" s="169">
        <f ca="1">IFERROR(__xludf.DUMMYFUNCTION("""COMPUTED_VALUE"""),0.75)</f>
        <v>0.75</v>
      </c>
      <c r="Y105" s="162" t="str">
        <f ca="1">IFERROR(__xludf.DUMMYFUNCTION("""COMPUTED_VALUE"""),"MAP")</f>
        <v>MAP</v>
      </c>
      <c r="Z105" s="145"/>
      <c r="AA105" s="170">
        <f ca="1">IFERROR(__xludf.DUMMYFUNCTION("""COMPUTED_VALUE"""),12)</f>
        <v>12</v>
      </c>
      <c r="AB105" s="171">
        <f ca="1">IFERROR(__xludf.DUMMYFUNCTION("""COMPUTED_VALUE"""),45482)</f>
        <v>45482</v>
      </c>
      <c r="AC105" s="162" t="str">
        <f ca="1">IFERROR(__xludf.DUMMYFUNCTION("""COMPUTED_VALUE"""),"20240709-12")</f>
        <v>20240709-12</v>
      </c>
      <c r="AD105" s="162" t="str">
        <f ca="1">IFERROR(__xludf.DUMMYFUNCTION("""COMPUTED_VALUE"""),"VW-Vienna Woods")</f>
        <v>VW-Vienna Woods</v>
      </c>
      <c r="AE105" s="162" t="str">
        <f ca="1">IFERROR(__xludf.DUMMYFUNCTION("""COMPUTED_VALUE"""),"OAK-Oakton")</f>
        <v>OAK-Oakton</v>
      </c>
      <c r="AF105" s="145"/>
      <c r="AG105" s="170"/>
      <c r="AH105" s="162"/>
    </row>
    <row r="106" spans="1:34" ht="13.2">
      <c r="A106" s="43"/>
      <c r="B106" s="43"/>
      <c r="C106" s="43"/>
      <c r="D106" s="43"/>
      <c r="E106" s="179"/>
      <c r="F106" s="179"/>
      <c r="G106" s="150"/>
      <c r="H106" s="150"/>
      <c r="I106" s="151"/>
      <c r="J106" s="151"/>
      <c r="K106" s="153"/>
      <c r="L106" s="153"/>
      <c r="M106" s="151"/>
      <c r="N106" s="151"/>
      <c r="O106" s="142"/>
      <c r="P106" s="142"/>
      <c r="Q106" s="157"/>
      <c r="R106" s="157"/>
      <c r="S106" s="157"/>
      <c r="T106" s="145"/>
      <c r="U106" s="174" t="str">
        <f ca="1">IFERROR(__xludf.DUMMYFUNCTION("""COMPUTED_VALUE"""),"Donaldson Run")</f>
        <v>Donaldson Run</v>
      </c>
      <c r="V106" s="157" t="str">
        <f ca="1">IFERROR(__xludf.DUMMYFUNCTION("""COMPUTED_VALUE"""),"at")</f>
        <v>at</v>
      </c>
      <c r="W106" s="157" t="str">
        <f ca="1">IFERROR(__xludf.DUMMYFUNCTION("""COMPUTED_VALUE"""),"Overlee")</f>
        <v>Overlee</v>
      </c>
      <c r="X106" s="175">
        <f ca="1">IFERROR(__xludf.DUMMYFUNCTION("""COMPUTED_VALUE"""),0.75)</f>
        <v>0.75</v>
      </c>
      <c r="Y106" s="157" t="str">
        <f ca="1">IFERROR(__xludf.DUMMYFUNCTION("""COMPUTED_VALUE"""),"MAP")</f>
        <v>MAP</v>
      </c>
      <c r="Z106" s="145"/>
      <c r="AA106" s="158">
        <f ca="1">IFERROR(__xludf.DUMMYFUNCTION("""COMPUTED_VALUE"""),13)</f>
        <v>13</v>
      </c>
      <c r="AB106" s="176">
        <f ca="1">IFERROR(__xludf.DUMMYFUNCTION("""COMPUTED_VALUE"""),45482)</f>
        <v>45482</v>
      </c>
      <c r="AC106" s="157" t="str">
        <f ca="1">IFERROR(__xludf.DUMMYFUNCTION("""COMPUTED_VALUE"""),"20240709-13")</f>
        <v>20240709-13</v>
      </c>
      <c r="AD106" s="157" t="str">
        <f ca="1">IFERROR(__xludf.DUMMYFUNCTION("""COMPUTED_VALUE"""),"O-Overlee")</f>
        <v>O-Overlee</v>
      </c>
      <c r="AE106" s="157" t="str">
        <f ca="1">IFERROR(__xludf.DUMMYFUNCTION("""COMPUTED_VALUE"""),"DR-Donaldson Run")</f>
        <v>DR-Donaldson Run</v>
      </c>
      <c r="AF106" s="145"/>
      <c r="AG106" s="158"/>
      <c r="AH106" s="157"/>
    </row>
    <row r="107" spans="1:34" ht="13.2">
      <c r="A107" s="43"/>
      <c r="B107" s="43"/>
      <c r="C107" s="43"/>
      <c r="D107" s="43"/>
      <c r="E107" s="179"/>
      <c r="F107" s="179"/>
      <c r="G107" s="150"/>
      <c r="H107" s="150"/>
      <c r="I107" s="151"/>
      <c r="J107" s="151"/>
      <c r="K107" s="153"/>
      <c r="L107" s="153"/>
      <c r="M107" s="151"/>
      <c r="N107" s="151"/>
      <c r="O107" s="142"/>
      <c r="P107" s="142"/>
      <c r="Q107" s="162"/>
      <c r="R107" s="162"/>
      <c r="S107" s="162"/>
      <c r="T107" s="145"/>
      <c r="U107" s="168" t="str">
        <f ca="1">IFERROR(__xludf.DUMMYFUNCTION("""COMPUTED_VALUE"""),"Division II")</f>
        <v>Division II</v>
      </c>
      <c r="V107" s="162"/>
      <c r="W107" s="162"/>
      <c r="X107" s="162"/>
      <c r="Y107" s="162"/>
      <c r="Z107" s="145"/>
      <c r="AA107" s="170">
        <f ca="1">IFERROR(__xludf.DUMMYFUNCTION("""COMPUTED_VALUE"""),2)</f>
        <v>2</v>
      </c>
      <c r="AB107" s="171">
        <f ca="1">IFERROR(__xludf.DUMMYFUNCTION("""COMPUTED_VALUE"""),45482)</f>
        <v>45482</v>
      </c>
      <c r="AC107" s="162" t="str">
        <f ca="1">IFERROR(__xludf.DUMMYFUNCTION("""COMPUTED_VALUE"""),"")</f>
        <v/>
      </c>
      <c r="AD107" s="162" t="str">
        <f ca="1">IFERROR(__xludf.DUMMYFUNCTION("""COMPUTED_VALUE"""),"")</f>
        <v/>
      </c>
      <c r="AE107" s="162" t="str">
        <f ca="1">IFERROR(__xludf.DUMMYFUNCTION("""COMPUTED_VALUE"""),"")</f>
        <v/>
      </c>
      <c r="AF107" s="145"/>
      <c r="AG107" s="170"/>
      <c r="AH107" s="162"/>
    </row>
    <row r="108" spans="1:34" ht="13.2">
      <c r="A108" s="43"/>
      <c r="B108" s="43"/>
      <c r="C108" s="43"/>
      <c r="D108" s="43"/>
      <c r="E108" s="179"/>
      <c r="F108" s="179"/>
      <c r="G108" s="150"/>
      <c r="H108" s="150"/>
      <c r="I108" s="151"/>
      <c r="J108" s="151"/>
      <c r="K108" s="153"/>
      <c r="L108" s="153"/>
      <c r="M108" s="151"/>
      <c r="N108" s="151"/>
      <c r="O108" s="142"/>
      <c r="P108" s="142"/>
      <c r="Q108" s="157"/>
      <c r="R108" s="157"/>
      <c r="S108" s="157"/>
      <c r="T108" s="145"/>
      <c r="U108" s="174" t="str">
        <f ca="1">IFERROR(__xludf.DUMMYFUNCTION("""COMPUTED_VALUE"""),"Kent Gardens")</f>
        <v>Kent Gardens</v>
      </c>
      <c r="V108" s="157" t="str">
        <f ca="1">IFERROR(__xludf.DUMMYFUNCTION("""COMPUTED_VALUE"""),"at")</f>
        <v>at</v>
      </c>
      <c r="W108" s="157" t="str">
        <f ca="1">IFERROR(__xludf.DUMMYFUNCTION("""COMPUTED_VALUE"""),"Rolling Hills")</f>
        <v>Rolling Hills</v>
      </c>
      <c r="X108" s="175">
        <f ca="1">IFERROR(__xludf.DUMMYFUNCTION("""COMPUTED_VALUE"""),0.75)</f>
        <v>0.75</v>
      </c>
      <c r="Y108" s="157" t="str">
        <f ca="1">IFERROR(__xludf.DUMMYFUNCTION("""COMPUTED_VALUE"""),"MAP")</f>
        <v>MAP</v>
      </c>
      <c r="Z108" s="145"/>
      <c r="AA108" s="158">
        <f ca="1">IFERROR(__xludf.DUMMYFUNCTION("""COMPUTED_VALUE"""),21)</f>
        <v>21</v>
      </c>
      <c r="AB108" s="176">
        <f ca="1">IFERROR(__xludf.DUMMYFUNCTION("""COMPUTED_VALUE"""),45482)</f>
        <v>45482</v>
      </c>
      <c r="AC108" s="157" t="str">
        <f ca="1">IFERROR(__xludf.DUMMYFUNCTION("""COMPUTED_VALUE"""),"20240709-21")</f>
        <v>20240709-21</v>
      </c>
      <c r="AD108" s="157" t="str">
        <f ca="1">IFERROR(__xludf.DUMMYFUNCTION("""COMPUTED_VALUE"""),"RH-Rolling Hills")</f>
        <v>RH-Rolling Hills</v>
      </c>
      <c r="AE108" s="157" t="str">
        <f ca="1">IFERROR(__xludf.DUMMYFUNCTION("""COMPUTED_VALUE"""),"KG-Kent Gardens")</f>
        <v>KG-Kent Gardens</v>
      </c>
      <c r="AF108" s="145"/>
      <c r="AG108" s="158"/>
      <c r="AH108" s="157"/>
    </row>
    <row r="109" spans="1:34" ht="13.2">
      <c r="A109" s="43"/>
      <c r="B109" s="43"/>
      <c r="C109" s="43"/>
      <c r="D109" s="43"/>
      <c r="E109" s="179"/>
      <c r="F109" s="179"/>
      <c r="G109" s="150"/>
      <c r="H109" s="150"/>
      <c r="I109" s="151"/>
      <c r="J109" s="151"/>
      <c r="K109" s="153"/>
      <c r="L109" s="153"/>
      <c r="M109" s="151"/>
      <c r="N109" s="151"/>
      <c r="O109" s="142"/>
      <c r="P109" s="142"/>
      <c r="Q109" s="162"/>
      <c r="R109" s="162"/>
      <c r="S109" s="162"/>
      <c r="T109" s="145"/>
      <c r="U109" s="168" t="str">
        <f ca="1">IFERROR(__xludf.DUMMYFUNCTION("""COMPUTED_VALUE"""),"Hunt Valley")</f>
        <v>Hunt Valley</v>
      </c>
      <c r="V109" s="162" t="str">
        <f ca="1">IFERROR(__xludf.DUMMYFUNCTION("""COMPUTED_VALUE"""),"at")</f>
        <v>at</v>
      </c>
      <c r="W109" s="162" t="str">
        <f ca="1">IFERROR(__xludf.DUMMYFUNCTION("""COMPUTED_VALUE"""),"Sleepy Hollow Rec")</f>
        <v>Sleepy Hollow Rec</v>
      </c>
      <c r="X109" s="169">
        <f ca="1">IFERROR(__xludf.DUMMYFUNCTION("""COMPUTED_VALUE"""),0.75)</f>
        <v>0.75</v>
      </c>
      <c r="Y109" s="162" t="str">
        <f ca="1">IFERROR(__xludf.DUMMYFUNCTION("""COMPUTED_VALUE"""),"MAP")</f>
        <v>MAP</v>
      </c>
      <c r="Z109" s="145"/>
      <c r="AA109" s="170">
        <f ca="1">IFERROR(__xludf.DUMMYFUNCTION("""COMPUTED_VALUE"""),22)</f>
        <v>22</v>
      </c>
      <c r="AB109" s="171">
        <f ca="1">IFERROR(__xludf.DUMMYFUNCTION("""COMPUTED_VALUE"""),45482)</f>
        <v>45482</v>
      </c>
      <c r="AC109" s="162" t="str">
        <f ca="1">IFERROR(__xludf.DUMMYFUNCTION("""COMPUTED_VALUE"""),"20240709-22")</f>
        <v>20240709-22</v>
      </c>
      <c r="AD109" s="162" t="str">
        <f ca="1">IFERROR(__xludf.DUMMYFUNCTION("""COMPUTED_VALUE"""),"SHR-Sleepy Hollow Rec")</f>
        <v>SHR-Sleepy Hollow Rec</v>
      </c>
      <c r="AE109" s="162" t="str">
        <f ca="1">IFERROR(__xludf.DUMMYFUNCTION("""COMPUTED_VALUE"""),"HV-Hunt Valley")</f>
        <v>HV-Hunt Valley</v>
      </c>
      <c r="AF109" s="145"/>
      <c r="AG109" s="170"/>
      <c r="AH109" s="162"/>
    </row>
    <row r="110" spans="1:34" ht="13.2">
      <c r="A110" s="43"/>
      <c r="B110" s="43"/>
      <c r="C110" s="43"/>
      <c r="D110" s="43"/>
      <c r="E110" s="179"/>
      <c r="F110" s="179"/>
      <c r="G110" s="150"/>
      <c r="H110" s="150"/>
      <c r="I110" s="151"/>
      <c r="J110" s="151"/>
      <c r="K110" s="153"/>
      <c r="L110" s="153"/>
      <c r="M110" s="151"/>
      <c r="N110" s="151"/>
      <c r="O110" s="142"/>
      <c r="P110" s="142"/>
      <c r="Q110" s="157"/>
      <c r="R110" s="157"/>
      <c r="S110" s="157"/>
      <c r="T110" s="145"/>
      <c r="U110" s="174" t="str">
        <f ca="1">IFERROR(__xludf.DUMMYFUNCTION("""COMPUTED_VALUE"""),"Highlands Swim")</f>
        <v>Highlands Swim</v>
      </c>
      <c r="V110" s="157" t="str">
        <f ca="1">IFERROR(__xludf.DUMMYFUNCTION("""COMPUTED_VALUE"""),"at")</f>
        <v>at</v>
      </c>
      <c r="W110" s="157" t="str">
        <f ca="1">IFERROR(__xludf.DUMMYFUNCTION("""COMPUTED_VALUE"""),"Dominion Hills")</f>
        <v>Dominion Hills</v>
      </c>
      <c r="X110" s="175">
        <f ca="1">IFERROR(__xludf.DUMMYFUNCTION("""COMPUTED_VALUE"""),0.75)</f>
        <v>0.75</v>
      </c>
      <c r="Y110" s="157" t="str">
        <f ca="1">IFERROR(__xludf.DUMMYFUNCTION("""COMPUTED_VALUE"""),"MAP")</f>
        <v>MAP</v>
      </c>
      <c r="Z110" s="145"/>
      <c r="AA110" s="158">
        <f ca="1">IFERROR(__xludf.DUMMYFUNCTION("""COMPUTED_VALUE"""),23)</f>
        <v>23</v>
      </c>
      <c r="AB110" s="176">
        <f ca="1">IFERROR(__xludf.DUMMYFUNCTION("""COMPUTED_VALUE"""),45482)</f>
        <v>45482</v>
      </c>
      <c r="AC110" s="157" t="str">
        <f ca="1">IFERROR(__xludf.DUMMYFUNCTION("""COMPUTED_VALUE"""),"20240709-23")</f>
        <v>20240709-23</v>
      </c>
      <c r="AD110" s="157" t="str">
        <f ca="1">IFERROR(__xludf.DUMMYFUNCTION("""COMPUTED_VALUE"""),"DH-Dominion Hills")</f>
        <v>DH-Dominion Hills</v>
      </c>
      <c r="AE110" s="157" t="str">
        <f ca="1">IFERROR(__xludf.DUMMYFUNCTION("""COMPUTED_VALUE"""),"HS-Highlands Swim")</f>
        <v>HS-Highlands Swim</v>
      </c>
      <c r="AF110" s="145"/>
      <c r="AG110" s="158"/>
      <c r="AH110" s="157"/>
    </row>
    <row r="111" spans="1:34" ht="13.2">
      <c r="A111" s="43"/>
      <c r="B111" s="43"/>
      <c r="C111" s="43"/>
      <c r="D111" s="43"/>
      <c r="E111" s="179"/>
      <c r="F111" s="179"/>
      <c r="G111" s="150"/>
      <c r="H111" s="150"/>
      <c r="I111" s="151"/>
      <c r="J111" s="151"/>
      <c r="K111" s="153"/>
      <c r="L111" s="153"/>
      <c r="M111" s="151"/>
      <c r="N111" s="151"/>
      <c r="O111" s="142"/>
      <c r="P111" s="142"/>
      <c r="Q111" s="162"/>
      <c r="R111" s="162"/>
      <c r="S111" s="162"/>
      <c r="T111" s="145"/>
      <c r="U111" s="168" t="str">
        <f ca="1">IFERROR(__xludf.DUMMYFUNCTION("""COMPUTED_VALUE"""),"Division III")</f>
        <v>Division III</v>
      </c>
      <c r="V111" s="162"/>
      <c r="W111" s="162"/>
      <c r="X111" s="162"/>
      <c r="Y111" s="162"/>
      <c r="Z111" s="145"/>
      <c r="AA111" s="170">
        <f ca="1">IFERROR(__xludf.DUMMYFUNCTION("""COMPUTED_VALUE"""),3)</f>
        <v>3</v>
      </c>
      <c r="AB111" s="171">
        <f ca="1">IFERROR(__xludf.DUMMYFUNCTION("""COMPUTED_VALUE"""),45482)</f>
        <v>45482</v>
      </c>
      <c r="AC111" s="162" t="str">
        <f ca="1">IFERROR(__xludf.DUMMYFUNCTION("""COMPUTED_VALUE"""),"")</f>
        <v/>
      </c>
      <c r="AD111" s="162" t="str">
        <f ca="1">IFERROR(__xludf.DUMMYFUNCTION("""COMPUTED_VALUE"""),"")</f>
        <v/>
      </c>
      <c r="AE111" s="162" t="str">
        <f ca="1">IFERROR(__xludf.DUMMYFUNCTION("""COMPUTED_VALUE"""),"")</f>
        <v/>
      </c>
      <c r="AF111" s="145"/>
      <c r="AG111" s="170"/>
      <c r="AH111" s="162"/>
    </row>
    <row r="112" spans="1:34" ht="13.2">
      <c r="A112" s="43"/>
      <c r="B112" s="43"/>
      <c r="C112" s="43"/>
      <c r="D112" s="43"/>
      <c r="E112" s="179"/>
      <c r="F112" s="179"/>
      <c r="G112" s="150"/>
      <c r="H112" s="150"/>
      <c r="I112" s="151"/>
      <c r="J112" s="151"/>
      <c r="K112" s="153"/>
      <c r="L112" s="153"/>
      <c r="M112" s="151"/>
      <c r="N112" s="151"/>
      <c r="O112" s="142"/>
      <c r="P112" s="142"/>
      <c r="Q112" s="157"/>
      <c r="R112" s="157"/>
      <c r="S112" s="157"/>
      <c r="T112" s="145"/>
      <c r="U112" s="174" t="str">
        <f ca="1">IFERROR(__xludf.DUMMYFUNCTION("""COMPUTED_VALUE"""),"Lee Graham")</f>
        <v>Lee Graham</v>
      </c>
      <c r="V112" s="157" t="str">
        <f ca="1">IFERROR(__xludf.DUMMYFUNCTION("""COMPUTED_VALUE"""),"at")</f>
        <v>at</v>
      </c>
      <c r="W112" s="157" t="str">
        <f ca="1">IFERROR(__xludf.DUMMYFUNCTION("""COMPUTED_VALUE"""),"Fairfax Station")</f>
        <v>Fairfax Station</v>
      </c>
      <c r="X112" s="175">
        <f ca="1">IFERROR(__xludf.DUMMYFUNCTION("""COMPUTED_VALUE"""),0.75)</f>
        <v>0.75</v>
      </c>
      <c r="Y112" s="157" t="str">
        <f ca="1">IFERROR(__xludf.DUMMYFUNCTION("""COMPUTED_VALUE"""),"MAP")</f>
        <v>MAP</v>
      </c>
      <c r="Z112" s="145"/>
      <c r="AA112" s="158">
        <f ca="1">IFERROR(__xludf.DUMMYFUNCTION("""COMPUTED_VALUE"""),31)</f>
        <v>31</v>
      </c>
      <c r="AB112" s="176">
        <f ca="1">IFERROR(__xludf.DUMMYFUNCTION("""COMPUTED_VALUE"""),45482)</f>
        <v>45482</v>
      </c>
      <c r="AC112" s="157" t="str">
        <f ca="1">IFERROR(__xludf.DUMMYFUNCTION("""COMPUTED_VALUE"""),"20240709-31")</f>
        <v>20240709-31</v>
      </c>
      <c r="AD112" s="157" t="str">
        <f ca="1">IFERROR(__xludf.DUMMYFUNCTION("""COMPUTED_VALUE"""),"FS-Fairfax Station")</f>
        <v>FS-Fairfax Station</v>
      </c>
      <c r="AE112" s="157" t="str">
        <f ca="1">IFERROR(__xludf.DUMMYFUNCTION("""COMPUTED_VALUE"""),"LG-Lee Graham")</f>
        <v>LG-Lee Graham</v>
      </c>
      <c r="AF112" s="145"/>
      <c r="AG112" s="158"/>
      <c r="AH112" s="157"/>
    </row>
    <row r="113" spans="1:34" ht="13.2">
      <c r="A113" s="43"/>
      <c r="B113" s="43"/>
      <c r="C113" s="43"/>
      <c r="D113" s="43"/>
      <c r="E113" s="179"/>
      <c r="F113" s="179"/>
      <c r="G113" s="150"/>
      <c r="H113" s="150"/>
      <c r="I113" s="151"/>
      <c r="J113" s="151"/>
      <c r="K113" s="153"/>
      <c r="L113" s="153"/>
      <c r="M113" s="151"/>
      <c r="N113" s="151"/>
      <c r="O113" s="142"/>
      <c r="P113" s="142"/>
      <c r="Q113" s="162"/>
      <c r="R113" s="162"/>
      <c r="S113" s="162"/>
      <c r="T113" s="145"/>
      <c r="U113" s="168" t="str">
        <f ca="1">IFERROR(__xludf.DUMMYFUNCTION("""COMPUTED_VALUE"""),"Walden Glen")</f>
        <v>Walden Glen</v>
      </c>
      <c r="V113" s="162" t="str">
        <f ca="1">IFERROR(__xludf.DUMMYFUNCTION("""COMPUTED_VALUE"""),"at")</f>
        <v>at</v>
      </c>
      <c r="W113" s="162" t="str">
        <f ca="1">IFERROR(__xludf.DUMMYFUNCTION("""COMPUTED_VALUE"""),"Dunn Loring")</f>
        <v>Dunn Loring</v>
      </c>
      <c r="X113" s="169">
        <f ca="1">IFERROR(__xludf.DUMMYFUNCTION("""COMPUTED_VALUE"""),0.75)</f>
        <v>0.75</v>
      </c>
      <c r="Y113" s="162" t="str">
        <f ca="1">IFERROR(__xludf.DUMMYFUNCTION("""COMPUTED_VALUE"""),"MAP")</f>
        <v>MAP</v>
      </c>
      <c r="Z113" s="145"/>
      <c r="AA113" s="170">
        <f ca="1">IFERROR(__xludf.DUMMYFUNCTION("""COMPUTED_VALUE"""),32)</f>
        <v>32</v>
      </c>
      <c r="AB113" s="171">
        <f ca="1">IFERROR(__xludf.DUMMYFUNCTION("""COMPUTED_VALUE"""),45482)</f>
        <v>45482</v>
      </c>
      <c r="AC113" s="162" t="str">
        <f ca="1">IFERROR(__xludf.DUMMYFUNCTION("""COMPUTED_VALUE"""),"20240709-32")</f>
        <v>20240709-32</v>
      </c>
      <c r="AD113" s="162" t="str">
        <f ca="1">IFERROR(__xludf.DUMMYFUNCTION("""COMPUTED_VALUE"""),"DL-Dunn Loring")</f>
        <v>DL-Dunn Loring</v>
      </c>
      <c r="AE113" s="162" t="str">
        <f ca="1">IFERROR(__xludf.DUMMYFUNCTION("""COMPUTED_VALUE"""),"WG-Walden Glen")</f>
        <v>WG-Walden Glen</v>
      </c>
      <c r="AF113" s="145"/>
      <c r="AG113" s="170"/>
      <c r="AH113" s="162"/>
    </row>
    <row r="114" spans="1:34" ht="13.2">
      <c r="A114" s="43"/>
      <c r="B114" s="43"/>
      <c r="C114" s="43"/>
      <c r="D114" s="43"/>
      <c r="E114" s="179"/>
      <c r="F114" s="179"/>
      <c r="G114" s="150"/>
      <c r="H114" s="150"/>
      <c r="I114" s="151"/>
      <c r="J114" s="151"/>
      <c r="K114" s="153"/>
      <c r="L114" s="153"/>
      <c r="M114" s="151"/>
      <c r="N114" s="151"/>
      <c r="O114" s="142"/>
      <c r="P114" s="142"/>
      <c r="Q114" s="157"/>
      <c r="R114" s="157"/>
      <c r="S114" s="157"/>
      <c r="T114" s="145"/>
      <c r="U114" s="174" t="str">
        <f ca="1">IFERROR(__xludf.DUMMYFUNCTION("""COMPUTED_VALUE"""),"Greenbriar")</f>
        <v>Greenbriar</v>
      </c>
      <c r="V114" s="157" t="str">
        <f ca="1">IFERROR(__xludf.DUMMYFUNCTION("""COMPUTED_VALUE"""),"at")</f>
        <v>at</v>
      </c>
      <c r="W114" s="157" t="str">
        <f ca="1">IFERROR(__xludf.DUMMYFUNCTION("""COMPUTED_VALUE"""),"Parliament")</f>
        <v>Parliament</v>
      </c>
      <c r="X114" s="175">
        <f ca="1">IFERROR(__xludf.DUMMYFUNCTION("""COMPUTED_VALUE"""),0.75)</f>
        <v>0.75</v>
      </c>
      <c r="Y114" s="157" t="str">
        <f ca="1">IFERROR(__xludf.DUMMYFUNCTION("""COMPUTED_VALUE"""),"MAP")</f>
        <v>MAP</v>
      </c>
      <c r="Z114" s="145"/>
      <c r="AA114" s="158">
        <f ca="1">IFERROR(__xludf.DUMMYFUNCTION("""COMPUTED_VALUE"""),33)</f>
        <v>33</v>
      </c>
      <c r="AB114" s="176">
        <f ca="1">IFERROR(__xludf.DUMMYFUNCTION("""COMPUTED_VALUE"""),45482)</f>
        <v>45482</v>
      </c>
      <c r="AC114" s="157" t="str">
        <f ca="1">IFERROR(__xludf.DUMMYFUNCTION("""COMPUTED_VALUE"""),"20240709-33")</f>
        <v>20240709-33</v>
      </c>
      <c r="AD114" s="157" t="str">
        <f ca="1">IFERROR(__xludf.DUMMYFUNCTION("""COMPUTED_VALUE"""),"PAR-Parliament")</f>
        <v>PAR-Parliament</v>
      </c>
      <c r="AE114" s="157" t="str">
        <f ca="1">IFERROR(__xludf.DUMMYFUNCTION("""COMPUTED_VALUE"""),"G-Greenbriar")</f>
        <v>G-Greenbriar</v>
      </c>
      <c r="AF114" s="145"/>
      <c r="AG114" s="158"/>
      <c r="AH114" s="157"/>
    </row>
    <row r="115" spans="1:34" ht="13.2">
      <c r="A115" s="43"/>
      <c r="B115" s="43"/>
      <c r="C115" s="43"/>
      <c r="D115" s="43"/>
      <c r="E115" s="179"/>
      <c r="F115" s="179"/>
      <c r="G115" s="150"/>
      <c r="H115" s="150"/>
      <c r="I115" s="151"/>
      <c r="J115" s="151"/>
      <c r="K115" s="153"/>
      <c r="L115" s="153"/>
      <c r="M115" s="151"/>
      <c r="N115" s="151"/>
      <c r="O115" s="142"/>
      <c r="P115" s="142"/>
      <c r="Q115" s="162"/>
      <c r="R115" s="162"/>
      <c r="S115" s="162"/>
      <c r="T115" s="145"/>
      <c r="U115" s="168" t="str">
        <f ca="1">IFERROR(__xludf.DUMMYFUNCTION("""COMPUTED_VALUE"""),"Division IV")</f>
        <v>Division IV</v>
      </c>
      <c r="V115" s="162"/>
      <c r="W115" s="162"/>
      <c r="X115" s="162"/>
      <c r="Y115" s="162"/>
      <c r="Z115" s="145"/>
      <c r="AA115" s="170">
        <f ca="1">IFERROR(__xludf.DUMMYFUNCTION("""COMPUTED_VALUE"""),4)</f>
        <v>4</v>
      </c>
      <c r="AB115" s="171">
        <f ca="1">IFERROR(__xludf.DUMMYFUNCTION("""COMPUTED_VALUE"""),45482)</f>
        <v>45482</v>
      </c>
      <c r="AC115" s="162" t="str">
        <f ca="1">IFERROR(__xludf.DUMMYFUNCTION("""COMPUTED_VALUE"""),"")</f>
        <v/>
      </c>
      <c r="AD115" s="162" t="str">
        <f ca="1">IFERROR(__xludf.DUMMYFUNCTION("""COMPUTED_VALUE"""),"")</f>
        <v/>
      </c>
      <c r="AE115" s="162" t="str">
        <f ca="1">IFERROR(__xludf.DUMMYFUNCTION("""COMPUTED_VALUE"""),"")</f>
        <v/>
      </c>
      <c r="AF115" s="145"/>
      <c r="AG115" s="170"/>
      <c r="AH115" s="162"/>
    </row>
    <row r="116" spans="1:34" ht="13.2">
      <c r="A116" s="43"/>
      <c r="B116" s="43"/>
      <c r="C116" s="43"/>
      <c r="D116" s="43"/>
      <c r="E116" s="179"/>
      <c r="F116" s="179"/>
      <c r="G116" s="150"/>
      <c r="H116" s="150"/>
      <c r="I116" s="151"/>
      <c r="J116" s="151"/>
      <c r="K116" s="153"/>
      <c r="L116" s="153"/>
      <c r="M116" s="151"/>
      <c r="N116" s="151"/>
      <c r="O116" s="142"/>
      <c r="P116" s="142"/>
      <c r="Q116" s="157"/>
      <c r="R116" s="157"/>
      <c r="S116" s="157"/>
      <c r="T116" s="145"/>
      <c r="U116" s="174" t="str">
        <f ca="1">IFERROR(__xludf.DUMMYFUNCTION("""COMPUTED_VALUE"""),"Truro")</f>
        <v>Truro</v>
      </c>
      <c r="V116" s="157" t="str">
        <f ca="1">IFERROR(__xludf.DUMMYFUNCTION("""COMPUTED_VALUE"""),"at")</f>
        <v>at</v>
      </c>
      <c r="W116" s="157" t="str">
        <f ca="1">IFERROR(__xludf.DUMMYFUNCTION("""COMPUTED_VALUE"""),"Great Falls")</f>
        <v>Great Falls</v>
      </c>
      <c r="X116" s="175">
        <f ca="1">IFERROR(__xludf.DUMMYFUNCTION("""COMPUTED_VALUE"""),0.75)</f>
        <v>0.75</v>
      </c>
      <c r="Y116" s="157" t="str">
        <f ca="1">IFERROR(__xludf.DUMMYFUNCTION("""COMPUTED_VALUE"""),"MAP")</f>
        <v>MAP</v>
      </c>
      <c r="Z116" s="145"/>
      <c r="AA116" s="158">
        <f ca="1">IFERROR(__xludf.DUMMYFUNCTION("""COMPUTED_VALUE"""),41)</f>
        <v>41</v>
      </c>
      <c r="AB116" s="176">
        <f ca="1">IFERROR(__xludf.DUMMYFUNCTION("""COMPUTED_VALUE"""),45482)</f>
        <v>45482</v>
      </c>
      <c r="AC116" s="157" t="str">
        <f ca="1">IFERROR(__xludf.DUMMYFUNCTION("""COMPUTED_VALUE"""),"20240709-41")</f>
        <v>20240709-41</v>
      </c>
      <c r="AD116" s="157" t="str">
        <f ca="1">IFERROR(__xludf.DUMMYFUNCTION("""COMPUTED_VALUE"""),"GF-Great Falls")</f>
        <v>GF-Great Falls</v>
      </c>
      <c r="AE116" s="157" t="str">
        <f ca="1">IFERROR(__xludf.DUMMYFUNCTION("""COMPUTED_VALUE"""),"THA-Truro Homes Association")</f>
        <v>THA-Truro Homes Association</v>
      </c>
      <c r="AF116" s="145"/>
      <c r="AG116" s="158"/>
      <c r="AH116" s="157"/>
    </row>
    <row r="117" spans="1:34" ht="13.2">
      <c r="A117" s="43"/>
      <c r="B117" s="43"/>
      <c r="C117" s="43"/>
      <c r="D117" s="43"/>
      <c r="E117" s="179"/>
      <c r="F117" s="179"/>
      <c r="G117" s="150"/>
      <c r="H117" s="150"/>
      <c r="I117" s="151"/>
      <c r="J117" s="151"/>
      <c r="K117" s="153"/>
      <c r="L117" s="153"/>
      <c r="M117" s="151"/>
      <c r="N117" s="151"/>
      <c r="O117" s="142"/>
      <c r="P117" s="142"/>
      <c r="Q117" s="162"/>
      <c r="R117" s="162"/>
      <c r="S117" s="162"/>
      <c r="T117" s="145"/>
      <c r="U117" s="168" t="str">
        <f ca="1">IFERROR(__xludf.DUMMYFUNCTION("""COMPUTED_VALUE"""),"Chesterbrook")</f>
        <v>Chesterbrook</v>
      </c>
      <c r="V117" s="162" t="str">
        <f ca="1">IFERROR(__xludf.DUMMYFUNCTION("""COMPUTED_VALUE"""),"at")</f>
        <v>at</v>
      </c>
      <c r="W117" s="162" t="str">
        <f ca="1">IFERROR(__xludf.DUMMYFUNCTION("""COMPUTED_VALUE"""),"Woodley")</f>
        <v>Woodley</v>
      </c>
      <c r="X117" s="169">
        <f ca="1">IFERROR(__xludf.DUMMYFUNCTION("""COMPUTED_VALUE"""),0.75)</f>
        <v>0.75</v>
      </c>
      <c r="Y117" s="162" t="str">
        <f ca="1">IFERROR(__xludf.DUMMYFUNCTION("""COMPUTED_VALUE"""),"MAP")</f>
        <v>MAP</v>
      </c>
      <c r="Z117" s="145"/>
      <c r="AA117" s="170">
        <f ca="1">IFERROR(__xludf.DUMMYFUNCTION("""COMPUTED_VALUE"""),42)</f>
        <v>42</v>
      </c>
      <c r="AB117" s="171">
        <f ca="1">IFERROR(__xludf.DUMMYFUNCTION("""COMPUTED_VALUE"""),45482)</f>
        <v>45482</v>
      </c>
      <c r="AC117" s="162" t="str">
        <f ca="1">IFERROR(__xludf.DUMMYFUNCTION("""COMPUTED_VALUE"""),"20240709-42")</f>
        <v>20240709-42</v>
      </c>
      <c r="AD117" s="162" t="str">
        <f ca="1">IFERROR(__xludf.DUMMYFUNCTION("""COMPUTED_VALUE"""),"W-Woodley")</f>
        <v>W-Woodley</v>
      </c>
      <c r="AE117" s="162" t="str">
        <f ca="1">IFERROR(__xludf.DUMMYFUNCTION("""COMPUTED_VALUE"""),"CB-Chesterbrook")</f>
        <v>CB-Chesterbrook</v>
      </c>
      <c r="AF117" s="145"/>
      <c r="AG117" s="170"/>
      <c r="AH117" s="162"/>
    </row>
    <row r="118" spans="1:34" ht="13.2">
      <c r="A118" s="43"/>
      <c r="B118" s="43"/>
      <c r="C118" s="43"/>
      <c r="D118" s="43"/>
      <c r="E118" s="179"/>
      <c r="F118" s="179"/>
      <c r="G118" s="150"/>
      <c r="H118" s="150"/>
      <c r="I118" s="151"/>
      <c r="J118" s="151"/>
      <c r="K118" s="153"/>
      <c r="L118" s="153"/>
      <c r="M118" s="151"/>
      <c r="N118" s="151"/>
      <c r="O118" s="142"/>
      <c r="P118" s="142"/>
      <c r="Q118" s="157"/>
      <c r="R118" s="157"/>
      <c r="S118" s="157"/>
      <c r="T118" s="145"/>
      <c r="U118" s="174" t="str">
        <f ca="1">IFERROR(__xludf.DUMMYFUNCTION("""COMPUTED_VALUE"""),"Hayfield Farm")</f>
        <v>Hayfield Farm</v>
      </c>
      <c r="V118" s="157" t="str">
        <f ca="1">IFERROR(__xludf.DUMMYFUNCTION("""COMPUTED_VALUE"""),"at")</f>
        <v>at</v>
      </c>
      <c r="W118" s="157" t="str">
        <f ca="1">IFERROR(__xludf.DUMMYFUNCTION("""COMPUTED_VALUE"""),"Highland Park")</f>
        <v>Highland Park</v>
      </c>
      <c r="X118" s="175">
        <f ca="1">IFERROR(__xludf.DUMMYFUNCTION("""COMPUTED_VALUE"""),0.75)</f>
        <v>0.75</v>
      </c>
      <c r="Y118" s="157" t="str">
        <f ca="1">IFERROR(__xludf.DUMMYFUNCTION("""COMPUTED_VALUE"""),"MAP")</f>
        <v>MAP</v>
      </c>
      <c r="Z118" s="145"/>
      <c r="AA118" s="158">
        <f ca="1">IFERROR(__xludf.DUMMYFUNCTION("""COMPUTED_VALUE"""),43)</f>
        <v>43</v>
      </c>
      <c r="AB118" s="176">
        <f ca="1">IFERROR(__xludf.DUMMYFUNCTION("""COMPUTED_VALUE"""),45482)</f>
        <v>45482</v>
      </c>
      <c r="AC118" s="157" t="str">
        <f ca="1">IFERROR(__xludf.DUMMYFUNCTION("""COMPUTED_VALUE"""),"20240709-43")</f>
        <v>20240709-43</v>
      </c>
      <c r="AD118" s="157" t="str">
        <f ca="1">IFERROR(__xludf.DUMMYFUNCTION("""COMPUTED_VALUE"""),"HP-Highland Park")</f>
        <v>HP-Highland Park</v>
      </c>
      <c r="AE118" s="157" t="str">
        <f ca="1">IFERROR(__xludf.DUMMYFUNCTION("""COMPUTED_VALUE"""),"HF-Hayfield Farm")</f>
        <v>HF-Hayfield Farm</v>
      </c>
      <c r="AF118" s="145"/>
      <c r="AG118" s="158"/>
      <c r="AH118" s="157"/>
    </row>
    <row r="119" spans="1:34" ht="13.2">
      <c r="A119" s="43"/>
      <c r="B119" s="43"/>
      <c r="C119" s="43"/>
      <c r="D119" s="43"/>
      <c r="E119" s="179"/>
      <c r="F119" s="179"/>
      <c r="G119" s="150"/>
      <c r="H119" s="150"/>
      <c r="I119" s="151"/>
      <c r="J119" s="151"/>
      <c r="K119" s="153"/>
      <c r="L119" s="153"/>
      <c r="M119" s="151"/>
      <c r="N119" s="151"/>
      <c r="O119" s="142"/>
      <c r="P119" s="142"/>
      <c r="Q119" s="162"/>
      <c r="R119" s="162"/>
      <c r="S119" s="162"/>
      <c r="T119" s="145"/>
      <c r="U119" s="168" t="str">
        <f ca="1">IFERROR(__xludf.DUMMYFUNCTION("""COMPUTED_VALUE"""),"Division V")</f>
        <v>Division V</v>
      </c>
      <c r="V119" s="162"/>
      <c r="W119" s="162"/>
      <c r="X119" s="162"/>
      <c r="Y119" s="162"/>
      <c r="Z119" s="145"/>
      <c r="AA119" s="170">
        <f ca="1">IFERROR(__xludf.DUMMYFUNCTION("""COMPUTED_VALUE"""),5)</f>
        <v>5</v>
      </c>
      <c r="AB119" s="171">
        <f ca="1">IFERROR(__xludf.DUMMYFUNCTION("""COMPUTED_VALUE"""),45482)</f>
        <v>45482</v>
      </c>
      <c r="AC119" s="162" t="str">
        <f ca="1">IFERROR(__xludf.DUMMYFUNCTION("""COMPUTED_VALUE"""),"")</f>
        <v/>
      </c>
      <c r="AD119" s="162" t="str">
        <f ca="1">IFERROR(__xludf.DUMMYFUNCTION("""COMPUTED_VALUE"""),"")</f>
        <v/>
      </c>
      <c r="AE119" s="162" t="str">
        <f ca="1">IFERROR(__xludf.DUMMYFUNCTION("""COMPUTED_VALUE"""),"")</f>
        <v/>
      </c>
      <c r="AF119" s="145"/>
      <c r="AG119" s="170"/>
      <c r="AH119" s="162"/>
    </row>
    <row r="120" spans="1:34" ht="13.2">
      <c r="A120" s="43"/>
      <c r="B120" s="43"/>
      <c r="C120" s="43"/>
      <c r="D120" s="43"/>
      <c r="E120" s="179"/>
      <c r="F120" s="179"/>
      <c r="G120" s="150"/>
      <c r="H120" s="150"/>
      <c r="I120" s="151"/>
      <c r="J120" s="151"/>
      <c r="K120" s="153"/>
      <c r="L120" s="153"/>
      <c r="M120" s="151"/>
      <c r="N120" s="151"/>
      <c r="O120" s="142"/>
      <c r="P120" s="142"/>
      <c r="Q120" s="157"/>
      <c r="R120" s="157"/>
      <c r="S120" s="157"/>
      <c r="T120" s="145"/>
      <c r="U120" s="174" t="str">
        <f ca="1">IFERROR(__xludf.DUMMYFUNCTION("""COMPUTED_VALUE"""),"Crosspointe")</f>
        <v>Crosspointe</v>
      </c>
      <c r="V120" s="157" t="str">
        <f ca="1">IFERROR(__xludf.DUMMYFUNCTION("""COMPUTED_VALUE"""),"at")</f>
        <v>at</v>
      </c>
      <c r="W120" s="157" t="str">
        <f ca="1">IFERROR(__xludf.DUMMYFUNCTION("""COMPUTED_VALUE"""),"Ravensworth Farm")</f>
        <v>Ravensworth Farm</v>
      </c>
      <c r="X120" s="175">
        <f ca="1">IFERROR(__xludf.DUMMYFUNCTION("""COMPUTED_VALUE"""),0.75)</f>
        <v>0.75</v>
      </c>
      <c r="Y120" s="157" t="str">
        <f ca="1">IFERROR(__xludf.DUMMYFUNCTION("""COMPUTED_VALUE"""),"MAP")</f>
        <v>MAP</v>
      </c>
      <c r="Z120" s="145"/>
      <c r="AA120" s="158">
        <f ca="1">IFERROR(__xludf.DUMMYFUNCTION("""COMPUTED_VALUE"""),51)</f>
        <v>51</v>
      </c>
      <c r="AB120" s="176">
        <f ca="1">IFERROR(__xludf.DUMMYFUNCTION("""COMPUTED_VALUE"""),45482)</f>
        <v>45482</v>
      </c>
      <c r="AC120" s="157" t="str">
        <f ca="1">IFERROR(__xludf.DUMMYFUNCTION("""COMPUTED_VALUE"""),"20240709-51")</f>
        <v>20240709-51</v>
      </c>
      <c r="AD120" s="157" t="str">
        <f ca="1">IFERROR(__xludf.DUMMYFUNCTION("""COMPUTED_VALUE"""),"R-Ravensworth Farm")</f>
        <v>R-Ravensworth Farm</v>
      </c>
      <c r="AE120" s="157" t="str">
        <f ca="1">IFERROR(__xludf.DUMMYFUNCTION("""COMPUTED_VALUE"""),"CP-Crosspointe")</f>
        <v>CP-Crosspointe</v>
      </c>
      <c r="AF120" s="145"/>
      <c r="AG120" s="158"/>
      <c r="AH120" s="157"/>
    </row>
    <row r="121" spans="1:34" ht="13.2">
      <c r="A121" s="43"/>
      <c r="B121" s="43"/>
      <c r="C121" s="43"/>
      <c r="D121" s="43"/>
      <c r="E121" s="179"/>
      <c r="F121" s="179"/>
      <c r="G121" s="150"/>
      <c r="H121" s="150"/>
      <c r="I121" s="151"/>
      <c r="J121" s="151"/>
      <c r="K121" s="153"/>
      <c r="L121" s="153"/>
      <c r="M121" s="151"/>
      <c r="N121" s="151"/>
      <c r="O121" s="142"/>
      <c r="P121" s="142"/>
      <c r="Q121" s="162"/>
      <c r="R121" s="162"/>
      <c r="S121" s="162"/>
      <c r="T121" s="145"/>
      <c r="U121" s="168" t="str">
        <f ca="1">IFERROR(__xludf.DUMMYFUNCTION("""COMPUTED_VALUE"""),"Cardinal Hill")</f>
        <v>Cardinal Hill</v>
      </c>
      <c r="V121" s="162" t="str">
        <f ca="1">IFERROR(__xludf.DUMMYFUNCTION("""COMPUTED_VALUE"""),"at")</f>
        <v>at</v>
      </c>
      <c r="W121" s="162" t="str">
        <f ca="1">IFERROR(__xludf.DUMMYFUNCTION("""COMPUTED_VALUE"""),"Sideburn Run")</f>
        <v>Sideburn Run</v>
      </c>
      <c r="X121" s="169">
        <f ca="1">IFERROR(__xludf.DUMMYFUNCTION("""COMPUTED_VALUE"""),0.75)</f>
        <v>0.75</v>
      </c>
      <c r="Y121" s="162" t="str">
        <f ca="1">IFERROR(__xludf.DUMMYFUNCTION("""COMPUTED_VALUE"""),"MAP")</f>
        <v>MAP</v>
      </c>
      <c r="Z121" s="145"/>
      <c r="AA121" s="170">
        <f ca="1">IFERROR(__xludf.DUMMYFUNCTION("""COMPUTED_VALUE"""),52)</f>
        <v>52</v>
      </c>
      <c r="AB121" s="171">
        <f ca="1">IFERROR(__xludf.DUMMYFUNCTION("""COMPUTED_VALUE"""),45482)</f>
        <v>45482</v>
      </c>
      <c r="AC121" s="162" t="str">
        <f ca="1">IFERROR(__xludf.DUMMYFUNCTION("""COMPUTED_VALUE"""),"20240709-52")</f>
        <v>20240709-52</v>
      </c>
      <c r="AD121" s="162" t="str">
        <f ca="1">IFERROR(__xludf.DUMMYFUNCTION("""COMPUTED_VALUE"""),"SR-Sideburn Run")</f>
        <v>SR-Sideburn Run</v>
      </c>
      <c r="AE121" s="162" t="str">
        <f ca="1">IFERROR(__xludf.DUMMYFUNCTION("""COMPUTED_VALUE"""),"CH-Cardinal Hill")</f>
        <v>CH-Cardinal Hill</v>
      </c>
      <c r="AF121" s="145"/>
      <c r="AG121" s="170"/>
      <c r="AH121" s="162"/>
    </row>
    <row r="122" spans="1:34" ht="13.2">
      <c r="A122" s="43"/>
      <c r="B122" s="43"/>
      <c r="C122" s="43"/>
      <c r="D122" s="43"/>
      <c r="E122" s="179"/>
      <c r="F122" s="179"/>
      <c r="G122" s="150"/>
      <c r="H122" s="150"/>
      <c r="I122" s="151"/>
      <c r="J122" s="151"/>
      <c r="K122" s="153"/>
      <c r="L122" s="153"/>
      <c r="M122" s="151"/>
      <c r="N122" s="151"/>
      <c r="O122" s="142"/>
      <c r="P122" s="142"/>
      <c r="Q122" s="157"/>
      <c r="R122" s="157"/>
      <c r="S122" s="157"/>
      <c r="T122" s="145"/>
      <c r="U122" s="174" t="str">
        <f ca="1">IFERROR(__xludf.DUMMYFUNCTION("""COMPUTED_VALUE"""),"Camelot")</f>
        <v>Camelot</v>
      </c>
      <c r="V122" s="157" t="str">
        <f ca="1">IFERROR(__xludf.DUMMYFUNCTION("""COMPUTED_VALUE"""),"at")</f>
        <v>at</v>
      </c>
      <c r="W122" s="157" t="str">
        <f ca="1">IFERROR(__xludf.DUMMYFUNCTION("""COMPUTED_VALUE"""),"Lakeview")</f>
        <v>Lakeview</v>
      </c>
      <c r="X122" s="175">
        <f ca="1">IFERROR(__xludf.DUMMYFUNCTION("""COMPUTED_VALUE"""),0.75)</f>
        <v>0.75</v>
      </c>
      <c r="Y122" s="157" t="str">
        <f ca="1">IFERROR(__xludf.DUMMYFUNCTION("""COMPUTED_VALUE"""),"MAP")</f>
        <v>MAP</v>
      </c>
      <c r="Z122" s="145"/>
      <c r="AA122" s="158">
        <f ca="1">IFERROR(__xludf.DUMMYFUNCTION("""COMPUTED_VALUE"""),53)</f>
        <v>53</v>
      </c>
      <c r="AB122" s="176">
        <f ca="1">IFERROR(__xludf.DUMMYFUNCTION("""COMPUTED_VALUE"""),45482)</f>
        <v>45482</v>
      </c>
      <c r="AC122" s="157" t="str">
        <f ca="1">IFERROR(__xludf.DUMMYFUNCTION("""COMPUTED_VALUE"""),"20240709-53")</f>
        <v>20240709-53</v>
      </c>
      <c r="AD122" s="157" t="str">
        <f ca="1">IFERROR(__xludf.DUMMYFUNCTION("""COMPUTED_VALUE"""),"LV-Lakeview")</f>
        <v>LV-Lakeview</v>
      </c>
      <c r="AE122" s="157" t="str">
        <f ca="1">IFERROR(__xludf.DUMMYFUNCTION("""COMPUTED_VALUE"""),"CCC-Camelot Community Club")</f>
        <v>CCC-Camelot Community Club</v>
      </c>
      <c r="AF122" s="145"/>
      <c r="AG122" s="158"/>
      <c r="AH122" s="157"/>
    </row>
    <row r="123" spans="1:34" ht="13.2">
      <c r="A123" s="43"/>
      <c r="B123" s="43"/>
      <c r="C123" s="43"/>
      <c r="D123" s="43"/>
      <c r="E123" s="179"/>
      <c r="F123" s="179"/>
      <c r="G123" s="150"/>
      <c r="H123" s="150"/>
      <c r="I123" s="151"/>
      <c r="J123" s="151"/>
      <c r="K123" s="153"/>
      <c r="L123" s="153"/>
      <c r="M123" s="151"/>
      <c r="N123" s="151"/>
      <c r="O123" s="142"/>
      <c r="P123" s="142"/>
      <c r="Q123" s="162"/>
      <c r="R123" s="162"/>
      <c r="S123" s="162"/>
      <c r="T123" s="145"/>
      <c r="U123" s="168" t="str">
        <f ca="1">IFERROR(__xludf.DUMMYFUNCTION("""COMPUTED_VALUE"""),"Division VI")</f>
        <v>Division VI</v>
      </c>
      <c r="V123" s="162"/>
      <c r="W123" s="162"/>
      <c r="X123" s="162"/>
      <c r="Y123" s="162"/>
      <c r="Z123" s="145"/>
      <c r="AA123" s="170">
        <f ca="1">IFERROR(__xludf.DUMMYFUNCTION("""COMPUTED_VALUE"""),6)</f>
        <v>6</v>
      </c>
      <c r="AB123" s="171">
        <f ca="1">IFERROR(__xludf.DUMMYFUNCTION("""COMPUTED_VALUE"""),45482)</f>
        <v>45482</v>
      </c>
      <c r="AC123" s="162" t="str">
        <f ca="1">IFERROR(__xludf.DUMMYFUNCTION("""COMPUTED_VALUE"""),"")</f>
        <v/>
      </c>
      <c r="AD123" s="162" t="str">
        <f ca="1">IFERROR(__xludf.DUMMYFUNCTION("""COMPUTED_VALUE"""),"")</f>
        <v/>
      </c>
      <c r="AE123" s="162" t="str">
        <f ca="1">IFERROR(__xludf.DUMMYFUNCTION("""COMPUTED_VALUE"""),"")</f>
        <v/>
      </c>
      <c r="AF123" s="145"/>
      <c r="AG123" s="170"/>
      <c r="AH123" s="162"/>
    </row>
    <row r="124" spans="1:34" ht="13.2">
      <c r="A124" s="43"/>
      <c r="B124" s="43"/>
      <c r="C124" s="43"/>
      <c r="D124" s="43"/>
      <c r="E124" s="179"/>
      <c r="F124" s="179"/>
      <c r="G124" s="150"/>
      <c r="H124" s="150"/>
      <c r="I124" s="151"/>
      <c r="J124" s="151"/>
      <c r="K124" s="153"/>
      <c r="L124" s="153"/>
      <c r="M124" s="151"/>
      <c r="N124" s="151"/>
      <c r="O124" s="142"/>
      <c r="P124" s="142"/>
      <c r="Q124" s="157"/>
      <c r="R124" s="157"/>
      <c r="S124" s="157"/>
      <c r="T124" s="145"/>
      <c r="U124" s="174" t="str">
        <f ca="1">IFERROR(__xludf.DUMMYFUNCTION("""COMPUTED_VALUE"""),"Mansion House")</f>
        <v>Mansion House</v>
      </c>
      <c r="V124" s="157" t="str">
        <f ca="1">IFERROR(__xludf.DUMMYFUNCTION("""COMPUTED_VALUE"""),"at")</f>
        <v>at</v>
      </c>
      <c r="W124" s="157" t="str">
        <f ca="1">IFERROR(__xludf.DUMMYFUNCTION("""COMPUTED_VALUE"""),"Wakefield Chapel")</f>
        <v>Wakefield Chapel</v>
      </c>
      <c r="X124" s="175">
        <f ca="1">IFERROR(__xludf.DUMMYFUNCTION("""COMPUTED_VALUE"""),0.75)</f>
        <v>0.75</v>
      </c>
      <c r="Y124" s="157" t="str">
        <f ca="1">IFERROR(__xludf.DUMMYFUNCTION("""COMPUTED_VALUE"""),"MAP")</f>
        <v>MAP</v>
      </c>
      <c r="Z124" s="145"/>
      <c r="AA124" s="158">
        <f ca="1">IFERROR(__xludf.DUMMYFUNCTION("""COMPUTED_VALUE"""),61)</f>
        <v>61</v>
      </c>
      <c r="AB124" s="176">
        <f ca="1">IFERROR(__xludf.DUMMYFUNCTION("""COMPUTED_VALUE"""),45482)</f>
        <v>45482</v>
      </c>
      <c r="AC124" s="157" t="str">
        <f ca="1">IFERROR(__xludf.DUMMYFUNCTION("""COMPUTED_VALUE"""),"20240709-61")</f>
        <v>20240709-61</v>
      </c>
      <c r="AD124" s="157" t="str">
        <f ca="1">IFERROR(__xludf.DUMMYFUNCTION("""COMPUTED_VALUE"""),"WC-Wakefield Chapel")</f>
        <v>WC-Wakefield Chapel</v>
      </c>
      <c r="AE124" s="157" t="str">
        <f ca="1">IFERROR(__xludf.DUMMYFUNCTION("""COMPUTED_VALUE"""),"MHC-Mansion House")</f>
        <v>MHC-Mansion House</v>
      </c>
      <c r="AF124" s="145"/>
      <c r="AG124" s="158"/>
      <c r="AH124" s="157"/>
    </row>
    <row r="125" spans="1:34" ht="13.2">
      <c r="A125" s="43"/>
      <c r="B125" s="43"/>
      <c r="C125" s="43"/>
      <c r="D125" s="43"/>
      <c r="E125" s="179"/>
      <c r="F125" s="179"/>
      <c r="G125" s="150"/>
      <c r="H125" s="150"/>
      <c r="I125" s="151"/>
      <c r="J125" s="151"/>
      <c r="K125" s="153"/>
      <c r="L125" s="153"/>
      <c r="M125" s="151"/>
      <c r="N125" s="151"/>
      <c r="O125" s="142"/>
      <c r="P125" s="142"/>
      <c r="Q125" s="162"/>
      <c r="R125" s="162"/>
      <c r="S125" s="162"/>
      <c r="T125" s="145"/>
      <c r="U125" s="168" t="str">
        <f ca="1">IFERROR(__xludf.DUMMYFUNCTION("""COMPUTED_VALUE"""),"Tuckahoe")</f>
        <v>Tuckahoe</v>
      </c>
      <c r="V125" s="162" t="str">
        <f ca="1">IFERROR(__xludf.DUMMYFUNCTION("""COMPUTED_VALUE"""),"at")</f>
        <v>at</v>
      </c>
      <c r="W125" s="162" t="str">
        <f ca="1">IFERROR(__xludf.DUMMYFUNCTION("""COMPUTED_VALUE"""),"Mantua")</f>
        <v>Mantua</v>
      </c>
      <c r="X125" s="169">
        <f ca="1">IFERROR(__xludf.DUMMYFUNCTION("""COMPUTED_VALUE"""),0.75)</f>
        <v>0.75</v>
      </c>
      <c r="Y125" s="162" t="str">
        <f ca="1">IFERROR(__xludf.DUMMYFUNCTION("""COMPUTED_VALUE"""),"MAP")</f>
        <v>MAP</v>
      </c>
      <c r="Z125" s="145"/>
      <c r="AA125" s="170">
        <f ca="1">IFERROR(__xludf.DUMMYFUNCTION("""COMPUTED_VALUE"""),62)</f>
        <v>62</v>
      </c>
      <c r="AB125" s="171">
        <f ca="1">IFERROR(__xludf.DUMMYFUNCTION("""COMPUTED_VALUE"""),45482)</f>
        <v>45482</v>
      </c>
      <c r="AC125" s="162" t="str">
        <f ca="1">IFERROR(__xludf.DUMMYFUNCTION("""COMPUTED_VALUE"""),"20240709-62")</f>
        <v>20240709-62</v>
      </c>
      <c r="AD125" s="162" t="str">
        <f ca="1">IFERROR(__xludf.DUMMYFUNCTION("""COMPUTED_VALUE"""),"M-Mantua")</f>
        <v>M-Mantua</v>
      </c>
      <c r="AE125" s="162" t="str">
        <f ca="1">IFERROR(__xludf.DUMMYFUNCTION("""COMPUTED_VALUE"""),"T-Tuckahoe")</f>
        <v>T-Tuckahoe</v>
      </c>
      <c r="AF125" s="145"/>
      <c r="AG125" s="170"/>
      <c r="AH125" s="162"/>
    </row>
    <row r="126" spans="1:34" ht="13.2">
      <c r="A126" s="43"/>
      <c r="B126" s="43"/>
      <c r="C126" s="43"/>
      <c r="D126" s="43"/>
      <c r="E126" s="179"/>
      <c r="F126" s="179"/>
      <c r="G126" s="150"/>
      <c r="H126" s="150"/>
      <c r="I126" s="151"/>
      <c r="J126" s="151"/>
      <c r="K126" s="153"/>
      <c r="L126" s="153"/>
      <c r="M126" s="151"/>
      <c r="N126" s="151"/>
      <c r="O126" s="142"/>
      <c r="P126" s="142"/>
      <c r="Q126" s="157"/>
      <c r="R126" s="157"/>
      <c r="S126" s="157"/>
      <c r="T126" s="145"/>
      <c r="U126" s="174" t="str">
        <f ca="1">IFERROR(__xludf.DUMMYFUNCTION("""COMPUTED_VALUE"""),"Sleepy Hollow B &amp; R")</f>
        <v>Sleepy Hollow B &amp; R</v>
      </c>
      <c r="V126" s="157" t="str">
        <f ca="1">IFERROR(__xludf.DUMMYFUNCTION("""COMPUTED_VALUE"""),"at")</f>
        <v>at</v>
      </c>
      <c r="W126" s="157" t="str">
        <f ca="1">IFERROR(__xludf.DUMMYFUNCTION("""COMPUTED_VALUE"""),"Parklawn")</f>
        <v>Parklawn</v>
      </c>
      <c r="X126" s="175">
        <f ca="1">IFERROR(__xludf.DUMMYFUNCTION("""COMPUTED_VALUE"""),0.75)</f>
        <v>0.75</v>
      </c>
      <c r="Y126" s="157" t="str">
        <f ca="1">IFERROR(__xludf.DUMMYFUNCTION("""COMPUTED_VALUE"""),"MAP")</f>
        <v>MAP</v>
      </c>
      <c r="Z126" s="145"/>
      <c r="AA126" s="158">
        <f ca="1">IFERROR(__xludf.DUMMYFUNCTION("""COMPUTED_VALUE"""),63)</f>
        <v>63</v>
      </c>
      <c r="AB126" s="176">
        <f ca="1">IFERROR(__xludf.DUMMYFUNCTION("""COMPUTED_VALUE"""),45482)</f>
        <v>45482</v>
      </c>
      <c r="AC126" s="157" t="str">
        <f ca="1">IFERROR(__xludf.DUMMYFUNCTION("""COMPUTED_VALUE"""),"20240709-63")</f>
        <v>20240709-63</v>
      </c>
      <c r="AD126" s="157" t="str">
        <f ca="1">IFERROR(__xludf.DUMMYFUNCTION("""COMPUTED_VALUE"""),"PL-Parklawn")</f>
        <v>PL-Parklawn</v>
      </c>
      <c r="AE126" s="157" t="str">
        <f ca="1">IFERROR(__xludf.DUMMYFUNCTION("""COMPUTED_VALUE"""),"SHB-Sleepy Hollow Bath")</f>
        <v>SHB-Sleepy Hollow Bath</v>
      </c>
      <c r="AF126" s="145"/>
      <c r="AG126" s="158"/>
      <c r="AH126" s="157"/>
    </row>
    <row r="127" spans="1:34" ht="13.2">
      <c r="A127" s="43"/>
      <c r="B127" s="43"/>
      <c r="C127" s="43"/>
      <c r="D127" s="43"/>
      <c r="E127" s="179"/>
      <c r="F127" s="179"/>
      <c r="G127" s="150"/>
      <c r="H127" s="150"/>
      <c r="I127" s="151"/>
      <c r="J127" s="151"/>
      <c r="K127" s="153"/>
      <c r="L127" s="153"/>
      <c r="M127" s="151"/>
      <c r="N127" s="151"/>
      <c r="O127" s="142"/>
      <c r="P127" s="142"/>
      <c r="Q127" s="162"/>
      <c r="R127" s="162"/>
      <c r="S127" s="162"/>
      <c r="T127" s="145"/>
      <c r="U127" s="168" t="str">
        <f ca="1">IFERROR(__xludf.DUMMYFUNCTION("""COMPUTED_VALUE"""),"Division VII")</f>
        <v>Division VII</v>
      </c>
      <c r="V127" s="162"/>
      <c r="W127" s="162"/>
      <c r="X127" s="162"/>
      <c r="Y127" s="162"/>
      <c r="Z127" s="145"/>
      <c r="AA127" s="170">
        <f ca="1">IFERROR(__xludf.DUMMYFUNCTION("""COMPUTED_VALUE"""),7)</f>
        <v>7</v>
      </c>
      <c r="AB127" s="171">
        <f ca="1">IFERROR(__xludf.DUMMYFUNCTION("""COMPUTED_VALUE"""),45482)</f>
        <v>45482</v>
      </c>
      <c r="AC127" s="162" t="str">
        <f ca="1">IFERROR(__xludf.DUMMYFUNCTION("""COMPUTED_VALUE"""),"")</f>
        <v/>
      </c>
      <c r="AD127" s="162" t="str">
        <f ca="1">IFERROR(__xludf.DUMMYFUNCTION("""COMPUTED_VALUE"""),"")</f>
        <v/>
      </c>
      <c r="AE127" s="162" t="str">
        <f ca="1">IFERROR(__xludf.DUMMYFUNCTION("""COMPUTED_VALUE"""),"")</f>
        <v/>
      </c>
      <c r="AF127" s="145"/>
      <c r="AG127" s="170"/>
      <c r="AH127" s="162"/>
    </row>
    <row r="128" spans="1:34" ht="13.2">
      <c r="A128" s="43"/>
      <c r="B128" s="43"/>
      <c r="C128" s="43"/>
      <c r="D128" s="43"/>
      <c r="E128" s="179"/>
      <c r="F128" s="179"/>
      <c r="G128" s="150"/>
      <c r="H128" s="150"/>
      <c r="I128" s="151"/>
      <c r="J128" s="151"/>
      <c r="K128" s="153"/>
      <c r="L128" s="153"/>
      <c r="M128" s="151"/>
      <c r="N128" s="151"/>
      <c r="O128" s="142"/>
      <c r="P128" s="142"/>
      <c r="Q128" s="157"/>
      <c r="R128" s="157"/>
      <c r="S128" s="157"/>
      <c r="T128" s="145"/>
      <c r="U128" s="174" t="str">
        <f ca="1">IFERROR(__xludf.DUMMYFUNCTION("""COMPUTED_VALUE"""),"Rutherford")</f>
        <v>Rutherford</v>
      </c>
      <c r="V128" s="157" t="str">
        <f ca="1">IFERROR(__xludf.DUMMYFUNCTION("""COMPUTED_VALUE"""),"at")</f>
        <v>at</v>
      </c>
      <c r="W128" s="157" t="str">
        <f ca="1">IFERROR(__xludf.DUMMYFUNCTION("""COMPUTED_VALUE"""),"Annandale")</f>
        <v>Annandale</v>
      </c>
      <c r="X128" s="175">
        <f ca="1">IFERROR(__xludf.DUMMYFUNCTION("""COMPUTED_VALUE"""),0.75)</f>
        <v>0.75</v>
      </c>
      <c r="Y128" s="157" t="str">
        <f ca="1">IFERROR(__xludf.DUMMYFUNCTION("""COMPUTED_VALUE"""),"MAP")</f>
        <v>MAP</v>
      </c>
      <c r="Z128" s="145"/>
      <c r="AA128" s="158">
        <f ca="1">IFERROR(__xludf.DUMMYFUNCTION("""COMPUTED_VALUE"""),71)</f>
        <v>71</v>
      </c>
      <c r="AB128" s="176">
        <f ca="1">IFERROR(__xludf.DUMMYFUNCTION("""COMPUTED_VALUE"""),45482)</f>
        <v>45482</v>
      </c>
      <c r="AC128" s="157" t="str">
        <f ca="1">IFERROR(__xludf.DUMMYFUNCTION("""COMPUTED_VALUE"""),"20240709-71")</f>
        <v>20240709-71</v>
      </c>
      <c r="AD128" s="157" t="str">
        <f ca="1">IFERROR(__xludf.DUMMYFUNCTION("""COMPUTED_VALUE"""),"A-Annandale")</f>
        <v>A-Annandale</v>
      </c>
      <c r="AE128" s="157" t="str">
        <f ca="1">IFERROR(__xludf.DUMMYFUNCTION("""COMPUTED_VALUE"""),"RFD-Rutherford")</f>
        <v>RFD-Rutherford</v>
      </c>
      <c r="AF128" s="145"/>
      <c r="AG128" s="158"/>
      <c r="AH128" s="157"/>
    </row>
    <row r="129" spans="1:34" ht="13.2">
      <c r="A129" s="43"/>
      <c r="B129" s="43"/>
      <c r="C129" s="43"/>
      <c r="D129" s="43"/>
      <c r="E129" s="179"/>
      <c r="F129" s="179"/>
      <c r="G129" s="150"/>
      <c r="H129" s="150"/>
      <c r="I129" s="151"/>
      <c r="J129" s="151"/>
      <c r="K129" s="153"/>
      <c r="L129" s="153"/>
      <c r="M129" s="151"/>
      <c r="N129" s="151"/>
      <c r="O129" s="142"/>
      <c r="P129" s="142"/>
      <c r="Q129" s="162"/>
      <c r="R129" s="162"/>
      <c r="S129" s="162"/>
      <c r="T129" s="145"/>
      <c r="U129" s="168" t="str">
        <f ca="1">IFERROR(__xludf.DUMMYFUNCTION("""COMPUTED_VALUE"""),"North Springfield")</f>
        <v>North Springfield</v>
      </c>
      <c r="V129" s="162" t="str">
        <f ca="1">IFERROR(__xludf.DUMMYFUNCTION("""COMPUTED_VALUE"""),"at")</f>
        <v>at</v>
      </c>
      <c r="W129" s="162" t="str">
        <f ca="1">IFERROR(__xludf.DUMMYFUNCTION("""COMPUTED_VALUE"""),"Commonwealth")</f>
        <v>Commonwealth</v>
      </c>
      <c r="X129" s="169">
        <f ca="1">IFERROR(__xludf.DUMMYFUNCTION("""COMPUTED_VALUE"""),0.75)</f>
        <v>0.75</v>
      </c>
      <c r="Y129" s="162" t="str">
        <f ca="1">IFERROR(__xludf.DUMMYFUNCTION("""COMPUTED_VALUE"""),"MAP")</f>
        <v>MAP</v>
      </c>
      <c r="Z129" s="145"/>
      <c r="AA129" s="170">
        <f ca="1">IFERROR(__xludf.DUMMYFUNCTION("""COMPUTED_VALUE"""),72)</f>
        <v>72</v>
      </c>
      <c r="AB129" s="171">
        <f ca="1">IFERROR(__xludf.DUMMYFUNCTION("""COMPUTED_VALUE"""),45482)</f>
        <v>45482</v>
      </c>
      <c r="AC129" s="162" t="str">
        <f ca="1">IFERROR(__xludf.DUMMYFUNCTION("""COMPUTED_VALUE"""),"20240709-72")</f>
        <v>20240709-72</v>
      </c>
      <c r="AD129" s="162" t="str">
        <f ca="1">IFERROR(__xludf.DUMMYFUNCTION("""COMPUTED_VALUE"""),"CSC-Commonwealth Swim Club")</f>
        <v>CSC-Commonwealth Swim Club</v>
      </c>
      <c r="AE129" s="162" t="str">
        <f ca="1">IFERROR(__xludf.DUMMYFUNCTION("""COMPUTED_VALUE"""),"NS-North Springfield")</f>
        <v>NS-North Springfield</v>
      </c>
      <c r="AF129" s="145"/>
      <c r="AG129" s="170"/>
      <c r="AH129" s="162"/>
    </row>
    <row r="130" spans="1:34" ht="13.2">
      <c r="A130" s="43"/>
      <c r="B130" s="43"/>
      <c r="C130" s="43"/>
      <c r="D130" s="43"/>
      <c r="E130" s="179"/>
      <c r="F130" s="179"/>
      <c r="G130" s="150"/>
      <c r="H130" s="150"/>
      <c r="I130" s="151"/>
      <c r="J130" s="151"/>
      <c r="K130" s="153"/>
      <c r="L130" s="153"/>
      <c r="M130" s="151"/>
      <c r="N130" s="151"/>
      <c r="O130" s="142"/>
      <c r="P130" s="142"/>
      <c r="Q130" s="157"/>
      <c r="R130" s="157"/>
      <c r="S130" s="157"/>
      <c r="T130" s="145"/>
      <c r="U130" s="174" t="str">
        <f ca="1">IFERROR(__xludf.DUMMYFUNCTION("""COMPUTED_VALUE"""),"Arlington Forest")</f>
        <v>Arlington Forest</v>
      </c>
      <c r="V130" s="157" t="str">
        <f ca="1">IFERROR(__xludf.DUMMYFUNCTION("""COMPUTED_VALUE"""),"at")</f>
        <v>at</v>
      </c>
      <c r="W130" s="157" t="str">
        <f ca="1">IFERROR(__xludf.DUMMYFUNCTION("""COMPUTED_VALUE"""),"Springfield")</f>
        <v>Springfield</v>
      </c>
      <c r="X130" s="175">
        <f ca="1">IFERROR(__xludf.DUMMYFUNCTION("""COMPUTED_VALUE"""),0.75)</f>
        <v>0.75</v>
      </c>
      <c r="Y130" s="157" t="str">
        <f ca="1">IFERROR(__xludf.DUMMYFUNCTION("""COMPUTED_VALUE"""),"MAP")</f>
        <v>MAP</v>
      </c>
      <c r="Z130" s="145"/>
      <c r="AA130" s="158">
        <f ca="1">IFERROR(__xludf.DUMMYFUNCTION("""COMPUTED_VALUE"""),73)</f>
        <v>73</v>
      </c>
      <c r="AB130" s="176">
        <f ca="1">IFERROR(__xludf.DUMMYFUNCTION("""COMPUTED_VALUE"""),45482)</f>
        <v>45482</v>
      </c>
      <c r="AC130" s="157" t="str">
        <f ca="1">IFERROR(__xludf.DUMMYFUNCTION("""COMPUTED_VALUE"""),"20240709-73")</f>
        <v>20240709-73</v>
      </c>
      <c r="AD130" s="157" t="str">
        <f ca="1">IFERROR(__xludf.DUMMYFUNCTION("""COMPUTED_VALUE"""),"S-Springfield")</f>
        <v>S-Springfield</v>
      </c>
      <c r="AE130" s="157" t="str">
        <f ca="1">IFERROR(__xludf.DUMMYFUNCTION("""COMPUTED_VALUE"""),"AF-Arlington Forest")</f>
        <v>AF-Arlington Forest</v>
      </c>
      <c r="AF130" s="145"/>
      <c r="AG130" s="158"/>
      <c r="AH130" s="157"/>
    </row>
    <row r="131" spans="1:34" ht="13.2">
      <c r="A131" s="43"/>
      <c r="B131" s="43"/>
      <c r="C131" s="43"/>
      <c r="D131" s="43"/>
      <c r="E131" s="179"/>
      <c r="F131" s="179"/>
      <c r="G131" s="150"/>
      <c r="H131" s="150"/>
      <c r="I131" s="151"/>
      <c r="J131" s="151"/>
      <c r="K131" s="153"/>
      <c r="L131" s="153"/>
      <c r="M131" s="151"/>
      <c r="N131" s="151"/>
      <c r="O131" s="142"/>
      <c r="P131" s="142"/>
      <c r="Q131" s="162"/>
      <c r="R131" s="162"/>
      <c r="S131" s="162"/>
      <c r="T131" s="145"/>
      <c r="U131" s="168" t="str">
        <f ca="1">IFERROR(__xludf.DUMMYFUNCTION("""COMPUTED_VALUE"""),"Division VIII")</f>
        <v>Division VIII</v>
      </c>
      <c r="V131" s="162"/>
      <c r="W131" s="162"/>
      <c r="X131" s="162"/>
      <c r="Y131" s="162"/>
      <c r="Z131" s="145"/>
      <c r="AA131" s="170">
        <f ca="1">IFERROR(__xludf.DUMMYFUNCTION("""COMPUTED_VALUE"""),8)</f>
        <v>8</v>
      </c>
      <c r="AB131" s="171">
        <f ca="1">IFERROR(__xludf.DUMMYFUNCTION("""COMPUTED_VALUE"""),45482)</f>
        <v>45482</v>
      </c>
      <c r="AC131" s="162" t="str">
        <f ca="1">IFERROR(__xludf.DUMMYFUNCTION("""COMPUTED_VALUE"""),"")</f>
        <v/>
      </c>
      <c r="AD131" s="162" t="str">
        <f ca="1">IFERROR(__xludf.DUMMYFUNCTION("""COMPUTED_VALUE"""),"")</f>
        <v/>
      </c>
      <c r="AE131" s="162" t="str">
        <f ca="1">IFERROR(__xludf.DUMMYFUNCTION("""COMPUTED_VALUE"""),"")</f>
        <v/>
      </c>
      <c r="AF131" s="145"/>
      <c r="AG131" s="170"/>
      <c r="AH131" s="162"/>
    </row>
    <row r="132" spans="1:34" ht="13.2">
      <c r="A132" s="43"/>
      <c r="B132" s="43"/>
      <c r="C132" s="43"/>
      <c r="D132" s="43"/>
      <c r="E132" s="179"/>
      <c r="F132" s="179"/>
      <c r="G132" s="150"/>
      <c r="H132" s="150"/>
      <c r="I132" s="151"/>
      <c r="J132" s="151"/>
      <c r="K132" s="153"/>
      <c r="L132" s="153"/>
      <c r="M132" s="151"/>
      <c r="N132" s="151"/>
      <c r="O132" s="142"/>
      <c r="P132" s="142"/>
      <c r="Q132" s="157"/>
      <c r="R132" s="157"/>
      <c r="S132" s="157"/>
      <c r="T132" s="145"/>
      <c r="U132" s="174" t="str">
        <f ca="1">IFERROR(__xludf.DUMMYFUNCTION("""COMPUTED_VALUE"""),"Orange Hunt")</f>
        <v>Orange Hunt</v>
      </c>
      <c r="V132" s="157" t="str">
        <f ca="1">IFERROR(__xludf.DUMMYFUNCTION("""COMPUTED_VALUE"""),"at")</f>
        <v>at</v>
      </c>
      <c r="W132" s="157" t="str">
        <f ca="1">IFERROR(__xludf.DUMMYFUNCTION("""COMPUTED_VALUE"""),"Hamlet")</f>
        <v>Hamlet</v>
      </c>
      <c r="X132" s="175">
        <f ca="1">IFERROR(__xludf.DUMMYFUNCTION("""COMPUTED_VALUE"""),0.75)</f>
        <v>0.75</v>
      </c>
      <c r="Y132" s="157" t="str">
        <f ca="1">IFERROR(__xludf.DUMMYFUNCTION("""COMPUTED_VALUE"""),"MAP")</f>
        <v>MAP</v>
      </c>
      <c r="Z132" s="145"/>
      <c r="AA132" s="158">
        <f ca="1">IFERROR(__xludf.DUMMYFUNCTION("""COMPUTED_VALUE"""),81)</f>
        <v>81</v>
      </c>
      <c r="AB132" s="176">
        <f ca="1">IFERROR(__xludf.DUMMYFUNCTION("""COMPUTED_VALUE"""),45482)</f>
        <v>45482</v>
      </c>
      <c r="AC132" s="157" t="str">
        <f ca="1">IFERROR(__xludf.DUMMYFUNCTION("""COMPUTED_VALUE"""),"20240709-81")</f>
        <v>20240709-81</v>
      </c>
      <c r="AD132" s="157" t="str">
        <f ca="1">IFERROR(__xludf.DUMMYFUNCTION("""COMPUTED_VALUE"""),"HSC-Hamlet Swim Club")</f>
        <v>HSC-Hamlet Swim Club</v>
      </c>
      <c r="AE132" s="157" t="str">
        <f ca="1">IFERROR(__xludf.DUMMYFUNCTION("""COMPUTED_VALUE"""),"OH-Orange Hunt")</f>
        <v>OH-Orange Hunt</v>
      </c>
      <c r="AF132" s="145"/>
      <c r="AG132" s="158"/>
      <c r="AH132" s="157"/>
    </row>
    <row r="133" spans="1:34" ht="13.2">
      <c r="A133" s="43"/>
      <c r="B133" s="43"/>
      <c r="C133" s="43"/>
      <c r="D133" s="43"/>
      <c r="E133" s="179"/>
      <c r="F133" s="179"/>
      <c r="G133" s="150"/>
      <c r="H133" s="150"/>
      <c r="I133" s="151"/>
      <c r="J133" s="151"/>
      <c r="K133" s="153"/>
      <c r="L133" s="153"/>
      <c r="M133" s="151"/>
      <c r="N133" s="151"/>
      <c r="O133" s="142"/>
      <c r="P133" s="142"/>
      <c r="Q133" s="162"/>
      <c r="R133" s="162"/>
      <c r="S133" s="162"/>
      <c r="T133" s="145"/>
      <c r="U133" s="168" t="str">
        <f ca="1">IFERROR(__xludf.DUMMYFUNCTION("""COMPUTED_VALUE"""),"Stratford")</f>
        <v>Stratford</v>
      </c>
      <c r="V133" s="162" t="str">
        <f ca="1">IFERROR(__xludf.DUMMYFUNCTION("""COMPUTED_VALUE"""),"at")</f>
        <v>at</v>
      </c>
      <c r="W133" s="162" t="str">
        <f ca="1">IFERROR(__xludf.DUMMYFUNCTION("""COMPUTED_VALUE"""),"Pinecrest")</f>
        <v>Pinecrest</v>
      </c>
      <c r="X133" s="169">
        <f ca="1">IFERROR(__xludf.DUMMYFUNCTION("""COMPUTED_VALUE"""),0.75)</f>
        <v>0.75</v>
      </c>
      <c r="Y133" s="162" t="str">
        <f ca="1">IFERROR(__xludf.DUMMYFUNCTION("""COMPUTED_VALUE"""),"MAP")</f>
        <v>MAP</v>
      </c>
      <c r="Z133" s="145"/>
      <c r="AA133" s="170">
        <f ca="1">IFERROR(__xludf.DUMMYFUNCTION("""COMPUTED_VALUE"""),82)</f>
        <v>82</v>
      </c>
      <c r="AB133" s="171">
        <f ca="1">IFERROR(__xludf.DUMMYFUNCTION("""COMPUTED_VALUE"""),45482)</f>
        <v>45482</v>
      </c>
      <c r="AC133" s="162" t="str">
        <f ca="1">IFERROR(__xludf.DUMMYFUNCTION("""COMPUTED_VALUE"""),"20240709-82")</f>
        <v>20240709-82</v>
      </c>
      <c r="AD133" s="162" t="str">
        <f ca="1">IFERROR(__xludf.DUMMYFUNCTION("""COMPUTED_VALUE"""),"PC-Pinecrest")</f>
        <v>PC-Pinecrest</v>
      </c>
      <c r="AE133" s="162" t="str">
        <f ca="1">IFERROR(__xludf.DUMMYFUNCTION("""COMPUTED_VALUE"""),"SRA-Stratford Rec Association")</f>
        <v>SRA-Stratford Rec Association</v>
      </c>
      <c r="AF133" s="145"/>
      <c r="AG133" s="170"/>
      <c r="AH133" s="162"/>
    </row>
    <row r="134" spans="1:34" ht="13.2">
      <c r="A134" s="43"/>
      <c r="B134" s="43"/>
      <c r="C134" s="43"/>
      <c r="D134" s="43"/>
      <c r="E134" s="179"/>
      <c r="F134" s="179"/>
      <c r="G134" s="150"/>
      <c r="H134" s="150"/>
      <c r="I134" s="151"/>
      <c r="J134" s="151"/>
      <c r="K134" s="153"/>
      <c r="L134" s="153"/>
      <c r="M134" s="151"/>
      <c r="N134" s="151"/>
      <c r="O134" s="142"/>
      <c r="P134" s="142"/>
      <c r="Q134" s="157"/>
      <c r="R134" s="157"/>
      <c r="S134" s="157"/>
      <c r="T134" s="145"/>
      <c r="U134" s="174" t="str">
        <f ca="1">IFERROR(__xludf.DUMMYFUNCTION("""COMPUTED_VALUE"""),"Springboard")</f>
        <v>Springboard</v>
      </c>
      <c r="V134" s="157" t="str">
        <f ca="1">IFERROR(__xludf.DUMMYFUNCTION("""COMPUTED_VALUE"""),"at")</f>
        <v>at</v>
      </c>
      <c r="W134" s="157" t="str">
        <f ca="1">IFERROR(__xludf.DUMMYFUNCTION("""COMPUTED_VALUE"""),"Ilda Community")</f>
        <v>Ilda Community</v>
      </c>
      <c r="X134" s="175">
        <f ca="1">IFERROR(__xludf.DUMMYFUNCTION("""COMPUTED_VALUE"""),0.75)</f>
        <v>0.75</v>
      </c>
      <c r="Y134" s="157" t="str">
        <f ca="1">IFERROR(__xludf.DUMMYFUNCTION("""COMPUTED_VALUE"""),"MAP")</f>
        <v>MAP</v>
      </c>
      <c r="Z134" s="145"/>
      <c r="AA134" s="158">
        <f ca="1">IFERROR(__xludf.DUMMYFUNCTION("""COMPUTED_VALUE"""),83)</f>
        <v>83</v>
      </c>
      <c r="AB134" s="176">
        <f ca="1">IFERROR(__xludf.DUMMYFUNCTION("""COMPUTED_VALUE"""),45482)</f>
        <v>45482</v>
      </c>
      <c r="AC134" s="157" t="str">
        <f ca="1">IFERROR(__xludf.DUMMYFUNCTION("""COMPUTED_VALUE"""),"20240709-83")</f>
        <v>20240709-83</v>
      </c>
      <c r="AD134" s="157" t="str">
        <f ca="1">IFERROR(__xludf.DUMMYFUNCTION("""COMPUTED_VALUE"""),"IC-Ilda Community")</f>
        <v>IC-Ilda Community</v>
      </c>
      <c r="AE134" s="157" t="str">
        <f ca="1">IFERROR(__xludf.DUMMYFUNCTION("""COMPUTED_VALUE"""),"SB-Springboard Recreation Club")</f>
        <v>SB-Springboard Recreation Club</v>
      </c>
      <c r="AF134" s="145"/>
      <c r="AG134" s="158"/>
      <c r="AH134" s="157"/>
    </row>
    <row r="135" spans="1:34" ht="13.2">
      <c r="A135" s="43"/>
      <c r="B135" s="43"/>
      <c r="C135" s="43"/>
      <c r="D135" s="43"/>
      <c r="E135" s="179"/>
      <c r="F135" s="179"/>
      <c r="G135" s="150"/>
      <c r="H135" s="150"/>
      <c r="I135" s="151"/>
      <c r="J135" s="151"/>
      <c r="K135" s="153"/>
      <c r="L135" s="153"/>
      <c r="M135" s="151"/>
      <c r="N135" s="151"/>
      <c r="O135" s="142"/>
      <c r="P135" s="142"/>
      <c r="Q135" s="162"/>
      <c r="R135" s="162"/>
      <c r="S135" s="162"/>
      <c r="T135" s="145"/>
      <c r="U135" s="168">
        <f ca="1">IFERROR(__xludf.DUMMYFUNCTION("""COMPUTED_VALUE"""),45489)</f>
        <v>45489</v>
      </c>
      <c r="V135" s="162"/>
      <c r="W135" s="162"/>
      <c r="X135" s="162"/>
      <c r="Y135" s="162"/>
      <c r="Z135" s="145"/>
      <c r="AA135" s="170">
        <f ca="1">IFERROR(__xludf.DUMMYFUNCTION("""COMPUTED_VALUE"""),1)</f>
        <v>1</v>
      </c>
      <c r="AB135" s="171">
        <f ca="1">IFERROR(__xludf.DUMMYFUNCTION("""COMPUTED_VALUE"""),45489)</f>
        <v>45489</v>
      </c>
      <c r="AC135" s="162" t="str">
        <f ca="1">IFERROR(__xludf.DUMMYFUNCTION("""COMPUTED_VALUE"""),"")</f>
        <v/>
      </c>
      <c r="AD135" s="162" t="str">
        <f ca="1">IFERROR(__xludf.DUMMYFUNCTION("""COMPUTED_VALUE"""),"")</f>
        <v/>
      </c>
      <c r="AE135" s="162" t="str">
        <f ca="1">IFERROR(__xludf.DUMMYFUNCTION("""COMPUTED_VALUE"""),"")</f>
        <v/>
      </c>
      <c r="AF135" s="145"/>
      <c r="AG135" s="170"/>
      <c r="AH135" s="162"/>
    </row>
    <row r="136" spans="1:34" ht="13.2">
      <c r="A136" s="43"/>
      <c r="B136" s="43"/>
      <c r="C136" s="43"/>
      <c r="D136" s="43"/>
      <c r="E136" s="179"/>
      <c r="F136" s="179"/>
      <c r="G136" s="150"/>
      <c r="H136" s="150"/>
      <c r="I136" s="151"/>
      <c r="J136" s="151"/>
      <c r="K136" s="153"/>
      <c r="L136" s="153"/>
      <c r="M136" s="151"/>
      <c r="N136" s="151"/>
      <c r="O136" s="142"/>
      <c r="P136" s="142"/>
      <c r="Q136" s="157"/>
      <c r="R136" s="157"/>
      <c r="S136" s="157"/>
      <c r="T136" s="145"/>
      <c r="U136" s="174" t="str">
        <f ca="1">IFERROR(__xludf.DUMMYFUNCTION("""COMPUTED_VALUE"""),"Fairfax")</f>
        <v>Fairfax</v>
      </c>
      <c r="V136" s="157" t="str">
        <f ca="1">IFERROR(__xludf.DUMMYFUNCTION("""COMPUTED_VALUE"""),"at")</f>
        <v>at</v>
      </c>
      <c r="W136" s="157" t="str">
        <f ca="1">IFERROR(__xludf.DUMMYFUNCTION("""COMPUTED_VALUE"""),"Oakton")</f>
        <v>Oakton</v>
      </c>
      <c r="X136" s="175">
        <f ca="1">IFERROR(__xludf.DUMMYFUNCTION("""COMPUTED_VALUE"""),0.75)</f>
        <v>0.75</v>
      </c>
      <c r="Y136" s="157" t="str">
        <f ca="1">IFERROR(__xludf.DUMMYFUNCTION("""COMPUTED_VALUE"""),"MAP")</f>
        <v>MAP</v>
      </c>
      <c r="Z136" s="145"/>
      <c r="AA136" s="158">
        <f ca="1">IFERROR(__xludf.DUMMYFUNCTION("""COMPUTED_VALUE"""),11)</f>
        <v>11</v>
      </c>
      <c r="AB136" s="176">
        <f ca="1">IFERROR(__xludf.DUMMYFUNCTION("""COMPUTED_VALUE"""),45489)</f>
        <v>45489</v>
      </c>
      <c r="AC136" s="157" t="str">
        <f ca="1">IFERROR(__xludf.DUMMYFUNCTION("""COMPUTED_VALUE"""),"20240716-11")</f>
        <v>20240716-11</v>
      </c>
      <c r="AD136" s="157" t="str">
        <f ca="1">IFERROR(__xludf.DUMMYFUNCTION("""COMPUTED_VALUE"""),"OAK-Oakton")</f>
        <v>OAK-Oakton</v>
      </c>
      <c r="AE136" s="157" t="str">
        <f ca="1">IFERROR(__xludf.DUMMYFUNCTION("""COMPUTED_VALUE"""),"F-Fairfax")</f>
        <v>F-Fairfax</v>
      </c>
      <c r="AF136" s="145"/>
      <c r="AG136" s="158"/>
      <c r="AH136" s="157"/>
    </row>
    <row r="137" spans="1:34" ht="13.2">
      <c r="A137" s="43"/>
      <c r="B137" s="43"/>
      <c r="C137" s="43"/>
      <c r="D137" s="43"/>
      <c r="E137" s="179"/>
      <c r="F137" s="179"/>
      <c r="G137" s="150"/>
      <c r="H137" s="150"/>
      <c r="I137" s="151"/>
      <c r="J137" s="151"/>
      <c r="K137" s="153"/>
      <c r="L137" s="153"/>
      <c r="M137" s="151"/>
      <c r="N137" s="151"/>
      <c r="O137" s="142"/>
      <c r="P137" s="142"/>
      <c r="Q137" s="162"/>
      <c r="R137" s="162"/>
      <c r="S137" s="162"/>
      <c r="T137" s="145"/>
      <c r="U137" s="168" t="str">
        <f ca="1">IFERROR(__xludf.DUMMYFUNCTION("""COMPUTED_VALUE"""),"Old Keene Mill")</f>
        <v>Old Keene Mill</v>
      </c>
      <c r="V137" s="162" t="str">
        <f ca="1">IFERROR(__xludf.DUMMYFUNCTION("""COMPUTED_VALUE"""),"at")</f>
        <v>at</v>
      </c>
      <c r="W137" s="162" t="str">
        <f ca="1">IFERROR(__xludf.DUMMYFUNCTION("""COMPUTED_VALUE"""),"Overlee")</f>
        <v>Overlee</v>
      </c>
      <c r="X137" s="169">
        <f ca="1">IFERROR(__xludf.DUMMYFUNCTION("""COMPUTED_VALUE"""),0.75)</f>
        <v>0.75</v>
      </c>
      <c r="Y137" s="162" t="str">
        <f ca="1">IFERROR(__xludf.DUMMYFUNCTION("""COMPUTED_VALUE"""),"MAP")</f>
        <v>MAP</v>
      </c>
      <c r="Z137" s="145"/>
      <c r="AA137" s="170">
        <f ca="1">IFERROR(__xludf.DUMMYFUNCTION("""COMPUTED_VALUE"""),12)</f>
        <v>12</v>
      </c>
      <c r="AB137" s="171">
        <f ca="1">IFERROR(__xludf.DUMMYFUNCTION("""COMPUTED_VALUE"""),45489)</f>
        <v>45489</v>
      </c>
      <c r="AC137" s="162" t="str">
        <f ca="1">IFERROR(__xludf.DUMMYFUNCTION("""COMPUTED_VALUE"""),"20240716-12")</f>
        <v>20240716-12</v>
      </c>
      <c r="AD137" s="162" t="str">
        <f ca="1">IFERROR(__xludf.DUMMYFUNCTION("""COMPUTED_VALUE"""),"O-Overlee")</f>
        <v>O-Overlee</v>
      </c>
      <c r="AE137" s="162" t="str">
        <f ca="1">IFERROR(__xludf.DUMMYFUNCTION("""COMPUTED_VALUE"""),"OKM-Old Keene Mill")</f>
        <v>OKM-Old Keene Mill</v>
      </c>
      <c r="AF137" s="145"/>
      <c r="AG137" s="170"/>
      <c r="AH137" s="162"/>
    </row>
    <row r="138" spans="1:34" ht="13.2">
      <c r="A138" s="43"/>
      <c r="B138" s="43"/>
      <c r="C138" s="43"/>
      <c r="D138" s="43"/>
      <c r="E138" s="179"/>
      <c r="F138" s="179"/>
      <c r="G138" s="150"/>
      <c r="H138" s="150"/>
      <c r="I138" s="151"/>
      <c r="J138" s="151"/>
      <c r="K138" s="153"/>
      <c r="L138" s="153"/>
      <c r="M138" s="151"/>
      <c r="N138" s="151"/>
      <c r="O138" s="142"/>
      <c r="P138" s="142"/>
      <c r="Q138" s="157"/>
      <c r="R138" s="157"/>
      <c r="S138" s="157"/>
      <c r="T138" s="145"/>
      <c r="U138" s="174" t="str">
        <f ca="1">IFERROR(__xludf.DUMMYFUNCTION("""COMPUTED_VALUE"""),"Vienna Woods")</f>
        <v>Vienna Woods</v>
      </c>
      <c r="V138" s="157" t="str">
        <f ca="1">IFERROR(__xludf.DUMMYFUNCTION("""COMPUTED_VALUE"""),"at")</f>
        <v>at</v>
      </c>
      <c r="W138" s="157" t="str">
        <f ca="1">IFERROR(__xludf.DUMMYFUNCTION("""COMPUTED_VALUE"""),"Donaldson Run")</f>
        <v>Donaldson Run</v>
      </c>
      <c r="X138" s="175">
        <f ca="1">IFERROR(__xludf.DUMMYFUNCTION("""COMPUTED_VALUE"""),0.75)</f>
        <v>0.75</v>
      </c>
      <c r="Y138" s="157" t="str">
        <f ca="1">IFERROR(__xludf.DUMMYFUNCTION("""COMPUTED_VALUE"""),"MAP")</f>
        <v>MAP</v>
      </c>
      <c r="Z138" s="145"/>
      <c r="AA138" s="158">
        <f ca="1">IFERROR(__xludf.DUMMYFUNCTION("""COMPUTED_VALUE"""),13)</f>
        <v>13</v>
      </c>
      <c r="AB138" s="176">
        <f ca="1">IFERROR(__xludf.DUMMYFUNCTION("""COMPUTED_VALUE"""),45489)</f>
        <v>45489</v>
      </c>
      <c r="AC138" s="157" t="str">
        <f ca="1">IFERROR(__xludf.DUMMYFUNCTION("""COMPUTED_VALUE"""),"20240716-13")</f>
        <v>20240716-13</v>
      </c>
      <c r="AD138" s="157" t="str">
        <f ca="1">IFERROR(__xludf.DUMMYFUNCTION("""COMPUTED_VALUE"""),"DR-Donaldson Run")</f>
        <v>DR-Donaldson Run</v>
      </c>
      <c r="AE138" s="157" t="str">
        <f ca="1">IFERROR(__xludf.DUMMYFUNCTION("""COMPUTED_VALUE"""),"VW-Vienna Woods")</f>
        <v>VW-Vienna Woods</v>
      </c>
      <c r="AF138" s="145"/>
      <c r="AG138" s="158"/>
      <c r="AH138" s="157"/>
    </row>
    <row r="139" spans="1:34" ht="13.2">
      <c r="A139" s="43"/>
      <c r="B139" s="43"/>
      <c r="C139" s="43"/>
      <c r="D139" s="43"/>
      <c r="E139" s="179"/>
      <c r="F139" s="179"/>
      <c r="G139" s="150"/>
      <c r="H139" s="150"/>
      <c r="I139" s="151"/>
      <c r="J139" s="151"/>
      <c r="K139" s="153"/>
      <c r="L139" s="153"/>
      <c r="M139" s="151"/>
      <c r="N139" s="151"/>
      <c r="O139" s="142"/>
      <c r="P139" s="142"/>
      <c r="Q139" s="162"/>
      <c r="R139" s="162"/>
      <c r="S139" s="162"/>
      <c r="T139" s="145"/>
      <c r="U139" s="168" t="str">
        <f ca="1">IFERROR(__xludf.DUMMYFUNCTION("""COMPUTED_VALUE"""),"Division II")</f>
        <v>Division II</v>
      </c>
      <c r="V139" s="162"/>
      <c r="W139" s="162"/>
      <c r="X139" s="162"/>
      <c r="Y139" s="162"/>
      <c r="Z139" s="145"/>
      <c r="AA139" s="170">
        <f ca="1">IFERROR(__xludf.DUMMYFUNCTION("""COMPUTED_VALUE"""),2)</f>
        <v>2</v>
      </c>
      <c r="AB139" s="171">
        <f ca="1">IFERROR(__xludf.DUMMYFUNCTION("""COMPUTED_VALUE"""),45489)</f>
        <v>45489</v>
      </c>
      <c r="AC139" s="162" t="str">
        <f ca="1">IFERROR(__xludf.DUMMYFUNCTION("""COMPUTED_VALUE"""),"")</f>
        <v/>
      </c>
      <c r="AD139" s="162" t="str">
        <f ca="1">IFERROR(__xludf.DUMMYFUNCTION("""COMPUTED_VALUE"""),"")</f>
        <v/>
      </c>
      <c r="AE139" s="162" t="str">
        <f ca="1">IFERROR(__xludf.DUMMYFUNCTION("""COMPUTED_VALUE"""),"")</f>
        <v/>
      </c>
      <c r="AF139" s="145"/>
      <c r="AG139" s="170"/>
      <c r="AH139" s="162"/>
    </row>
    <row r="140" spans="1:34" ht="13.2">
      <c r="A140" s="43"/>
      <c r="B140" s="43"/>
      <c r="C140" s="43"/>
      <c r="D140" s="43"/>
      <c r="E140" s="179"/>
      <c r="F140" s="179"/>
      <c r="G140" s="150"/>
      <c r="H140" s="150"/>
      <c r="I140" s="151"/>
      <c r="J140" s="151"/>
      <c r="K140" s="153"/>
      <c r="L140" s="153"/>
      <c r="M140" s="151"/>
      <c r="N140" s="151"/>
      <c r="O140" s="142"/>
      <c r="P140" s="142"/>
      <c r="Q140" s="157"/>
      <c r="R140" s="157"/>
      <c r="S140" s="157"/>
      <c r="T140" s="145"/>
      <c r="U140" s="174" t="str">
        <f ca="1">IFERROR(__xludf.DUMMYFUNCTION("""COMPUTED_VALUE"""),"Kent Gardens")</f>
        <v>Kent Gardens</v>
      </c>
      <c r="V140" s="157" t="str">
        <f ca="1">IFERROR(__xludf.DUMMYFUNCTION("""COMPUTED_VALUE"""),"at")</f>
        <v>at</v>
      </c>
      <c r="W140" s="157" t="str">
        <f ca="1">IFERROR(__xludf.DUMMYFUNCTION("""COMPUTED_VALUE"""),"Hunt Valley")</f>
        <v>Hunt Valley</v>
      </c>
      <c r="X140" s="175">
        <f ca="1">IFERROR(__xludf.DUMMYFUNCTION("""COMPUTED_VALUE"""),0.75)</f>
        <v>0.75</v>
      </c>
      <c r="Y140" s="157" t="str">
        <f ca="1">IFERROR(__xludf.DUMMYFUNCTION("""COMPUTED_VALUE"""),"MAP")</f>
        <v>MAP</v>
      </c>
      <c r="Z140" s="145"/>
      <c r="AA140" s="158">
        <f ca="1">IFERROR(__xludf.DUMMYFUNCTION("""COMPUTED_VALUE"""),21)</f>
        <v>21</v>
      </c>
      <c r="AB140" s="176">
        <f ca="1">IFERROR(__xludf.DUMMYFUNCTION("""COMPUTED_VALUE"""),45489)</f>
        <v>45489</v>
      </c>
      <c r="AC140" s="157" t="str">
        <f ca="1">IFERROR(__xludf.DUMMYFUNCTION("""COMPUTED_VALUE"""),"20240716-21")</f>
        <v>20240716-21</v>
      </c>
      <c r="AD140" s="157" t="str">
        <f ca="1">IFERROR(__xludf.DUMMYFUNCTION("""COMPUTED_VALUE"""),"HV-Hunt Valley")</f>
        <v>HV-Hunt Valley</v>
      </c>
      <c r="AE140" s="157" t="str">
        <f ca="1">IFERROR(__xludf.DUMMYFUNCTION("""COMPUTED_VALUE"""),"KG-Kent Gardens")</f>
        <v>KG-Kent Gardens</v>
      </c>
      <c r="AF140" s="145"/>
      <c r="AG140" s="158"/>
      <c r="AH140" s="157"/>
    </row>
    <row r="141" spans="1:34" ht="13.2">
      <c r="A141" s="43"/>
      <c r="B141" s="43"/>
      <c r="C141" s="43"/>
      <c r="D141" s="43"/>
      <c r="E141" s="179"/>
      <c r="F141" s="179"/>
      <c r="G141" s="150"/>
      <c r="H141" s="150"/>
      <c r="I141" s="151"/>
      <c r="J141" s="151"/>
      <c r="K141" s="153"/>
      <c r="L141" s="153"/>
      <c r="M141" s="151"/>
      <c r="N141" s="151"/>
      <c r="O141" s="142"/>
      <c r="P141" s="142"/>
      <c r="Q141" s="162"/>
      <c r="R141" s="162"/>
      <c r="S141" s="162"/>
      <c r="T141" s="145"/>
      <c r="U141" s="168" t="str">
        <f ca="1">IFERROR(__xludf.DUMMYFUNCTION("""COMPUTED_VALUE"""),"Rolling Hills")</f>
        <v>Rolling Hills</v>
      </c>
      <c r="V141" s="162" t="str">
        <f ca="1">IFERROR(__xludf.DUMMYFUNCTION("""COMPUTED_VALUE"""),"at")</f>
        <v>at</v>
      </c>
      <c r="W141" s="162" t="str">
        <f ca="1">IFERROR(__xludf.DUMMYFUNCTION("""COMPUTED_VALUE"""),"Dominion Hills")</f>
        <v>Dominion Hills</v>
      </c>
      <c r="X141" s="169">
        <f ca="1">IFERROR(__xludf.DUMMYFUNCTION("""COMPUTED_VALUE"""),0.75)</f>
        <v>0.75</v>
      </c>
      <c r="Y141" s="162" t="str">
        <f ca="1">IFERROR(__xludf.DUMMYFUNCTION("""COMPUTED_VALUE"""),"MAP")</f>
        <v>MAP</v>
      </c>
      <c r="Z141" s="145"/>
      <c r="AA141" s="170">
        <f ca="1">IFERROR(__xludf.DUMMYFUNCTION("""COMPUTED_VALUE"""),22)</f>
        <v>22</v>
      </c>
      <c r="AB141" s="171">
        <f ca="1">IFERROR(__xludf.DUMMYFUNCTION("""COMPUTED_VALUE"""),45489)</f>
        <v>45489</v>
      </c>
      <c r="AC141" s="162" t="str">
        <f ca="1">IFERROR(__xludf.DUMMYFUNCTION("""COMPUTED_VALUE"""),"20240716-22")</f>
        <v>20240716-22</v>
      </c>
      <c r="AD141" s="162" t="str">
        <f ca="1">IFERROR(__xludf.DUMMYFUNCTION("""COMPUTED_VALUE"""),"DH-Dominion Hills")</f>
        <v>DH-Dominion Hills</v>
      </c>
      <c r="AE141" s="162" t="str">
        <f ca="1">IFERROR(__xludf.DUMMYFUNCTION("""COMPUTED_VALUE"""),"RH-Rolling Hills")</f>
        <v>RH-Rolling Hills</v>
      </c>
      <c r="AF141" s="145"/>
      <c r="AG141" s="170"/>
      <c r="AH141" s="162"/>
    </row>
    <row r="142" spans="1:34" ht="13.2">
      <c r="A142" s="43"/>
      <c r="B142" s="43"/>
      <c r="C142" s="43"/>
      <c r="D142" s="43"/>
      <c r="E142" s="179"/>
      <c r="F142" s="179"/>
      <c r="G142" s="150"/>
      <c r="H142" s="150"/>
      <c r="I142" s="151"/>
      <c r="J142" s="151"/>
      <c r="K142" s="153"/>
      <c r="L142" s="153"/>
      <c r="M142" s="151"/>
      <c r="N142" s="151"/>
      <c r="O142" s="142"/>
      <c r="P142" s="142"/>
      <c r="Q142" s="157"/>
      <c r="R142" s="157"/>
      <c r="S142" s="157"/>
      <c r="T142" s="145"/>
      <c r="U142" s="174" t="str">
        <f ca="1">IFERROR(__xludf.DUMMYFUNCTION("""COMPUTED_VALUE"""),"Sleepy Hollow Rec")</f>
        <v>Sleepy Hollow Rec</v>
      </c>
      <c r="V142" s="157" t="str">
        <f ca="1">IFERROR(__xludf.DUMMYFUNCTION("""COMPUTED_VALUE"""),"at")</f>
        <v>at</v>
      </c>
      <c r="W142" s="157" t="str">
        <f ca="1">IFERROR(__xludf.DUMMYFUNCTION("""COMPUTED_VALUE"""),"Highlands Swim")</f>
        <v>Highlands Swim</v>
      </c>
      <c r="X142" s="175">
        <f ca="1">IFERROR(__xludf.DUMMYFUNCTION("""COMPUTED_VALUE"""),0.75)</f>
        <v>0.75</v>
      </c>
      <c r="Y142" s="157" t="str">
        <f ca="1">IFERROR(__xludf.DUMMYFUNCTION("""COMPUTED_VALUE"""),"MAP")</f>
        <v>MAP</v>
      </c>
      <c r="Z142" s="145"/>
      <c r="AA142" s="158">
        <f ca="1">IFERROR(__xludf.DUMMYFUNCTION("""COMPUTED_VALUE"""),23)</f>
        <v>23</v>
      </c>
      <c r="AB142" s="176">
        <f ca="1">IFERROR(__xludf.DUMMYFUNCTION("""COMPUTED_VALUE"""),45489)</f>
        <v>45489</v>
      </c>
      <c r="AC142" s="157" t="str">
        <f ca="1">IFERROR(__xludf.DUMMYFUNCTION("""COMPUTED_VALUE"""),"20240716-23")</f>
        <v>20240716-23</v>
      </c>
      <c r="AD142" s="157" t="str">
        <f ca="1">IFERROR(__xludf.DUMMYFUNCTION("""COMPUTED_VALUE"""),"HS-Highlands Swim")</f>
        <v>HS-Highlands Swim</v>
      </c>
      <c r="AE142" s="157" t="str">
        <f ca="1">IFERROR(__xludf.DUMMYFUNCTION("""COMPUTED_VALUE"""),"SHR-Sleepy Hollow Rec")</f>
        <v>SHR-Sleepy Hollow Rec</v>
      </c>
      <c r="AF142" s="145"/>
      <c r="AG142" s="158"/>
      <c r="AH142" s="157"/>
    </row>
    <row r="143" spans="1:34" ht="13.2">
      <c r="A143" s="43"/>
      <c r="B143" s="43"/>
      <c r="C143" s="43"/>
      <c r="D143" s="43"/>
      <c r="E143" s="179"/>
      <c r="F143" s="179"/>
      <c r="G143" s="150"/>
      <c r="H143" s="150"/>
      <c r="I143" s="151"/>
      <c r="J143" s="151"/>
      <c r="K143" s="153"/>
      <c r="L143" s="153"/>
      <c r="M143" s="151"/>
      <c r="N143" s="151"/>
      <c r="O143" s="142"/>
      <c r="P143" s="142"/>
      <c r="Q143" s="162"/>
      <c r="R143" s="162"/>
      <c r="S143" s="162"/>
      <c r="T143" s="145"/>
      <c r="U143" s="168" t="str">
        <f ca="1">IFERROR(__xludf.DUMMYFUNCTION("""COMPUTED_VALUE"""),"Division III")</f>
        <v>Division III</v>
      </c>
      <c r="V143" s="162"/>
      <c r="W143" s="162"/>
      <c r="X143" s="162"/>
      <c r="Y143" s="162"/>
      <c r="Z143" s="145"/>
      <c r="AA143" s="170">
        <f ca="1">IFERROR(__xludf.DUMMYFUNCTION("""COMPUTED_VALUE"""),3)</f>
        <v>3</v>
      </c>
      <c r="AB143" s="171">
        <f ca="1">IFERROR(__xludf.DUMMYFUNCTION("""COMPUTED_VALUE"""),45489)</f>
        <v>45489</v>
      </c>
      <c r="AC143" s="162" t="str">
        <f ca="1">IFERROR(__xludf.DUMMYFUNCTION("""COMPUTED_VALUE"""),"")</f>
        <v/>
      </c>
      <c r="AD143" s="162" t="str">
        <f ca="1">IFERROR(__xludf.DUMMYFUNCTION("""COMPUTED_VALUE"""),"")</f>
        <v/>
      </c>
      <c r="AE143" s="162" t="str">
        <f ca="1">IFERROR(__xludf.DUMMYFUNCTION("""COMPUTED_VALUE"""),"")</f>
        <v/>
      </c>
      <c r="AF143" s="145"/>
      <c r="AG143" s="170"/>
      <c r="AH143" s="162"/>
    </row>
    <row r="144" spans="1:34" ht="13.2">
      <c r="A144" s="43"/>
      <c r="B144" s="43"/>
      <c r="C144" s="43"/>
      <c r="D144" s="43"/>
      <c r="E144" s="179"/>
      <c r="F144" s="179"/>
      <c r="G144" s="150"/>
      <c r="H144" s="150"/>
      <c r="I144" s="151"/>
      <c r="J144" s="151"/>
      <c r="K144" s="153"/>
      <c r="L144" s="153"/>
      <c r="M144" s="151"/>
      <c r="N144" s="151"/>
      <c r="O144" s="142"/>
      <c r="P144" s="142"/>
      <c r="Q144" s="157"/>
      <c r="R144" s="157"/>
      <c r="S144" s="157"/>
      <c r="T144" s="145"/>
      <c r="U144" s="174" t="str">
        <f ca="1">IFERROR(__xludf.DUMMYFUNCTION("""COMPUTED_VALUE"""),"Lee Graham")</f>
        <v>Lee Graham</v>
      </c>
      <c r="V144" s="157" t="str">
        <f ca="1">IFERROR(__xludf.DUMMYFUNCTION("""COMPUTED_VALUE"""),"at")</f>
        <v>at</v>
      </c>
      <c r="W144" s="157" t="str">
        <f ca="1">IFERROR(__xludf.DUMMYFUNCTION("""COMPUTED_VALUE"""),"Walden Glen")</f>
        <v>Walden Glen</v>
      </c>
      <c r="X144" s="175">
        <f ca="1">IFERROR(__xludf.DUMMYFUNCTION("""COMPUTED_VALUE"""),0.75)</f>
        <v>0.75</v>
      </c>
      <c r="Y144" s="157" t="str">
        <f ca="1">IFERROR(__xludf.DUMMYFUNCTION("""COMPUTED_VALUE"""),"MAP")</f>
        <v>MAP</v>
      </c>
      <c r="Z144" s="145"/>
      <c r="AA144" s="158">
        <f ca="1">IFERROR(__xludf.DUMMYFUNCTION("""COMPUTED_VALUE"""),31)</f>
        <v>31</v>
      </c>
      <c r="AB144" s="176">
        <f ca="1">IFERROR(__xludf.DUMMYFUNCTION("""COMPUTED_VALUE"""),45489)</f>
        <v>45489</v>
      </c>
      <c r="AC144" s="157" t="str">
        <f ca="1">IFERROR(__xludf.DUMMYFUNCTION("""COMPUTED_VALUE"""),"20240716-31")</f>
        <v>20240716-31</v>
      </c>
      <c r="AD144" s="157" t="str">
        <f ca="1">IFERROR(__xludf.DUMMYFUNCTION("""COMPUTED_VALUE"""),"WG-Walden Glen")</f>
        <v>WG-Walden Glen</v>
      </c>
      <c r="AE144" s="157" t="str">
        <f ca="1">IFERROR(__xludf.DUMMYFUNCTION("""COMPUTED_VALUE"""),"LG-Lee Graham")</f>
        <v>LG-Lee Graham</v>
      </c>
      <c r="AF144" s="145"/>
      <c r="AG144" s="158"/>
      <c r="AH144" s="157"/>
    </row>
    <row r="145" spans="1:34" ht="13.2">
      <c r="A145" s="43"/>
      <c r="B145" s="43"/>
      <c r="C145" s="43"/>
      <c r="D145" s="43"/>
      <c r="E145" s="179"/>
      <c r="F145" s="179"/>
      <c r="G145" s="150"/>
      <c r="H145" s="150"/>
      <c r="I145" s="151"/>
      <c r="J145" s="151"/>
      <c r="K145" s="153"/>
      <c r="L145" s="153"/>
      <c r="M145" s="151"/>
      <c r="N145" s="151"/>
      <c r="O145" s="142"/>
      <c r="P145" s="142"/>
      <c r="Q145" s="162"/>
      <c r="R145" s="162"/>
      <c r="S145" s="162"/>
      <c r="T145" s="145"/>
      <c r="U145" s="168" t="str">
        <f ca="1">IFERROR(__xludf.DUMMYFUNCTION("""COMPUTED_VALUE"""),"Fairfax Station")</f>
        <v>Fairfax Station</v>
      </c>
      <c r="V145" s="162" t="str">
        <f ca="1">IFERROR(__xludf.DUMMYFUNCTION("""COMPUTED_VALUE"""),"at")</f>
        <v>at</v>
      </c>
      <c r="W145" s="162" t="str">
        <f ca="1">IFERROR(__xludf.DUMMYFUNCTION("""COMPUTED_VALUE"""),"Parliament")</f>
        <v>Parliament</v>
      </c>
      <c r="X145" s="169">
        <f ca="1">IFERROR(__xludf.DUMMYFUNCTION("""COMPUTED_VALUE"""),0.75)</f>
        <v>0.75</v>
      </c>
      <c r="Y145" s="162" t="str">
        <f ca="1">IFERROR(__xludf.DUMMYFUNCTION("""COMPUTED_VALUE"""),"MAP")</f>
        <v>MAP</v>
      </c>
      <c r="Z145" s="145"/>
      <c r="AA145" s="170">
        <f ca="1">IFERROR(__xludf.DUMMYFUNCTION("""COMPUTED_VALUE"""),32)</f>
        <v>32</v>
      </c>
      <c r="AB145" s="171">
        <f ca="1">IFERROR(__xludf.DUMMYFUNCTION("""COMPUTED_VALUE"""),45489)</f>
        <v>45489</v>
      </c>
      <c r="AC145" s="162" t="str">
        <f ca="1">IFERROR(__xludf.DUMMYFUNCTION("""COMPUTED_VALUE"""),"20240716-32")</f>
        <v>20240716-32</v>
      </c>
      <c r="AD145" s="162" t="str">
        <f ca="1">IFERROR(__xludf.DUMMYFUNCTION("""COMPUTED_VALUE"""),"PAR-Parliament")</f>
        <v>PAR-Parliament</v>
      </c>
      <c r="AE145" s="162" t="str">
        <f ca="1">IFERROR(__xludf.DUMMYFUNCTION("""COMPUTED_VALUE"""),"FS-Fairfax Station")</f>
        <v>FS-Fairfax Station</v>
      </c>
      <c r="AF145" s="145"/>
      <c r="AG145" s="170"/>
      <c r="AH145" s="162"/>
    </row>
    <row r="146" spans="1:34" ht="13.2">
      <c r="A146" s="43"/>
      <c r="B146" s="43"/>
      <c r="C146" s="43"/>
      <c r="D146" s="43"/>
      <c r="E146" s="179"/>
      <c r="F146" s="179"/>
      <c r="G146" s="150"/>
      <c r="H146" s="150"/>
      <c r="I146" s="151"/>
      <c r="J146" s="151"/>
      <c r="K146" s="153"/>
      <c r="L146" s="153"/>
      <c r="M146" s="151"/>
      <c r="N146" s="151"/>
      <c r="O146" s="142"/>
      <c r="P146" s="142"/>
      <c r="Q146" s="157"/>
      <c r="R146" s="157"/>
      <c r="S146" s="157"/>
      <c r="T146" s="145"/>
      <c r="U146" s="174" t="str">
        <f ca="1">IFERROR(__xludf.DUMMYFUNCTION("""COMPUTED_VALUE"""),"Dunn Loring")</f>
        <v>Dunn Loring</v>
      </c>
      <c r="V146" s="157" t="str">
        <f ca="1">IFERROR(__xludf.DUMMYFUNCTION("""COMPUTED_VALUE"""),"at")</f>
        <v>at</v>
      </c>
      <c r="W146" s="157" t="str">
        <f ca="1">IFERROR(__xludf.DUMMYFUNCTION("""COMPUTED_VALUE"""),"Greenbriar")</f>
        <v>Greenbriar</v>
      </c>
      <c r="X146" s="175">
        <f ca="1">IFERROR(__xludf.DUMMYFUNCTION("""COMPUTED_VALUE"""),0.75)</f>
        <v>0.75</v>
      </c>
      <c r="Y146" s="157" t="str">
        <f ca="1">IFERROR(__xludf.DUMMYFUNCTION("""COMPUTED_VALUE"""),"MAP")</f>
        <v>MAP</v>
      </c>
      <c r="Z146" s="145"/>
      <c r="AA146" s="158">
        <f ca="1">IFERROR(__xludf.DUMMYFUNCTION("""COMPUTED_VALUE"""),33)</f>
        <v>33</v>
      </c>
      <c r="AB146" s="176">
        <f ca="1">IFERROR(__xludf.DUMMYFUNCTION("""COMPUTED_VALUE"""),45489)</f>
        <v>45489</v>
      </c>
      <c r="AC146" s="157" t="str">
        <f ca="1">IFERROR(__xludf.DUMMYFUNCTION("""COMPUTED_VALUE"""),"20240716-33")</f>
        <v>20240716-33</v>
      </c>
      <c r="AD146" s="157" t="str">
        <f ca="1">IFERROR(__xludf.DUMMYFUNCTION("""COMPUTED_VALUE"""),"G-Greenbriar")</f>
        <v>G-Greenbriar</v>
      </c>
      <c r="AE146" s="157" t="str">
        <f ca="1">IFERROR(__xludf.DUMMYFUNCTION("""COMPUTED_VALUE"""),"DL-Dunn Loring")</f>
        <v>DL-Dunn Loring</v>
      </c>
      <c r="AF146" s="145"/>
      <c r="AG146" s="158"/>
      <c r="AH146" s="157"/>
    </row>
    <row r="147" spans="1:34" ht="13.2">
      <c r="A147" s="43"/>
      <c r="B147" s="43"/>
      <c r="C147" s="43"/>
      <c r="D147" s="43"/>
      <c r="E147" s="179"/>
      <c r="F147" s="179"/>
      <c r="G147" s="150"/>
      <c r="H147" s="150"/>
      <c r="I147" s="151"/>
      <c r="J147" s="151"/>
      <c r="K147" s="153"/>
      <c r="L147" s="153"/>
      <c r="M147" s="151"/>
      <c r="N147" s="151"/>
      <c r="O147" s="142"/>
      <c r="P147" s="142"/>
      <c r="Q147" s="162"/>
      <c r="R147" s="162"/>
      <c r="S147" s="162"/>
      <c r="T147" s="145"/>
      <c r="U147" s="168" t="str">
        <f ca="1">IFERROR(__xludf.DUMMYFUNCTION("""COMPUTED_VALUE"""),"Division IV")</f>
        <v>Division IV</v>
      </c>
      <c r="V147" s="162"/>
      <c r="W147" s="162"/>
      <c r="X147" s="162"/>
      <c r="Y147" s="162"/>
      <c r="Z147" s="145"/>
      <c r="AA147" s="170">
        <f ca="1">IFERROR(__xludf.DUMMYFUNCTION("""COMPUTED_VALUE"""),4)</f>
        <v>4</v>
      </c>
      <c r="AB147" s="171">
        <f ca="1">IFERROR(__xludf.DUMMYFUNCTION("""COMPUTED_VALUE"""),45489)</f>
        <v>45489</v>
      </c>
      <c r="AC147" s="162" t="str">
        <f ca="1">IFERROR(__xludf.DUMMYFUNCTION("""COMPUTED_VALUE"""),"")</f>
        <v/>
      </c>
      <c r="AD147" s="162" t="str">
        <f ca="1">IFERROR(__xludf.DUMMYFUNCTION("""COMPUTED_VALUE"""),"")</f>
        <v/>
      </c>
      <c r="AE147" s="162" t="str">
        <f ca="1">IFERROR(__xludf.DUMMYFUNCTION("""COMPUTED_VALUE"""),"")</f>
        <v/>
      </c>
      <c r="AF147" s="145"/>
      <c r="AG147" s="170"/>
      <c r="AH147" s="162"/>
    </row>
    <row r="148" spans="1:34" ht="13.2">
      <c r="A148" s="43"/>
      <c r="B148" s="43"/>
      <c r="C148" s="43"/>
      <c r="D148" s="43"/>
      <c r="E148" s="179"/>
      <c r="F148" s="179"/>
      <c r="G148" s="150"/>
      <c r="H148" s="150"/>
      <c r="I148" s="151"/>
      <c r="J148" s="151"/>
      <c r="K148" s="153"/>
      <c r="L148" s="153"/>
      <c r="M148" s="151"/>
      <c r="N148" s="151"/>
      <c r="O148" s="142"/>
      <c r="P148" s="142"/>
      <c r="Q148" s="157"/>
      <c r="R148" s="157"/>
      <c r="S148" s="157"/>
      <c r="T148" s="145"/>
      <c r="U148" s="174" t="str">
        <f ca="1">IFERROR(__xludf.DUMMYFUNCTION("""COMPUTED_VALUE"""),"Truro")</f>
        <v>Truro</v>
      </c>
      <c r="V148" s="157" t="str">
        <f ca="1">IFERROR(__xludf.DUMMYFUNCTION("""COMPUTED_VALUE"""),"at")</f>
        <v>at</v>
      </c>
      <c r="W148" s="157" t="str">
        <f ca="1">IFERROR(__xludf.DUMMYFUNCTION("""COMPUTED_VALUE"""),"Chesterbrook")</f>
        <v>Chesterbrook</v>
      </c>
      <c r="X148" s="175">
        <f ca="1">IFERROR(__xludf.DUMMYFUNCTION("""COMPUTED_VALUE"""),0.75)</f>
        <v>0.75</v>
      </c>
      <c r="Y148" s="157" t="str">
        <f ca="1">IFERROR(__xludf.DUMMYFUNCTION("""COMPUTED_VALUE"""),"MAP")</f>
        <v>MAP</v>
      </c>
      <c r="Z148" s="145"/>
      <c r="AA148" s="158">
        <f ca="1">IFERROR(__xludf.DUMMYFUNCTION("""COMPUTED_VALUE"""),41)</f>
        <v>41</v>
      </c>
      <c r="AB148" s="176">
        <f ca="1">IFERROR(__xludf.DUMMYFUNCTION("""COMPUTED_VALUE"""),45489)</f>
        <v>45489</v>
      </c>
      <c r="AC148" s="157" t="str">
        <f ca="1">IFERROR(__xludf.DUMMYFUNCTION("""COMPUTED_VALUE"""),"20240716-41")</f>
        <v>20240716-41</v>
      </c>
      <c r="AD148" s="157" t="str">
        <f ca="1">IFERROR(__xludf.DUMMYFUNCTION("""COMPUTED_VALUE"""),"CB-Chesterbrook")</f>
        <v>CB-Chesterbrook</v>
      </c>
      <c r="AE148" s="157" t="str">
        <f ca="1">IFERROR(__xludf.DUMMYFUNCTION("""COMPUTED_VALUE"""),"THA-Truro Homes Association")</f>
        <v>THA-Truro Homes Association</v>
      </c>
      <c r="AF148" s="145"/>
      <c r="AG148" s="158"/>
      <c r="AH148" s="157"/>
    </row>
    <row r="149" spans="1:34" ht="13.2">
      <c r="A149" s="43"/>
      <c r="B149" s="43"/>
      <c r="C149" s="43"/>
      <c r="D149" s="43"/>
      <c r="E149" s="179"/>
      <c r="F149" s="179"/>
      <c r="G149" s="150"/>
      <c r="H149" s="150"/>
      <c r="I149" s="151"/>
      <c r="J149" s="151"/>
      <c r="K149" s="153"/>
      <c r="L149" s="153"/>
      <c r="M149" s="151"/>
      <c r="N149" s="151"/>
      <c r="O149" s="142"/>
      <c r="P149" s="142"/>
      <c r="Q149" s="162"/>
      <c r="R149" s="162"/>
      <c r="S149" s="162"/>
      <c r="T149" s="145"/>
      <c r="U149" s="168" t="str">
        <f ca="1">IFERROR(__xludf.DUMMYFUNCTION("""COMPUTED_VALUE"""),"Great Falls")</f>
        <v>Great Falls</v>
      </c>
      <c r="V149" s="162" t="str">
        <f ca="1">IFERROR(__xludf.DUMMYFUNCTION("""COMPUTED_VALUE"""),"at")</f>
        <v>at</v>
      </c>
      <c r="W149" s="162" t="str">
        <f ca="1">IFERROR(__xludf.DUMMYFUNCTION("""COMPUTED_VALUE"""),"Highland Park")</f>
        <v>Highland Park</v>
      </c>
      <c r="X149" s="169">
        <f ca="1">IFERROR(__xludf.DUMMYFUNCTION("""COMPUTED_VALUE"""),0.75)</f>
        <v>0.75</v>
      </c>
      <c r="Y149" s="162" t="str">
        <f ca="1">IFERROR(__xludf.DUMMYFUNCTION("""COMPUTED_VALUE"""),"MAP")</f>
        <v>MAP</v>
      </c>
      <c r="Z149" s="145"/>
      <c r="AA149" s="170">
        <f ca="1">IFERROR(__xludf.DUMMYFUNCTION("""COMPUTED_VALUE"""),42)</f>
        <v>42</v>
      </c>
      <c r="AB149" s="171">
        <f ca="1">IFERROR(__xludf.DUMMYFUNCTION("""COMPUTED_VALUE"""),45489)</f>
        <v>45489</v>
      </c>
      <c r="AC149" s="162" t="str">
        <f ca="1">IFERROR(__xludf.DUMMYFUNCTION("""COMPUTED_VALUE"""),"20240716-42")</f>
        <v>20240716-42</v>
      </c>
      <c r="AD149" s="162" t="str">
        <f ca="1">IFERROR(__xludf.DUMMYFUNCTION("""COMPUTED_VALUE"""),"HP-Highland Park")</f>
        <v>HP-Highland Park</v>
      </c>
      <c r="AE149" s="162" t="str">
        <f ca="1">IFERROR(__xludf.DUMMYFUNCTION("""COMPUTED_VALUE"""),"GF-Great Falls")</f>
        <v>GF-Great Falls</v>
      </c>
      <c r="AF149" s="145"/>
      <c r="AG149" s="170"/>
      <c r="AH149" s="162"/>
    </row>
    <row r="150" spans="1:34" ht="13.2">
      <c r="A150" s="43"/>
      <c r="B150" s="43"/>
      <c r="C150" s="43"/>
      <c r="D150" s="43"/>
      <c r="E150" s="179"/>
      <c r="F150" s="179"/>
      <c r="G150" s="150"/>
      <c r="H150" s="150"/>
      <c r="I150" s="151"/>
      <c r="J150" s="151"/>
      <c r="K150" s="153"/>
      <c r="L150" s="153"/>
      <c r="M150" s="151"/>
      <c r="N150" s="151"/>
      <c r="O150" s="142"/>
      <c r="P150" s="142"/>
      <c r="Q150" s="157"/>
      <c r="R150" s="157"/>
      <c r="S150" s="157"/>
      <c r="T150" s="145"/>
      <c r="U150" s="174" t="str">
        <f ca="1">IFERROR(__xludf.DUMMYFUNCTION("""COMPUTED_VALUE"""),"Woodley")</f>
        <v>Woodley</v>
      </c>
      <c r="V150" s="157" t="str">
        <f ca="1">IFERROR(__xludf.DUMMYFUNCTION("""COMPUTED_VALUE"""),"at")</f>
        <v>at</v>
      </c>
      <c r="W150" s="157" t="str">
        <f ca="1">IFERROR(__xludf.DUMMYFUNCTION("""COMPUTED_VALUE"""),"Hayfield Farm")</f>
        <v>Hayfield Farm</v>
      </c>
      <c r="X150" s="175">
        <f ca="1">IFERROR(__xludf.DUMMYFUNCTION("""COMPUTED_VALUE"""),0.75)</f>
        <v>0.75</v>
      </c>
      <c r="Y150" s="157" t="str">
        <f ca="1">IFERROR(__xludf.DUMMYFUNCTION("""COMPUTED_VALUE"""),"MAP")</f>
        <v>MAP</v>
      </c>
      <c r="Z150" s="145"/>
      <c r="AA150" s="158">
        <f ca="1">IFERROR(__xludf.DUMMYFUNCTION("""COMPUTED_VALUE"""),43)</f>
        <v>43</v>
      </c>
      <c r="AB150" s="176">
        <f ca="1">IFERROR(__xludf.DUMMYFUNCTION("""COMPUTED_VALUE"""),45489)</f>
        <v>45489</v>
      </c>
      <c r="AC150" s="157" t="str">
        <f ca="1">IFERROR(__xludf.DUMMYFUNCTION("""COMPUTED_VALUE"""),"20240716-43")</f>
        <v>20240716-43</v>
      </c>
      <c r="AD150" s="157" t="str">
        <f ca="1">IFERROR(__xludf.DUMMYFUNCTION("""COMPUTED_VALUE"""),"HF-Hayfield Farm")</f>
        <v>HF-Hayfield Farm</v>
      </c>
      <c r="AE150" s="157" t="str">
        <f ca="1">IFERROR(__xludf.DUMMYFUNCTION("""COMPUTED_VALUE"""),"W-Woodley")</f>
        <v>W-Woodley</v>
      </c>
      <c r="AF150" s="145"/>
      <c r="AG150" s="158"/>
      <c r="AH150" s="157"/>
    </row>
    <row r="151" spans="1:34" ht="13.2">
      <c r="A151" s="43"/>
      <c r="B151" s="43"/>
      <c r="C151" s="43"/>
      <c r="D151" s="43"/>
      <c r="E151" s="179"/>
      <c r="F151" s="179"/>
      <c r="G151" s="150"/>
      <c r="H151" s="150"/>
      <c r="I151" s="151"/>
      <c r="J151" s="151"/>
      <c r="K151" s="153"/>
      <c r="L151" s="153"/>
      <c r="M151" s="151"/>
      <c r="N151" s="151"/>
      <c r="O151" s="142"/>
      <c r="P151" s="142"/>
      <c r="Q151" s="162"/>
      <c r="R151" s="162"/>
      <c r="S151" s="162"/>
      <c r="T151" s="145"/>
      <c r="U151" s="168" t="str">
        <f ca="1">IFERROR(__xludf.DUMMYFUNCTION("""COMPUTED_VALUE"""),"Division V")</f>
        <v>Division V</v>
      </c>
      <c r="V151" s="162"/>
      <c r="W151" s="162"/>
      <c r="X151" s="162"/>
      <c r="Y151" s="162"/>
      <c r="Z151" s="145"/>
      <c r="AA151" s="170">
        <f ca="1">IFERROR(__xludf.DUMMYFUNCTION("""COMPUTED_VALUE"""),5)</f>
        <v>5</v>
      </c>
      <c r="AB151" s="171">
        <f ca="1">IFERROR(__xludf.DUMMYFUNCTION("""COMPUTED_VALUE"""),45489)</f>
        <v>45489</v>
      </c>
      <c r="AC151" s="162" t="str">
        <f ca="1">IFERROR(__xludf.DUMMYFUNCTION("""COMPUTED_VALUE"""),"")</f>
        <v/>
      </c>
      <c r="AD151" s="162" t="str">
        <f ca="1">IFERROR(__xludf.DUMMYFUNCTION("""COMPUTED_VALUE"""),"")</f>
        <v/>
      </c>
      <c r="AE151" s="162" t="str">
        <f ca="1">IFERROR(__xludf.DUMMYFUNCTION("""COMPUTED_VALUE"""),"")</f>
        <v/>
      </c>
      <c r="AF151" s="145"/>
      <c r="AG151" s="170"/>
      <c r="AH151" s="162"/>
    </row>
    <row r="152" spans="1:34" ht="13.2">
      <c r="A152" s="43"/>
      <c r="B152" s="43"/>
      <c r="C152" s="43"/>
      <c r="D152" s="43"/>
      <c r="E152" s="179"/>
      <c r="F152" s="179"/>
      <c r="G152" s="150"/>
      <c r="H152" s="150"/>
      <c r="I152" s="151"/>
      <c r="J152" s="151"/>
      <c r="K152" s="153"/>
      <c r="L152" s="153"/>
      <c r="M152" s="151"/>
      <c r="N152" s="151"/>
      <c r="O152" s="142"/>
      <c r="P152" s="142"/>
      <c r="Q152" s="157"/>
      <c r="R152" s="157"/>
      <c r="S152" s="157"/>
      <c r="T152" s="145"/>
      <c r="U152" s="174" t="str">
        <f ca="1">IFERROR(__xludf.DUMMYFUNCTION("""COMPUTED_VALUE"""),"Crosspointe")</f>
        <v>Crosspointe</v>
      </c>
      <c r="V152" s="157" t="str">
        <f ca="1">IFERROR(__xludf.DUMMYFUNCTION("""COMPUTED_VALUE"""),"at")</f>
        <v>at</v>
      </c>
      <c r="W152" s="157" t="str">
        <f ca="1">IFERROR(__xludf.DUMMYFUNCTION("""COMPUTED_VALUE"""),"Cardinal Hill")</f>
        <v>Cardinal Hill</v>
      </c>
      <c r="X152" s="175">
        <f ca="1">IFERROR(__xludf.DUMMYFUNCTION("""COMPUTED_VALUE"""),0.75)</f>
        <v>0.75</v>
      </c>
      <c r="Y152" s="157" t="str">
        <f ca="1">IFERROR(__xludf.DUMMYFUNCTION("""COMPUTED_VALUE"""),"MAP")</f>
        <v>MAP</v>
      </c>
      <c r="Z152" s="145"/>
      <c r="AA152" s="158">
        <f ca="1">IFERROR(__xludf.DUMMYFUNCTION("""COMPUTED_VALUE"""),51)</f>
        <v>51</v>
      </c>
      <c r="AB152" s="176">
        <f ca="1">IFERROR(__xludf.DUMMYFUNCTION("""COMPUTED_VALUE"""),45489)</f>
        <v>45489</v>
      </c>
      <c r="AC152" s="157" t="str">
        <f ca="1">IFERROR(__xludf.DUMMYFUNCTION("""COMPUTED_VALUE"""),"20240716-51")</f>
        <v>20240716-51</v>
      </c>
      <c r="AD152" s="157" t="str">
        <f ca="1">IFERROR(__xludf.DUMMYFUNCTION("""COMPUTED_VALUE"""),"CH-Cardinal Hill")</f>
        <v>CH-Cardinal Hill</v>
      </c>
      <c r="AE152" s="157" t="str">
        <f ca="1">IFERROR(__xludf.DUMMYFUNCTION("""COMPUTED_VALUE"""),"CP-Crosspointe")</f>
        <v>CP-Crosspointe</v>
      </c>
      <c r="AF152" s="145"/>
      <c r="AG152" s="158"/>
      <c r="AH152" s="157"/>
    </row>
    <row r="153" spans="1:34" ht="13.2">
      <c r="A153" s="43"/>
      <c r="B153" s="43"/>
      <c r="C153" s="43"/>
      <c r="D153" s="43"/>
      <c r="E153" s="179"/>
      <c r="F153" s="179"/>
      <c r="G153" s="150"/>
      <c r="H153" s="150"/>
      <c r="I153" s="151"/>
      <c r="J153" s="151"/>
      <c r="K153" s="153"/>
      <c r="L153" s="153"/>
      <c r="M153" s="151"/>
      <c r="N153" s="151"/>
      <c r="O153" s="142"/>
      <c r="P153" s="142"/>
      <c r="Q153" s="162"/>
      <c r="R153" s="162"/>
      <c r="S153" s="162"/>
      <c r="T153" s="145"/>
      <c r="U153" s="168" t="str">
        <f ca="1">IFERROR(__xludf.DUMMYFUNCTION("""COMPUTED_VALUE"""),"Ravensworth Farm")</f>
        <v>Ravensworth Farm</v>
      </c>
      <c r="V153" s="162" t="str">
        <f ca="1">IFERROR(__xludf.DUMMYFUNCTION("""COMPUTED_VALUE"""),"at")</f>
        <v>at</v>
      </c>
      <c r="W153" s="162" t="str">
        <f ca="1">IFERROR(__xludf.DUMMYFUNCTION("""COMPUTED_VALUE"""),"Lakeview")</f>
        <v>Lakeview</v>
      </c>
      <c r="X153" s="169">
        <f ca="1">IFERROR(__xludf.DUMMYFUNCTION("""COMPUTED_VALUE"""),0.75)</f>
        <v>0.75</v>
      </c>
      <c r="Y153" s="162" t="str">
        <f ca="1">IFERROR(__xludf.DUMMYFUNCTION("""COMPUTED_VALUE"""),"MAP")</f>
        <v>MAP</v>
      </c>
      <c r="Z153" s="145"/>
      <c r="AA153" s="170">
        <f ca="1">IFERROR(__xludf.DUMMYFUNCTION("""COMPUTED_VALUE"""),52)</f>
        <v>52</v>
      </c>
      <c r="AB153" s="171">
        <f ca="1">IFERROR(__xludf.DUMMYFUNCTION("""COMPUTED_VALUE"""),45489)</f>
        <v>45489</v>
      </c>
      <c r="AC153" s="162" t="str">
        <f ca="1">IFERROR(__xludf.DUMMYFUNCTION("""COMPUTED_VALUE"""),"20240716-52")</f>
        <v>20240716-52</v>
      </c>
      <c r="AD153" s="162" t="str">
        <f ca="1">IFERROR(__xludf.DUMMYFUNCTION("""COMPUTED_VALUE"""),"LV-Lakeview")</f>
        <v>LV-Lakeview</v>
      </c>
      <c r="AE153" s="162" t="str">
        <f ca="1">IFERROR(__xludf.DUMMYFUNCTION("""COMPUTED_VALUE"""),"R-Ravensworth Farm")</f>
        <v>R-Ravensworth Farm</v>
      </c>
      <c r="AF153" s="145"/>
      <c r="AG153" s="170"/>
      <c r="AH153" s="162"/>
    </row>
    <row r="154" spans="1:34" ht="13.2">
      <c r="A154" s="43"/>
      <c r="B154" s="43"/>
      <c r="C154" s="43"/>
      <c r="D154" s="43"/>
      <c r="E154" s="179"/>
      <c r="F154" s="179"/>
      <c r="G154" s="150"/>
      <c r="H154" s="150"/>
      <c r="I154" s="151"/>
      <c r="J154" s="151"/>
      <c r="K154" s="153"/>
      <c r="L154" s="153"/>
      <c r="M154" s="151"/>
      <c r="N154" s="151"/>
      <c r="O154" s="142"/>
      <c r="P154" s="142"/>
      <c r="Q154" s="157"/>
      <c r="R154" s="157"/>
      <c r="S154" s="157"/>
      <c r="T154" s="145"/>
      <c r="U154" s="174" t="str">
        <f ca="1">IFERROR(__xludf.DUMMYFUNCTION("""COMPUTED_VALUE"""),"Sideburn Run")</f>
        <v>Sideburn Run</v>
      </c>
      <c r="V154" s="157" t="str">
        <f ca="1">IFERROR(__xludf.DUMMYFUNCTION("""COMPUTED_VALUE"""),"at")</f>
        <v>at</v>
      </c>
      <c r="W154" s="157" t="str">
        <f ca="1">IFERROR(__xludf.DUMMYFUNCTION("""COMPUTED_VALUE"""),"Camelot")</f>
        <v>Camelot</v>
      </c>
      <c r="X154" s="175">
        <f ca="1">IFERROR(__xludf.DUMMYFUNCTION("""COMPUTED_VALUE"""),0.75)</f>
        <v>0.75</v>
      </c>
      <c r="Y154" s="157" t="str">
        <f ca="1">IFERROR(__xludf.DUMMYFUNCTION("""COMPUTED_VALUE"""),"MAP")</f>
        <v>MAP</v>
      </c>
      <c r="Z154" s="145"/>
      <c r="AA154" s="158">
        <f ca="1">IFERROR(__xludf.DUMMYFUNCTION("""COMPUTED_VALUE"""),53)</f>
        <v>53</v>
      </c>
      <c r="AB154" s="176">
        <f ca="1">IFERROR(__xludf.DUMMYFUNCTION("""COMPUTED_VALUE"""),45489)</f>
        <v>45489</v>
      </c>
      <c r="AC154" s="157" t="str">
        <f ca="1">IFERROR(__xludf.DUMMYFUNCTION("""COMPUTED_VALUE"""),"20240716-53")</f>
        <v>20240716-53</v>
      </c>
      <c r="AD154" s="157" t="str">
        <f ca="1">IFERROR(__xludf.DUMMYFUNCTION("""COMPUTED_VALUE"""),"CCC-Camelot Community Club")</f>
        <v>CCC-Camelot Community Club</v>
      </c>
      <c r="AE154" s="157" t="str">
        <f ca="1">IFERROR(__xludf.DUMMYFUNCTION("""COMPUTED_VALUE"""),"SR-Sideburn Run")</f>
        <v>SR-Sideburn Run</v>
      </c>
      <c r="AF154" s="145"/>
      <c r="AG154" s="158"/>
      <c r="AH154" s="157"/>
    </row>
    <row r="155" spans="1:34" ht="13.2">
      <c r="A155" s="43"/>
      <c r="B155" s="43"/>
      <c r="C155" s="43"/>
      <c r="D155" s="43"/>
      <c r="E155" s="179"/>
      <c r="F155" s="179"/>
      <c r="G155" s="150"/>
      <c r="H155" s="150"/>
      <c r="I155" s="151"/>
      <c r="J155" s="151"/>
      <c r="K155" s="153"/>
      <c r="L155" s="153"/>
      <c r="M155" s="151"/>
      <c r="N155" s="151"/>
      <c r="O155" s="142"/>
      <c r="P155" s="142"/>
      <c r="Q155" s="162"/>
      <c r="R155" s="162"/>
      <c r="S155" s="162"/>
      <c r="T155" s="145"/>
      <c r="U155" s="168" t="str">
        <f ca="1">IFERROR(__xludf.DUMMYFUNCTION("""COMPUTED_VALUE"""),"Division VI")</f>
        <v>Division VI</v>
      </c>
      <c r="V155" s="162"/>
      <c r="W155" s="162"/>
      <c r="X155" s="162"/>
      <c r="Y155" s="162"/>
      <c r="Z155" s="145"/>
      <c r="AA155" s="170">
        <f ca="1">IFERROR(__xludf.DUMMYFUNCTION("""COMPUTED_VALUE"""),6)</f>
        <v>6</v>
      </c>
      <c r="AB155" s="171">
        <f ca="1">IFERROR(__xludf.DUMMYFUNCTION("""COMPUTED_VALUE"""),45489)</f>
        <v>45489</v>
      </c>
      <c r="AC155" s="162" t="str">
        <f ca="1">IFERROR(__xludf.DUMMYFUNCTION("""COMPUTED_VALUE"""),"")</f>
        <v/>
      </c>
      <c r="AD155" s="162" t="str">
        <f ca="1">IFERROR(__xludf.DUMMYFUNCTION("""COMPUTED_VALUE"""),"")</f>
        <v/>
      </c>
      <c r="AE155" s="162" t="str">
        <f ca="1">IFERROR(__xludf.DUMMYFUNCTION("""COMPUTED_VALUE"""),"")</f>
        <v/>
      </c>
      <c r="AF155" s="145"/>
      <c r="AG155" s="170"/>
      <c r="AH155" s="162"/>
    </row>
    <row r="156" spans="1:34" ht="13.2">
      <c r="A156" s="43"/>
      <c r="B156" s="43"/>
      <c r="C156" s="43"/>
      <c r="D156" s="43"/>
      <c r="E156" s="179"/>
      <c r="F156" s="179"/>
      <c r="G156" s="150"/>
      <c r="H156" s="150"/>
      <c r="I156" s="151"/>
      <c r="J156" s="151"/>
      <c r="K156" s="153"/>
      <c r="L156" s="153"/>
      <c r="M156" s="151"/>
      <c r="N156" s="151"/>
      <c r="O156" s="142"/>
      <c r="P156" s="142"/>
      <c r="Q156" s="157"/>
      <c r="R156" s="157"/>
      <c r="S156" s="157"/>
      <c r="T156" s="145"/>
      <c r="U156" s="174" t="str">
        <f ca="1">IFERROR(__xludf.DUMMYFUNCTION("""COMPUTED_VALUE"""),"Mansion House")</f>
        <v>Mansion House</v>
      </c>
      <c r="V156" s="157" t="str">
        <f ca="1">IFERROR(__xludf.DUMMYFUNCTION("""COMPUTED_VALUE"""),"at")</f>
        <v>at</v>
      </c>
      <c r="W156" s="157" t="str">
        <f ca="1">IFERROR(__xludf.DUMMYFUNCTION("""COMPUTED_VALUE"""),"Tuckahoe")</f>
        <v>Tuckahoe</v>
      </c>
      <c r="X156" s="175">
        <f ca="1">IFERROR(__xludf.DUMMYFUNCTION("""COMPUTED_VALUE"""),0.75)</f>
        <v>0.75</v>
      </c>
      <c r="Y156" s="157" t="str">
        <f ca="1">IFERROR(__xludf.DUMMYFUNCTION("""COMPUTED_VALUE"""),"MAP")</f>
        <v>MAP</v>
      </c>
      <c r="Z156" s="145"/>
      <c r="AA156" s="158">
        <f ca="1">IFERROR(__xludf.DUMMYFUNCTION("""COMPUTED_VALUE"""),61)</f>
        <v>61</v>
      </c>
      <c r="AB156" s="176">
        <f ca="1">IFERROR(__xludf.DUMMYFUNCTION("""COMPUTED_VALUE"""),45489)</f>
        <v>45489</v>
      </c>
      <c r="AC156" s="157" t="str">
        <f ca="1">IFERROR(__xludf.DUMMYFUNCTION("""COMPUTED_VALUE"""),"20240716-61")</f>
        <v>20240716-61</v>
      </c>
      <c r="AD156" s="157" t="str">
        <f ca="1">IFERROR(__xludf.DUMMYFUNCTION("""COMPUTED_VALUE"""),"T-Tuckahoe")</f>
        <v>T-Tuckahoe</v>
      </c>
      <c r="AE156" s="157" t="str">
        <f ca="1">IFERROR(__xludf.DUMMYFUNCTION("""COMPUTED_VALUE"""),"MHC-Mansion House")</f>
        <v>MHC-Mansion House</v>
      </c>
      <c r="AF156" s="145"/>
      <c r="AG156" s="158"/>
      <c r="AH156" s="157"/>
    </row>
    <row r="157" spans="1:34" ht="13.2">
      <c r="A157" s="43"/>
      <c r="B157" s="43"/>
      <c r="C157" s="43"/>
      <c r="D157" s="43"/>
      <c r="E157" s="179"/>
      <c r="F157" s="179"/>
      <c r="G157" s="150"/>
      <c r="H157" s="150"/>
      <c r="I157" s="151"/>
      <c r="J157" s="151"/>
      <c r="K157" s="153"/>
      <c r="L157" s="153"/>
      <c r="M157" s="151"/>
      <c r="N157" s="151"/>
      <c r="O157" s="142"/>
      <c r="P157" s="142"/>
      <c r="Q157" s="162"/>
      <c r="R157" s="162"/>
      <c r="S157" s="162"/>
      <c r="T157" s="145"/>
      <c r="U157" s="168" t="str">
        <f ca="1">IFERROR(__xludf.DUMMYFUNCTION("""COMPUTED_VALUE"""),"Wakefield Chapel")</f>
        <v>Wakefield Chapel</v>
      </c>
      <c r="V157" s="162" t="str">
        <f ca="1">IFERROR(__xludf.DUMMYFUNCTION("""COMPUTED_VALUE"""),"at")</f>
        <v>at</v>
      </c>
      <c r="W157" s="162" t="str">
        <f ca="1">IFERROR(__xludf.DUMMYFUNCTION("""COMPUTED_VALUE"""),"Parklawn")</f>
        <v>Parklawn</v>
      </c>
      <c r="X157" s="169">
        <f ca="1">IFERROR(__xludf.DUMMYFUNCTION("""COMPUTED_VALUE"""),0.75)</f>
        <v>0.75</v>
      </c>
      <c r="Y157" s="162" t="str">
        <f ca="1">IFERROR(__xludf.DUMMYFUNCTION("""COMPUTED_VALUE"""),"MAP")</f>
        <v>MAP</v>
      </c>
      <c r="Z157" s="145"/>
      <c r="AA157" s="170">
        <f ca="1">IFERROR(__xludf.DUMMYFUNCTION("""COMPUTED_VALUE"""),62)</f>
        <v>62</v>
      </c>
      <c r="AB157" s="171">
        <f ca="1">IFERROR(__xludf.DUMMYFUNCTION("""COMPUTED_VALUE"""),45489)</f>
        <v>45489</v>
      </c>
      <c r="AC157" s="162" t="str">
        <f ca="1">IFERROR(__xludf.DUMMYFUNCTION("""COMPUTED_VALUE"""),"20240716-62")</f>
        <v>20240716-62</v>
      </c>
      <c r="AD157" s="162" t="str">
        <f ca="1">IFERROR(__xludf.DUMMYFUNCTION("""COMPUTED_VALUE"""),"PL-Parklawn")</f>
        <v>PL-Parklawn</v>
      </c>
      <c r="AE157" s="162" t="str">
        <f ca="1">IFERROR(__xludf.DUMMYFUNCTION("""COMPUTED_VALUE"""),"WC-Wakefield Chapel")</f>
        <v>WC-Wakefield Chapel</v>
      </c>
      <c r="AF157" s="145"/>
      <c r="AG157" s="170"/>
      <c r="AH157" s="162"/>
    </row>
    <row r="158" spans="1:34" ht="13.2">
      <c r="A158" s="43"/>
      <c r="B158" s="43"/>
      <c r="C158" s="43"/>
      <c r="D158" s="43"/>
      <c r="E158" s="179"/>
      <c r="F158" s="179"/>
      <c r="G158" s="150"/>
      <c r="H158" s="150"/>
      <c r="I158" s="151"/>
      <c r="J158" s="151"/>
      <c r="K158" s="153"/>
      <c r="L158" s="153"/>
      <c r="M158" s="151"/>
      <c r="N158" s="151"/>
      <c r="O158" s="142"/>
      <c r="P158" s="142"/>
      <c r="Q158" s="157"/>
      <c r="R158" s="157"/>
      <c r="S158" s="157"/>
      <c r="T158" s="145"/>
      <c r="U158" s="174" t="str">
        <f ca="1">IFERROR(__xludf.DUMMYFUNCTION("""COMPUTED_VALUE"""),"Mantua")</f>
        <v>Mantua</v>
      </c>
      <c r="V158" s="157" t="str">
        <f ca="1">IFERROR(__xludf.DUMMYFUNCTION("""COMPUTED_VALUE"""),"at")</f>
        <v>at</v>
      </c>
      <c r="W158" s="157" t="str">
        <f ca="1">IFERROR(__xludf.DUMMYFUNCTION("""COMPUTED_VALUE"""),"Sleepy Hollow B &amp; R")</f>
        <v>Sleepy Hollow B &amp; R</v>
      </c>
      <c r="X158" s="175">
        <f ca="1">IFERROR(__xludf.DUMMYFUNCTION("""COMPUTED_VALUE"""),0.75)</f>
        <v>0.75</v>
      </c>
      <c r="Y158" s="157" t="str">
        <f ca="1">IFERROR(__xludf.DUMMYFUNCTION("""COMPUTED_VALUE"""),"MAP")</f>
        <v>MAP</v>
      </c>
      <c r="Z158" s="145"/>
      <c r="AA158" s="158">
        <f ca="1">IFERROR(__xludf.DUMMYFUNCTION("""COMPUTED_VALUE"""),63)</f>
        <v>63</v>
      </c>
      <c r="AB158" s="176">
        <f ca="1">IFERROR(__xludf.DUMMYFUNCTION("""COMPUTED_VALUE"""),45489)</f>
        <v>45489</v>
      </c>
      <c r="AC158" s="157" t="str">
        <f ca="1">IFERROR(__xludf.DUMMYFUNCTION("""COMPUTED_VALUE"""),"20240716-63")</f>
        <v>20240716-63</v>
      </c>
      <c r="AD158" s="157" t="str">
        <f ca="1">IFERROR(__xludf.DUMMYFUNCTION("""COMPUTED_VALUE"""),"SHB-Sleepy Hollow Bath")</f>
        <v>SHB-Sleepy Hollow Bath</v>
      </c>
      <c r="AE158" s="157" t="str">
        <f ca="1">IFERROR(__xludf.DUMMYFUNCTION("""COMPUTED_VALUE"""),"M-Mantua")</f>
        <v>M-Mantua</v>
      </c>
      <c r="AF158" s="145"/>
      <c r="AG158" s="158"/>
      <c r="AH158" s="157"/>
    </row>
    <row r="159" spans="1:34" ht="13.2">
      <c r="A159" s="43"/>
      <c r="B159" s="43"/>
      <c r="C159" s="43"/>
      <c r="D159" s="43"/>
      <c r="E159" s="179"/>
      <c r="F159" s="179"/>
      <c r="G159" s="150"/>
      <c r="H159" s="150"/>
      <c r="I159" s="151"/>
      <c r="J159" s="151"/>
      <c r="K159" s="153"/>
      <c r="L159" s="153"/>
      <c r="M159" s="151"/>
      <c r="N159" s="151"/>
      <c r="O159" s="142"/>
      <c r="P159" s="142"/>
      <c r="Q159" s="162"/>
      <c r="R159" s="162"/>
      <c r="S159" s="162"/>
      <c r="T159" s="145"/>
      <c r="U159" s="168" t="str">
        <f ca="1">IFERROR(__xludf.DUMMYFUNCTION("""COMPUTED_VALUE"""),"Division VII")</f>
        <v>Division VII</v>
      </c>
      <c r="V159" s="162"/>
      <c r="W159" s="162"/>
      <c r="X159" s="162"/>
      <c r="Y159" s="162"/>
      <c r="Z159" s="145"/>
      <c r="AA159" s="170">
        <f ca="1">IFERROR(__xludf.DUMMYFUNCTION("""COMPUTED_VALUE"""),7)</f>
        <v>7</v>
      </c>
      <c r="AB159" s="171">
        <f ca="1">IFERROR(__xludf.DUMMYFUNCTION("""COMPUTED_VALUE"""),45489)</f>
        <v>45489</v>
      </c>
      <c r="AC159" s="162" t="str">
        <f ca="1">IFERROR(__xludf.DUMMYFUNCTION("""COMPUTED_VALUE"""),"")</f>
        <v/>
      </c>
      <c r="AD159" s="162" t="str">
        <f ca="1">IFERROR(__xludf.DUMMYFUNCTION("""COMPUTED_VALUE"""),"")</f>
        <v/>
      </c>
      <c r="AE159" s="162" t="str">
        <f ca="1">IFERROR(__xludf.DUMMYFUNCTION("""COMPUTED_VALUE"""),"")</f>
        <v/>
      </c>
      <c r="AF159" s="145"/>
      <c r="AG159" s="170"/>
      <c r="AH159" s="162"/>
    </row>
    <row r="160" spans="1:34" ht="13.2">
      <c r="A160" s="43"/>
      <c r="B160" s="43"/>
      <c r="C160" s="43"/>
      <c r="D160" s="43"/>
      <c r="E160" s="179"/>
      <c r="F160" s="179"/>
      <c r="G160" s="150"/>
      <c r="H160" s="150"/>
      <c r="I160" s="151"/>
      <c r="J160" s="151"/>
      <c r="K160" s="153"/>
      <c r="L160" s="153"/>
      <c r="M160" s="151"/>
      <c r="N160" s="151"/>
      <c r="O160" s="142"/>
      <c r="P160" s="142"/>
      <c r="Q160" s="157"/>
      <c r="R160" s="157"/>
      <c r="S160" s="157"/>
      <c r="T160" s="145"/>
      <c r="U160" s="174" t="str">
        <f ca="1">IFERROR(__xludf.DUMMYFUNCTION("""COMPUTED_VALUE"""),"Rutherford")</f>
        <v>Rutherford</v>
      </c>
      <c r="V160" s="157" t="str">
        <f ca="1">IFERROR(__xludf.DUMMYFUNCTION("""COMPUTED_VALUE"""),"at")</f>
        <v>at</v>
      </c>
      <c r="W160" s="157" t="str">
        <f ca="1">IFERROR(__xludf.DUMMYFUNCTION("""COMPUTED_VALUE"""),"North Springfield")</f>
        <v>North Springfield</v>
      </c>
      <c r="X160" s="175">
        <f ca="1">IFERROR(__xludf.DUMMYFUNCTION("""COMPUTED_VALUE"""),0.75)</f>
        <v>0.75</v>
      </c>
      <c r="Y160" s="157" t="str">
        <f ca="1">IFERROR(__xludf.DUMMYFUNCTION("""COMPUTED_VALUE"""),"MAP")</f>
        <v>MAP</v>
      </c>
      <c r="Z160" s="145"/>
      <c r="AA160" s="158">
        <f ca="1">IFERROR(__xludf.DUMMYFUNCTION("""COMPUTED_VALUE"""),71)</f>
        <v>71</v>
      </c>
      <c r="AB160" s="176">
        <f ca="1">IFERROR(__xludf.DUMMYFUNCTION("""COMPUTED_VALUE"""),45489)</f>
        <v>45489</v>
      </c>
      <c r="AC160" s="157" t="str">
        <f ca="1">IFERROR(__xludf.DUMMYFUNCTION("""COMPUTED_VALUE"""),"20240716-71")</f>
        <v>20240716-71</v>
      </c>
      <c r="AD160" s="157" t="str">
        <f ca="1">IFERROR(__xludf.DUMMYFUNCTION("""COMPUTED_VALUE"""),"NS-North Springfield")</f>
        <v>NS-North Springfield</v>
      </c>
      <c r="AE160" s="157" t="str">
        <f ca="1">IFERROR(__xludf.DUMMYFUNCTION("""COMPUTED_VALUE"""),"RFD-Rutherford")</f>
        <v>RFD-Rutherford</v>
      </c>
      <c r="AF160" s="145"/>
      <c r="AG160" s="158"/>
      <c r="AH160" s="157"/>
    </row>
    <row r="161" spans="1:34" ht="13.2">
      <c r="A161" s="43"/>
      <c r="B161" s="43"/>
      <c r="C161" s="43"/>
      <c r="D161" s="43"/>
      <c r="E161" s="179"/>
      <c r="F161" s="179"/>
      <c r="G161" s="150"/>
      <c r="H161" s="150"/>
      <c r="I161" s="151"/>
      <c r="J161" s="151"/>
      <c r="K161" s="153"/>
      <c r="L161" s="153"/>
      <c r="M161" s="151"/>
      <c r="N161" s="151"/>
      <c r="O161" s="142"/>
      <c r="P161" s="142"/>
      <c r="Q161" s="162"/>
      <c r="R161" s="162"/>
      <c r="S161" s="162"/>
      <c r="T161" s="145"/>
      <c r="U161" s="168" t="str">
        <f ca="1">IFERROR(__xludf.DUMMYFUNCTION("""COMPUTED_VALUE"""),"Annandale")</f>
        <v>Annandale</v>
      </c>
      <c r="V161" s="162" t="str">
        <f ca="1">IFERROR(__xludf.DUMMYFUNCTION("""COMPUTED_VALUE"""),"at")</f>
        <v>at</v>
      </c>
      <c r="W161" s="162" t="str">
        <f ca="1">IFERROR(__xludf.DUMMYFUNCTION("""COMPUTED_VALUE"""),"Springfield")</f>
        <v>Springfield</v>
      </c>
      <c r="X161" s="169">
        <f ca="1">IFERROR(__xludf.DUMMYFUNCTION("""COMPUTED_VALUE"""),0.75)</f>
        <v>0.75</v>
      </c>
      <c r="Y161" s="162" t="str">
        <f ca="1">IFERROR(__xludf.DUMMYFUNCTION("""COMPUTED_VALUE"""),"MAP")</f>
        <v>MAP</v>
      </c>
      <c r="Z161" s="145"/>
      <c r="AA161" s="170">
        <f ca="1">IFERROR(__xludf.DUMMYFUNCTION("""COMPUTED_VALUE"""),72)</f>
        <v>72</v>
      </c>
      <c r="AB161" s="171">
        <f ca="1">IFERROR(__xludf.DUMMYFUNCTION("""COMPUTED_VALUE"""),45489)</f>
        <v>45489</v>
      </c>
      <c r="AC161" s="162" t="str">
        <f ca="1">IFERROR(__xludf.DUMMYFUNCTION("""COMPUTED_VALUE"""),"20240716-72")</f>
        <v>20240716-72</v>
      </c>
      <c r="AD161" s="162" t="str">
        <f ca="1">IFERROR(__xludf.DUMMYFUNCTION("""COMPUTED_VALUE"""),"S-Springfield")</f>
        <v>S-Springfield</v>
      </c>
      <c r="AE161" s="162" t="str">
        <f ca="1">IFERROR(__xludf.DUMMYFUNCTION("""COMPUTED_VALUE"""),"A-Annandale")</f>
        <v>A-Annandale</v>
      </c>
      <c r="AF161" s="145"/>
      <c r="AG161" s="170"/>
      <c r="AH161" s="162"/>
    </row>
    <row r="162" spans="1:34" ht="13.2">
      <c r="A162" s="43"/>
      <c r="B162" s="43"/>
      <c r="C162" s="43"/>
      <c r="D162" s="43"/>
      <c r="E162" s="179"/>
      <c r="F162" s="179"/>
      <c r="G162" s="150"/>
      <c r="H162" s="150"/>
      <c r="I162" s="151"/>
      <c r="J162" s="151"/>
      <c r="K162" s="153"/>
      <c r="L162" s="153"/>
      <c r="M162" s="151"/>
      <c r="N162" s="151"/>
      <c r="O162" s="142"/>
      <c r="P162" s="142"/>
      <c r="Q162" s="157"/>
      <c r="R162" s="157"/>
      <c r="S162" s="157"/>
      <c r="T162" s="145"/>
      <c r="U162" s="174" t="str">
        <f ca="1">IFERROR(__xludf.DUMMYFUNCTION("""COMPUTED_VALUE"""),"Commonwealth")</f>
        <v>Commonwealth</v>
      </c>
      <c r="V162" s="157" t="str">
        <f ca="1">IFERROR(__xludf.DUMMYFUNCTION("""COMPUTED_VALUE"""),"at")</f>
        <v>at</v>
      </c>
      <c r="W162" s="157" t="str">
        <f ca="1">IFERROR(__xludf.DUMMYFUNCTION("""COMPUTED_VALUE"""),"Arlington Forest")</f>
        <v>Arlington Forest</v>
      </c>
      <c r="X162" s="175">
        <f ca="1">IFERROR(__xludf.DUMMYFUNCTION("""COMPUTED_VALUE"""),0.75)</f>
        <v>0.75</v>
      </c>
      <c r="Y162" s="157" t="str">
        <f ca="1">IFERROR(__xludf.DUMMYFUNCTION("""COMPUTED_VALUE"""),"MAP")</f>
        <v>MAP</v>
      </c>
      <c r="Z162" s="145"/>
      <c r="AA162" s="158">
        <f ca="1">IFERROR(__xludf.DUMMYFUNCTION("""COMPUTED_VALUE"""),73)</f>
        <v>73</v>
      </c>
      <c r="AB162" s="176">
        <f ca="1">IFERROR(__xludf.DUMMYFUNCTION("""COMPUTED_VALUE"""),45489)</f>
        <v>45489</v>
      </c>
      <c r="AC162" s="157" t="str">
        <f ca="1">IFERROR(__xludf.DUMMYFUNCTION("""COMPUTED_VALUE"""),"20240716-73")</f>
        <v>20240716-73</v>
      </c>
      <c r="AD162" s="157" t="str">
        <f ca="1">IFERROR(__xludf.DUMMYFUNCTION("""COMPUTED_VALUE"""),"AF-Arlington Forest")</f>
        <v>AF-Arlington Forest</v>
      </c>
      <c r="AE162" s="157" t="str">
        <f ca="1">IFERROR(__xludf.DUMMYFUNCTION("""COMPUTED_VALUE"""),"CSC-Commonwealth Swim Club")</f>
        <v>CSC-Commonwealth Swim Club</v>
      </c>
      <c r="AF162" s="145"/>
      <c r="AG162" s="158"/>
      <c r="AH162" s="157"/>
    </row>
    <row r="163" spans="1:34" ht="13.2">
      <c r="A163" s="43"/>
      <c r="B163" s="43"/>
      <c r="C163" s="43"/>
      <c r="D163" s="43"/>
      <c r="E163" s="179"/>
      <c r="F163" s="179"/>
      <c r="G163" s="150"/>
      <c r="H163" s="150"/>
      <c r="I163" s="151"/>
      <c r="J163" s="151"/>
      <c r="K163" s="153"/>
      <c r="L163" s="153"/>
      <c r="M163" s="151"/>
      <c r="N163" s="151"/>
      <c r="O163" s="142"/>
      <c r="P163" s="142"/>
      <c r="Q163" s="162"/>
      <c r="R163" s="162"/>
      <c r="S163" s="162"/>
      <c r="T163" s="145"/>
      <c r="U163" s="168" t="str">
        <f ca="1">IFERROR(__xludf.DUMMYFUNCTION("""COMPUTED_VALUE"""),"Division VIII")</f>
        <v>Division VIII</v>
      </c>
      <c r="V163" s="162"/>
      <c r="W163" s="162"/>
      <c r="X163" s="162"/>
      <c r="Y163" s="162"/>
      <c r="Z163" s="145"/>
      <c r="AA163" s="170">
        <f ca="1">IFERROR(__xludf.DUMMYFUNCTION("""COMPUTED_VALUE"""),8)</f>
        <v>8</v>
      </c>
      <c r="AB163" s="171">
        <f ca="1">IFERROR(__xludf.DUMMYFUNCTION("""COMPUTED_VALUE"""),45489)</f>
        <v>45489</v>
      </c>
      <c r="AC163" s="162" t="str">
        <f ca="1">IFERROR(__xludf.DUMMYFUNCTION("""COMPUTED_VALUE"""),"")</f>
        <v/>
      </c>
      <c r="AD163" s="162" t="str">
        <f ca="1">IFERROR(__xludf.DUMMYFUNCTION("""COMPUTED_VALUE"""),"")</f>
        <v/>
      </c>
      <c r="AE163" s="162" t="str">
        <f ca="1">IFERROR(__xludf.DUMMYFUNCTION("""COMPUTED_VALUE"""),"")</f>
        <v/>
      </c>
      <c r="AF163" s="145"/>
      <c r="AG163" s="170"/>
      <c r="AH163" s="162"/>
    </row>
    <row r="164" spans="1:34" ht="13.2">
      <c r="A164" s="43"/>
      <c r="B164" s="43"/>
      <c r="C164" s="43"/>
      <c r="D164" s="43"/>
      <c r="E164" s="179"/>
      <c r="F164" s="179"/>
      <c r="G164" s="150"/>
      <c r="H164" s="150"/>
      <c r="I164" s="151"/>
      <c r="J164" s="151"/>
      <c r="K164" s="153"/>
      <c r="L164" s="153"/>
      <c r="M164" s="151"/>
      <c r="N164" s="151"/>
      <c r="O164" s="142"/>
      <c r="P164" s="142"/>
      <c r="Q164" s="157"/>
      <c r="R164" s="157"/>
      <c r="S164" s="157"/>
      <c r="T164" s="145"/>
      <c r="U164" s="174" t="str">
        <f ca="1">IFERROR(__xludf.DUMMYFUNCTION("""COMPUTED_VALUE"""),"Orange Hunt")</f>
        <v>Orange Hunt</v>
      </c>
      <c r="V164" s="157" t="str">
        <f ca="1">IFERROR(__xludf.DUMMYFUNCTION("""COMPUTED_VALUE"""),"at")</f>
        <v>at</v>
      </c>
      <c r="W164" s="157" t="str">
        <f ca="1">IFERROR(__xludf.DUMMYFUNCTION("""COMPUTED_VALUE"""),"Stratford")</f>
        <v>Stratford</v>
      </c>
      <c r="X164" s="175">
        <f ca="1">IFERROR(__xludf.DUMMYFUNCTION("""COMPUTED_VALUE"""),0.75)</f>
        <v>0.75</v>
      </c>
      <c r="Y164" s="157" t="str">
        <f ca="1">IFERROR(__xludf.DUMMYFUNCTION("""COMPUTED_VALUE"""),"MAP")</f>
        <v>MAP</v>
      </c>
      <c r="Z164" s="145"/>
      <c r="AA164" s="158">
        <f ca="1">IFERROR(__xludf.DUMMYFUNCTION("""COMPUTED_VALUE"""),81)</f>
        <v>81</v>
      </c>
      <c r="AB164" s="176">
        <f ca="1">IFERROR(__xludf.DUMMYFUNCTION("""COMPUTED_VALUE"""),45489)</f>
        <v>45489</v>
      </c>
      <c r="AC164" s="157" t="str">
        <f ca="1">IFERROR(__xludf.DUMMYFUNCTION("""COMPUTED_VALUE"""),"20240716-81")</f>
        <v>20240716-81</v>
      </c>
      <c r="AD164" s="157" t="str">
        <f ca="1">IFERROR(__xludf.DUMMYFUNCTION("""COMPUTED_VALUE"""),"SRA-Stratford Rec Association")</f>
        <v>SRA-Stratford Rec Association</v>
      </c>
      <c r="AE164" s="157" t="str">
        <f ca="1">IFERROR(__xludf.DUMMYFUNCTION("""COMPUTED_VALUE"""),"OH-Orange Hunt")</f>
        <v>OH-Orange Hunt</v>
      </c>
      <c r="AF164" s="145"/>
      <c r="AG164" s="158"/>
      <c r="AH164" s="157"/>
    </row>
    <row r="165" spans="1:34" ht="13.2">
      <c r="A165" s="43"/>
      <c r="B165" s="43"/>
      <c r="C165" s="43"/>
      <c r="D165" s="43"/>
      <c r="E165" s="179"/>
      <c r="F165" s="179"/>
      <c r="G165" s="150"/>
      <c r="H165" s="150"/>
      <c r="I165" s="151"/>
      <c r="J165" s="151"/>
      <c r="K165" s="153"/>
      <c r="L165" s="153"/>
      <c r="M165" s="151"/>
      <c r="N165" s="151"/>
      <c r="O165" s="142"/>
      <c r="P165" s="142"/>
      <c r="Q165" s="162"/>
      <c r="R165" s="162"/>
      <c r="S165" s="162"/>
      <c r="T165" s="145"/>
      <c r="U165" s="168" t="str">
        <f ca="1">IFERROR(__xludf.DUMMYFUNCTION("""COMPUTED_VALUE"""),"Hamlet")</f>
        <v>Hamlet</v>
      </c>
      <c r="V165" s="162" t="str">
        <f ca="1">IFERROR(__xludf.DUMMYFUNCTION("""COMPUTED_VALUE"""),"at")</f>
        <v>at</v>
      </c>
      <c r="W165" s="162" t="str">
        <f ca="1">IFERROR(__xludf.DUMMYFUNCTION("""COMPUTED_VALUE"""),"Ilda Community")</f>
        <v>Ilda Community</v>
      </c>
      <c r="X165" s="169">
        <f ca="1">IFERROR(__xludf.DUMMYFUNCTION("""COMPUTED_VALUE"""),0.75)</f>
        <v>0.75</v>
      </c>
      <c r="Y165" s="162" t="str">
        <f ca="1">IFERROR(__xludf.DUMMYFUNCTION("""COMPUTED_VALUE"""),"MAP")</f>
        <v>MAP</v>
      </c>
      <c r="Z165" s="145"/>
      <c r="AA165" s="170">
        <f ca="1">IFERROR(__xludf.DUMMYFUNCTION("""COMPUTED_VALUE"""),82)</f>
        <v>82</v>
      </c>
      <c r="AB165" s="171">
        <f ca="1">IFERROR(__xludf.DUMMYFUNCTION("""COMPUTED_VALUE"""),45489)</f>
        <v>45489</v>
      </c>
      <c r="AC165" s="162" t="str">
        <f ca="1">IFERROR(__xludf.DUMMYFUNCTION("""COMPUTED_VALUE"""),"20240716-82")</f>
        <v>20240716-82</v>
      </c>
      <c r="AD165" s="162" t="str">
        <f ca="1">IFERROR(__xludf.DUMMYFUNCTION("""COMPUTED_VALUE"""),"IC-Ilda Community")</f>
        <v>IC-Ilda Community</v>
      </c>
      <c r="AE165" s="162" t="str">
        <f ca="1">IFERROR(__xludf.DUMMYFUNCTION("""COMPUTED_VALUE"""),"HSC-Hamlet Swim Club")</f>
        <v>HSC-Hamlet Swim Club</v>
      </c>
      <c r="AF165" s="145"/>
      <c r="AG165" s="170"/>
      <c r="AH165" s="162"/>
    </row>
    <row r="166" spans="1:34" ht="13.2">
      <c r="A166" s="43"/>
      <c r="B166" s="43"/>
      <c r="C166" s="43"/>
      <c r="D166" s="43"/>
      <c r="E166" s="179"/>
      <c r="F166" s="179"/>
      <c r="G166" s="150"/>
      <c r="H166" s="150"/>
      <c r="I166" s="151"/>
      <c r="J166" s="151"/>
      <c r="K166" s="153"/>
      <c r="L166" s="153"/>
      <c r="M166" s="151"/>
      <c r="N166" s="151"/>
      <c r="O166" s="142"/>
      <c r="P166" s="142"/>
      <c r="Q166" s="157"/>
      <c r="R166" s="157"/>
      <c r="S166" s="157"/>
      <c r="T166" s="145"/>
      <c r="U166" s="174" t="str">
        <f ca="1">IFERROR(__xludf.DUMMYFUNCTION("""COMPUTED_VALUE"""),"Pinecrest")</f>
        <v>Pinecrest</v>
      </c>
      <c r="V166" s="157" t="str">
        <f ca="1">IFERROR(__xludf.DUMMYFUNCTION("""COMPUTED_VALUE"""),"at")</f>
        <v>at</v>
      </c>
      <c r="W166" s="157" t="str">
        <f ca="1">IFERROR(__xludf.DUMMYFUNCTION("""COMPUTED_VALUE"""),"Springboard")</f>
        <v>Springboard</v>
      </c>
      <c r="X166" s="175">
        <f ca="1">IFERROR(__xludf.DUMMYFUNCTION("""COMPUTED_VALUE"""),0.75)</f>
        <v>0.75</v>
      </c>
      <c r="Y166" s="157" t="str">
        <f ca="1">IFERROR(__xludf.DUMMYFUNCTION("""COMPUTED_VALUE"""),"MAP")</f>
        <v>MAP</v>
      </c>
      <c r="Z166" s="145"/>
      <c r="AA166" s="158">
        <f ca="1">IFERROR(__xludf.DUMMYFUNCTION("""COMPUTED_VALUE"""),83)</f>
        <v>83</v>
      </c>
      <c r="AB166" s="176">
        <f ca="1">IFERROR(__xludf.DUMMYFUNCTION("""COMPUTED_VALUE"""),45489)</f>
        <v>45489</v>
      </c>
      <c r="AC166" s="157" t="str">
        <f ca="1">IFERROR(__xludf.DUMMYFUNCTION("""COMPUTED_VALUE"""),"20240716-83")</f>
        <v>20240716-83</v>
      </c>
      <c r="AD166" s="157" t="str">
        <f ca="1">IFERROR(__xludf.DUMMYFUNCTION("""COMPUTED_VALUE"""),"SB-Springboard Recreation Club")</f>
        <v>SB-Springboard Recreation Club</v>
      </c>
      <c r="AE166" s="157" t="str">
        <f ca="1">IFERROR(__xludf.DUMMYFUNCTION("""COMPUTED_VALUE"""),"PC-Pinecrest")</f>
        <v>PC-Pinecrest</v>
      </c>
      <c r="AF166" s="145"/>
      <c r="AG166" s="158"/>
      <c r="AH166" s="157"/>
    </row>
    <row r="167" spans="1:34" ht="13.2">
      <c r="A167" s="43"/>
      <c r="B167" s="43"/>
      <c r="C167" s="43"/>
      <c r="D167" s="43"/>
      <c r="E167" s="179"/>
      <c r="F167" s="179"/>
      <c r="G167" s="150"/>
      <c r="H167" s="150"/>
      <c r="I167" s="151"/>
      <c r="J167" s="151"/>
      <c r="K167" s="153"/>
      <c r="L167" s="153"/>
      <c r="M167" s="151"/>
      <c r="N167" s="151"/>
      <c r="O167" s="142"/>
      <c r="P167" s="142"/>
      <c r="Q167" s="162"/>
      <c r="R167" s="162"/>
      <c r="S167" s="162"/>
      <c r="T167" s="145"/>
      <c r="U167" s="168"/>
      <c r="V167" s="162"/>
      <c r="W167" s="162"/>
      <c r="X167" s="162"/>
      <c r="Y167" s="162"/>
      <c r="Z167" s="145"/>
      <c r="AA167" s="170" t="str">
        <f ca="1">IFERROR(__xludf.DUMMYFUNCTION("""COMPUTED_VALUE"""),"")</f>
        <v/>
      </c>
      <c r="AB167" s="172" t="str">
        <f ca="1">IFERROR(__xludf.DUMMYFUNCTION("""COMPUTED_VALUE"""),"")</f>
        <v/>
      </c>
      <c r="AC167" s="162" t="str">
        <f ca="1">IFERROR(__xludf.DUMMYFUNCTION("""COMPUTED_VALUE"""),"")</f>
        <v/>
      </c>
      <c r="AD167" s="162" t="str">
        <f ca="1">IFERROR(__xludf.DUMMYFUNCTION("""COMPUTED_VALUE"""),"")</f>
        <v/>
      </c>
      <c r="AE167" s="162" t="str">
        <f ca="1">IFERROR(__xludf.DUMMYFUNCTION("""COMPUTED_VALUE"""),"")</f>
        <v/>
      </c>
      <c r="AF167" s="145"/>
      <c r="AG167" s="170"/>
      <c r="AH167" s="162"/>
    </row>
    <row r="168" spans="1:34" ht="13.2">
      <c r="A168" s="43"/>
      <c r="B168" s="43"/>
      <c r="C168" s="43"/>
      <c r="D168" s="43"/>
      <c r="E168" s="179"/>
      <c r="F168" s="179"/>
      <c r="G168" s="150"/>
      <c r="H168" s="150"/>
      <c r="I168" s="151"/>
      <c r="J168" s="151"/>
      <c r="K168" s="153"/>
      <c r="L168" s="153"/>
      <c r="M168" s="151"/>
      <c r="N168" s="151"/>
      <c r="O168" s="142"/>
      <c r="P168" s="142"/>
      <c r="Q168" s="157"/>
      <c r="R168" s="157"/>
      <c r="S168" s="157"/>
      <c r="T168" s="145"/>
      <c r="U168" s="174"/>
      <c r="V168" s="157"/>
      <c r="W168" s="157"/>
      <c r="X168" s="157"/>
      <c r="Y168" s="157"/>
      <c r="Z168" s="145"/>
      <c r="AA168" s="158" t="str">
        <f ca="1">IFERROR(__xludf.DUMMYFUNCTION("""COMPUTED_VALUE"""),"")</f>
        <v/>
      </c>
      <c r="AB168" s="177" t="str">
        <f ca="1">IFERROR(__xludf.DUMMYFUNCTION("""COMPUTED_VALUE"""),"")</f>
        <v/>
      </c>
      <c r="AC168" s="157" t="str">
        <f ca="1">IFERROR(__xludf.DUMMYFUNCTION("""COMPUTED_VALUE"""),"")</f>
        <v/>
      </c>
      <c r="AD168" s="157" t="str">
        <f ca="1">IFERROR(__xludf.DUMMYFUNCTION("""COMPUTED_VALUE"""),"")</f>
        <v/>
      </c>
      <c r="AE168" s="157" t="str">
        <f ca="1">IFERROR(__xludf.DUMMYFUNCTION("""COMPUTED_VALUE"""),"")</f>
        <v/>
      </c>
      <c r="AF168" s="145"/>
      <c r="AG168" s="158"/>
      <c r="AH168" s="157"/>
    </row>
    <row r="169" spans="1:34" ht="13.2">
      <c r="A169" s="43"/>
      <c r="B169" s="43"/>
      <c r="C169" s="43"/>
      <c r="D169" s="43"/>
      <c r="E169" s="179"/>
      <c r="F169" s="179"/>
      <c r="G169" s="150"/>
      <c r="H169" s="150"/>
      <c r="I169" s="151"/>
      <c r="J169" s="151"/>
      <c r="K169" s="153"/>
      <c r="L169" s="153"/>
      <c r="M169" s="151"/>
      <c r="N169" s="151"/>
      <c r="O169" s="142"/>
      <c r="P169" s="142"/>
      <c r="Q169" s="162"/>
      <c r="R169" s="162"/>
      <c r="S169" s="162"/>
      <c r="T169" s="145"/>
      <c r="U169" s="168"/>
      <c r="V169" s="162"/>
      <c r="W169" s="162"/>
      <c r="X169" s="162"/>
      <c r="Y169" s="162"/>
      <c r="Z169" s="145"/>
      <c r="AA169" s="170" t="str">
        <f ca="1">IFERROR(__xludf.DUMMYFUNCTION("""COMPUTED_VALUE"""),"")</f>
        <v/>
      </c>
      <c r="AB169" s="172" t="str">
        <f ca="1">IFERROR(__xludf.DUMMYFUNCTION("""COMPUTED_VALUE"""),"")</f>
        <v/>
      </c>
      <c r="AC169" s="162" t="str">
        <f ca="1">IFERROR(__xludf.DUMMYFUNCTION("""COMPUTED_VALUE"""),"")</f>
        <v/>
      </c>
      <c r="AD169" s="162" t="str">
        <f ca="1">IFERROR(__xludf.DUMMYFUNCTION("""COMPUTED_VALUE"""),"")</f>
        <v/>
      </c>
      <c r="AE169" s="162" t="str">
        <f ca="1">IFERROR(__xludf.DUMMYFUNCTION("""COMPUTED_VALUE"""),"")</f>
        <v/>
      </c>
      <c r="AF169" s="145"/>
      <c r="AG169" s="170"/>
      <c r="AH169" s="162"/>
    </row>
    <row r="170" spans="1:34" ht="13.2">
      <c r="A170" s="43"/>
      <c r="B170" s="43"/>
      <c r="C170" s="43"/>
      <c r="D170" s="43"/>
      <c r="E170" s="179"/>
      <c r="F170" s="179"/>
      <c r="G170" s="150"/>
      <c r="H170" s="150"/>
      <c r="I170" s="151"/>
      <c r="J170" s="151"/>
      <c r="K170" s="153"/>
      <c r="L170" s="153"/>
      <c r="M170" s="151"/>
      <c r="N170" s="151"/>
      <c r="O170" s="142"/>
      <c r="P170" s="142"/>
      <c r="Q170" s="157"/>
      <c r="R170" s="157"/>
      <c r="S170" s="157"/>
      <c r="T170" s="145"/>
      <c r="U170" s="174"/>
      <c r="V170" s="157"/>
      <c r="W170" s="157"/>
      <c r="X170" s="157"/>
      <c r="Y170" s="157"/>
      <c r="Z170" s="145"/>
      <c r="AA170" s="158" t="str">
        <f ca="1">IFERROR(__xludf.DUMMYFUNCTION("""COMPUTED_VALUE"""),"")</f>
        <v/>
      </c>
      <c r="AB170" s="177" t="str">
        <f ca="1">IFERROR(__xludf.DUMMYFUNCTION("""COMPUTED_VALUE"""),"")</f>
        <v/>
      </c>
      <c r="AC170" s="157" t="str">
        <f ca="1">IFERROR(__xludf.DUMMYFUNCTION("""COMPUTED_VALUE"""),"")</f>
        <v/>
      </c>
      <c r="AD170" s="157" t="str">
        <f ca="1">IFERROR(__xludf.DUMMYFUNCTION("""COMPUTED_VALUE"""),"")</f>
        <v/>
      </c>
      <c r="AE170" s="157" t="str">
        <f ca="1">IFERROR(__xludf.DUMMYFUNCTION("""COMPUTED_VALUE"""),"")</f>
        <v/>
      </c>
      <c r="AF170" s="145"/>
      <c r="AG170" s="158"/>
      <c r="AH170" s="157"/>
    </row>
    <row r="171" spans="1:34" ht="13.2">
      <c r="A171" s="43"/>
      <c r="B171" s="43"/>
      <c r="C171" s="43"/>
      <c r="D171" s="43"/>
      <c r="E171" s="179"/>
      <c r="F171" s="179"/>
      <c r="G171" s="150"/>
      <c r="H171" s="150"/>
      <c r="I171" s="151"/>
      <c r="J171" s="151"/>
      <c r="K171" s="153"/>
      <c r="L171" s="153"/>
      <c r="M171" s="151"/>
      <c r="N171" s="151"/>
      <c r="O171" s="142"/>
      <c r="P171" s="142"/>
      <c r="Q171" s="162"/>
      <c r="R171" s="162"/>
      <c r="S171" s="162"/>
      <c r="T171" s="145"/>
      <c r="U171" s="168"/>
      <c r="V171" s="162"/>
      <c r="W171" s="162"/>
      <c r="X171" s="162"/>
      <c r="Y171" s="162"/>
      <c r="Z171" s="145"/>
      <c r="AA171" s="170" t="str">
        <f ca="1">IFERROR(__xludf.DUMMYFUNCTION("""COMPUTED_VALUE"""),"")</f>
        <v/>
      </c>
      <c r="AB171" s="172" t="str">
        <f ca="1">IFERROR(__xludf.DUMMYFUNCTION("""COMPUTED_VALUE"""),"")</f>
        <v/>
      </c>
      <c r="AC171" s="162" t="str">
        <f ca="1">IFERROR(__xludf.DUMMYFUNCTION("""COMPUTED_VALUE"""),"")</f>
        <v/>
      </c>
      <c r="AD171" s="162" t="str">
        <f ca="1">IFERROR(__xludf.DUMMYFUNCTION("""COMPUTED_VALUE"""),"")</f>
        <v/>
      </c>
      <c r="AE171" s="162" t="str">
        <f ca="1">IFERROR(__xludf.DUMMYFUNCTION("""COMPUTED_VALUE"""),"")</f>
        <v/>
      </c>
      <c r="AF171" s="145"/>
      <c r="AG171" s="170"/>
      <c r="AH171" s="162"/>
    </row>
    <row r="172" spans="1:34" ht="13.2">
      <c r="A172" s="43"/>
      <c r="B172" s="43"/>
      <c r="C172" s="43"/>
      <c r="D172" s="43"/>
      <c r="E172" s="179"/>
      <c r="F172" s="179"/>
      <c r="G172" s="150"/>
      <c r="H172" s="150"/>
      <c r="I172" s="151"/>
      <c r="J172" s="151"/>
      <c r="K172" s="153"/>
      <c r="L172" s="153"/>
      <c r="M172" s="151"/>
      <c r="N172" s="151"/>
      <c r="O172" s="142"/>
      <c r="P172" s="142"/>
      <c r="Q172" s="157"/>
      <c r="R172" s="157"/>
      <c r="S172" s="157"/>
      <c r="T172" s="145"/>
      <c r="U172" s="174"/>
      <c r="V172" s="157"/>
      <c r="W172" s="157"/>
      <c r="X172" s="157"/>
      <c r="Y172" s="157"/>
      <c r="Z172" s="145"/>
      <c r="AA172" s="158" t="str">
        <f ca="1">IFERROR(__xludf.DUMMYFUNCTION("""COMPUTED_VALUE"""),"")</f>
        <v/>
      </c>
      <c r="AB172" s="177" t="str">
        <f ca="1">IFERROR(__xludf.DUMMYFUNCTION("""COMPUTED_VALUE"""),"")</f>
        <v/>
      </c>
      <c r="AC172" s="157" t="str">
        <f ca="1">IFERROR(__xludf.DUMMYFUNCTION("""COMPUTED_VALUE"""),"")</f>
        <v/>
      </c>
      <c r="AD172" s="157" t="str">
        <f ca="1">IFERROR(__xludf.DUMMYFUNCTION("""COMPUTED_VALUE"""),"")</f>
        <v/>
      </c>
      <c r="AE172" s="157" t="str">
        <f ca="1">IFERROR(__xludf.DUMMYFUNCTION("""COMPUTED_VALUE"""),"")</f>
        <v/>
      </c>
      <c r="AF172" s="145"/>
      <c r="AG172" s="158"/>
      <c r="AH172" s="157"/>
    </row>
    <row r="173" spans="1:34" ht="13.2">
      <c r="A173" s="43"/>
      <c r="B173" s="43"/>
      <c r="C173" s="43"/>
      <c r="D173" s="43"/>
      <c r="E173" s="179"/>
      <c r="F173" s="179"/>
      <c r="G173" s="150"/>
      <c r="H173" s="150"/>
      <c r="I173" s="151"/>
      <c r="J173" s="151"/>
      <c r="K173" s="153"/>
      <c r="L173" s="153"/>
      <c r="M173" s="151"/>
      <c r="N173" s="151"/>
      <c r="O173" s="142"/>
      <c r="P173" s="142"/>
      <c r="Q173" s="162"/>
      <c r="R173" s="162"/>
      <c r="S173" s="162"/>
      <c r="T173" s="145"/>
      <c r="U173" s="168"/>
      <c r="V173" s="162"/>
      <c r="W173" s="162"/>
      <c r="X173" s="162"/>
      <c r="Y173" s="162"/>
      <c r="Z173" s="145"/>
      <c r="AA173" s="170" t="str">
        <f ca="1">IFERROR(__xludf.DUMMYFUNCTION("""COMPUTED_VALUE"""),"")</f>
        <v/>
      </c>
      <c r="AB173" s="172" t="str">
        <f ca="1">IFERROR(__xludf.DUMMYFUNCTION("""COMPUTED_VALUE"""),"")</f>
        <v/>
      </c>
      <c r="AC173" s="162" t="str">
        <f ca="1">IFERROR(__xludf.DUMMYFUNCTION("""COMPUTED_VALUE"""),"")</f>
        <v/>
      </c>
      <c r="AD173" s="162" t="str">
        <f ca="1">IFERROR(__xludf.DUMMYFUNCTION("""COMPUTED_VALUE"""),"")</f>
        <v/>
      </c>
      <c r="AE173" s="162" t="str">
        <f ca="1">IFERROR(__xludf.DUMMYFUNCTION("""COMPUTED_VALUE"""),"")</f>
        <v/>
      </c>
      <c r="AF173" s="145"/>
      <c r="AG173" s="170"/>
      <c r="AH173" s="162"/>
    </row>
    <row r="174" spans="1:34" ht="13.2">
      <c r="A174" s="43"/>
      <c r="B174" s="43"/>
      <c r="C174" s="43"/>
      <c r="D174" s="43"/>
      <c r="E174" s="179"/>
      <c r="F174" s="179"/>
      <c r="G174" s="150"/>
      <c r="H174" s="150"/>
      <c r="I174" s="151"/>
      <c r="J174" s="151"/>
      <c r="K174" s="153"/>
      <c r="L174" s="153"/>
      <c r="M174" s="151"/>
      <c r="N174" s="151"/>
      <c r="O174" s="142"/>
      <c r="P174" s="142"/>
      <c r="Q174" s="157"/>
      <c r="R174" s="157"/>
      <c r="S174" s="157"/>
      <c r="T174" s="145"/>
      <c r="U174" s="174"/>
      <c r="V174" s="157"/>
      <c r="W174" s="157"/>
      <c r="X174" s="157"/>
      <c r="Y174" s="157"/>
      <c r="Z174" s="145"/>
      <c r="AA174" s="158" t="str">
        <f ca="1">IFERROR(__xludf.DUMMYFUNCTION("""COMPUTED_VALUE"""),"")</f>
        <v/>
      </c>
      <c r="AB174" s="177" t="str">
        <f ca="1">IFERROR(__xludf.DUMMYFUNCTION("""COMPUTED_VALUE"""),"")</f>
        <v/>
      </c>
      <c r="AC174" s="157" t="str">
        <f ca="1">IFERROR(__xludf.DUMMYFUNCTION("""COMPUTED_VALUE"""),"")</f>
        <v/>
      </c>
      <c r="AD174" s="157" t="str">
        <f ca="1">IFERROR(__xludf.DUMMYFUNCTION("""COMPUTED_VALUE"""),"")</f>
        <v/>
      </c>
      <c r="AE174" s="157" t="str">
        <f ca="1">IFERROR(__xludf.DUMMYFUNCTION("""COMPUTED_VALUE"""),"")</f>
        <v/>
      </c>
      <c r="AF174" s="145"/>
      <c r="AG174" s="158"/>
      <c r="AH174" s="157"/>
    </row>
    <row r="175" spans="1:34" ht="13.2">
      <c r="A175" s="43"/>
      <c r="B175" s="43"/>
      <c r="C175" s="43"/>
      <c r="D175" s="43"/>
      <c r="E175" s="179"/>
      <c r="F175" s="179"/>
      <c r="G175" s="150"/>
      <c r="H175" s="150"/>
      <c r="I175" s="151"/>
      <c r="J175" s="151"/>
      <c r="K175" s="153"/>
      <c r="L175" s="153"/>
      <c r="M175" s="151"/>
      <c r="N175" s="151"/>
      <c r="O175" s="142"/>
      <c r="P175" s="142"/>
      <c r="Q175" s="162"/>
      <c r="R175" s="162"/>
      <c r="S175" s="162"/>
      <c r="T175" s="145"/>
      <c r="U175" s="168"/>
      <c r="V175" s="162"/>
      <c r="W175" s="162"/>
      <c r="X175" s="162"/>
      <c r="Y175" s="162"/>
      <c r="Z175" s="145"/>
      <c r="AA175" s="170" t="str">
        <f ca="1">IFERROR(__xludf.DUMMYFUNCTION("""COMPUTED_VALUE"""),"")</f>
        <v/>
      </c>
      <c r="AB175" s="172" t="str">
        <f ca="1">IFERROR(__xludf.DUMMYFUNCTION("""COMPUTED_VALUE"""),"")</f>
        <v/>
      </c>
      <c r="AC175" s="162" t="str">
        <f ca="1">IFERROR(__xludf.DUMMYFUNCTION("""COMPUTED_VALUE"""),"")</f>
        <v/>
      </c>
      <c r="AD175" s="162" t="str">
        <f ca="1">IFERROR(__xludf.DUMMYFUNCTION("""COMPUTED_VALUE"""),"")</f>
        <v/>
      </c>
      <c r="AE175" s="162" t="str">
        <f ca="1">IFERROR(__xludf.DUMMYFUNCTION("""COMPUTED_VALUE"""),"")</f>
        <v/>
      </c>
      <c r="AF175" s="145"/>
      <c r="AG175" s="170"/>
      <c r="AH175" s="162"/>
    </row>
    <row r="176" spans="1:34" ht="13.2">
      <c r="A176" s="43"/>
      <c r="B176" s="43"/>
      <c r="C176" s="43"/>
      <c r="D176" s="43"/>
      <c r="E176" s="179"/>
      <c r="F176" s="179"/>
      <c r="G176" s="150"/>
      <c r="H176" s="150"/>
      <c r="I176" s="151"/>
      <c r="J176" s="151"/>
      <c r="K176" s="153"/>
      <c r="L176" s="153"/>
      <c r="M176" s="151"/>
      <c r="N176" s="151"/>
      <c r="O176" s="142"/>
      <c r="P176" s="142"/>
      <c r="Q176" s="157"/>
      <c r="R176" s="157"/>
      <c r="S176" s="157"/>
      <c r="T176" s="145"/>
      <c r="U176" s="174"/>
      <c r="V176" s="157"/>
      <c r="W176" s="157"/>
      <c r="X176" s="157"/>
      <c r="Y176" s="157"/>
      <c r="Z176" s="145"/>
      <c r="AA176" s="158" t="str">
        <f ca="1">IFERROR(__xludf.DUMMYFUNCTION("""COMPUTED_VALUE"""),"")</f>
        <v/>
      </c>
      <c r="AB176" s="177" t="str">
        <f ca="1">IFERROR(__xludf.DUMMYFUNCTION("""COMPUTED_VALUE"""),"")</f>
        <v/>
      </c>
      <c r="AC176" s="157" t="str">
        <f ca="1">IFERROR(__xludf.DUMMYFUNCTION("""COMPUTED_VALUE"""),"")</f>
        <v/>
      </c>
      <c r="AD176" s="157" t="str">
        <f ca="1">IFERROR(__xludf.DUMMYFUNCTION("""COMPUTED_VALUE"""),"")</f>
        <v/>
      </c>
      <c r="AE176" s="157" t="str">
        <f ca="1">IFERROR(__xludf.DUMMYFUNCTION("""COMPUTED_VALUE"""),"")</f>
        <v/>
      </c>
      <c r="AF176" s="145"/>
      <c r="AG176" s="158"/>
      <c r="AH176" s="157"/>
    </row>
    <row r="177" spans="1:34" ht="13.2">
      <c r="A177" s="43"/>
      <c r="B177" s="43"/>
      <c r="C177" s="43"/>
      <c r="D177" s="43"/>
      <c r="E177" s="179"/>
      <c r="F177" s="179"/>
      <c r="G177" s="150"/>
      <c r="H177" s="150"/>
      <c r="I177" s="151"/>
      <c r="J177" s="151"/>
      <c r="K177" s="153"/>
      <c r="L177" s="153"/>
      <c r="M177" s="151"/>
      <c r="N177" s="151"/>
      <c r="O177" s="142"/>
      <c r="P177" s="142"/>
      <c r="Q177" s="162"/>
      <c r="R177" s="162"/>
      <c r="S177" s="162"/>
      <c r="T177" s="145"/>
      <c r="U177" s="168"/>
      <c r="V177" s="162"/>
      <c r="W177" s="162"/>
      <c r="X177" s="162"/>
      <c r="Y177" s="162"/>
      <c r="Z177" s="145"/>
      <c r="AA177" s="170" t="str">
        <f ca="1">IFERROR(__xludf.DUMMYFUNCTION("""COMPUTED_VALUE"""),"")</f>
        <v/>
      </c>
      <c r="AB177" s="172" t="str">
        <f ca="1">IFERROR(__xludf.DUMMYFUNCTION("""COMPUTED_VALUE"""),"")</f>
        <v/>
      </c>
      <c r="AC177" s="162" t="str">
        <f ca="1">IFERROR(__xludf.DUMMYFUNCTION("""COMPUTED_VALUE"""),"")</f>
        <v/>
      </c>
      <c r="AD177" s="162" t="str">
        <f ca="1">IFERROR(__xludf.DUMMYFUNCTION("""COMPUTED_VALUE"""),"")</f>
        <v/>
      </c>
      <c r="AE177" s="162" t="str">
        <f ca="1">IFERROR(__xludf.DUMMYFUNCTION("""COMPUTED_VALUE"""),"")</f>
        <v/>
      </c>
      <c r="AF177" s="145"/>
      <c r="AG177" s="170"/>
      <c r="AH177" s="162"/>
    </row>
    <row r="178" spans="1:34" ht="13.2">
      <c r="A178" s="43"/>
      <c r="B178" s="43"/>
      <c r="C178" s="43"/>
      <c r="D178" s="43"/>
      <c r="E178" s="179"/>
      <c r="F178" s="179"/>
      <c r="G178" s="150"/>
      <c r="H178" s="150"/>
      <c r="I178" s="151"/>
      <c r="J178" s="151"/>
      <c r="K178" s="153"/>
      <c r="L178" s="153"/>
      <c r="M178" s="151"/>
      <c r="N178" s="151"/>
      <c r="O178" s="142"/>
      <c r="P178" s="142"/>
      <c r="Q178" s="157"/>
      <c r="R178" s="157"/>
      <c r="S178" s="157"/>
      <c r="T178" s="145"/>
      <c r="U178" s="174"/>
      <c r="V178" s="157"/>
      <c r="W178" s="157"/>
      <c r="X178" s="157"/>
      <c r="Y178" s="157"/>
      <c r="Z178" s="145"/>
      <c r="AA178" s="158" t="str">
        <f ca="1">IFERROR(__xludf.DUMMYFUNCTION("""COMPUTED_VALUE"""),"")</f>
        <v/>
      </c>
      <c r="AB178" s="177" t="str">
        <f ca="1">IFERROR(__xludf.DUMMYFUNCTION("""COMPUTED_VALUE"""),"")</f>
        <v/>
      </c>
      <c r="AC178" s="157" t="str">
        <f ca="1">IFERROR(__xludf.DUMMYFUNCTION("""COMPUTED_VALUE"""),"")</f>
        <v/>
      </c>
      <c r="AD178" s="157" t="str">
        <f ca="1">IFERROR(__xludf.DUMMYFUNCTION("""COMPUTED_VALUE"""),"")</f>
        <v/>
      </c>
      <c r="AE178" s="157" t="str">
        <f ca="1">IFERROR(__xludf.DUMMYFUNCTION("""COMPUTED_VALUE"""),"")</f>
        <v/>
      </c>
      <c r="AF178" s="145"/>
      <c r="AG178" s="158"/>
      <c r="AH178" s="157"/>
    </row>
    <row r="179" spans="1:34" ht="13.2">
      <c r="A179" s="43"/>
      <c r="B179" s="43"/>
      <c r="C179" s="43"/>
      <c r="D179" s="43"/>
      <c r="E179" s="179"/>
      <c r="F179" s="179"/>
      <c r="G179" s="150"/>
      <c r="H179" s="150"/>
      <c r="I179" s="151"/>
      <c r="J179" s="151"/>
      <c r="K179" s="153"/>
      <c r="L179" s="153"/>
      <c r="M179" s="151"/>
      <c r="N179" s="151"/>
      <c r="O179" s="142"/>
      <c r="P179" s="142"/>
      <c r="Q179" s="162"/>
      <c r="R179" s="162"/>
      <c r="S179" s="162"/>
      <c r="T179" s="145"/>
      <c r="U179" s="168"/>
      <c r="V179" s="162"/>
      <c r="W179" s="162"/>
      <c r="X179" s="162"/>
      <c r="Y179" s="162"/>
      <c r="Z179" s="145"/>
      <c r="AA179" s="170" t="str">
        <f ca="1">IFERROR(__xludf.DUMMYFUNCTION("""COMPUTED_VALUE"""),"")</f>
        <v/>
      </c>
      <c r="AB179" s="172" t="str">
        <f ca="1">IFERROR(__xludf.DUMMYFUNCTION("""COMPUTED_VALUE"""),"")</f>
        <v/>
      </c>
      <c r="AC179" s="162" t="str">
        <f ca="1">IFERROR(__xludf.DUMMYFUNCTION("""COMPUTED_VALUE"""),"")</f>
        <v/>
      </c>
      <c r="AD179" s="162" t="str">
        <f ca="1">IFERROR(__xludf.DUMMYFUNCTION("""COMPUTED_VALUE"""),"")</f>
        <v/>
      </c>
      <c r="AE179" s="162" t="str">
        <f ca="1">IFERROR(__xludf.DUMMYFUNCTION("""COMPUTED_VALUE"""),"")</f>
        <v/>
      </c>
      <c r="AF179" s="145"/>
      <c r="AG179" s="170"/>
      <c r="AH179" s="162"/>
    </row>
    <row r="180" spans="1:34" ht="13.2">
      <c r="A180" s="43"/>
      <c r="B180" s="43"/>
      <c r="C180" s="43"/>
      <c r="D180" s="43"/>
      <c r="E180" s="179"/>
      <c r="F180" s="179"/>
      <c r="G180" s="150"/>
      <c r="H180" s="150"/>
      <c r="I180" s="151"/>
      <c r="J180" s="151"/>
      <c r="K180" s="153"/>
      <c r="L180" s="153"/>
      <c r="M180" s="151"/>
      <c r="N180" s="151"/>
      <c r="O180" s="142"/>
      <c r="P180" s="142"/>
      <c r="Q180" s="157"/>
      <c r="R180" s="157"/>
      <c r="S180" s="157"/>
      <c r="T180" s="145"/>
      <c r="U180" s="174"/>
      <c r="V180" s="157"/>
      <c r="W180" s="157"/>
      <c r="X180" s="157"/>
      <c r="Y180" s="157"/>
      <c r="Z180" s="145"/>
      <c r="AA180" s="158" t="str">
        <f ca="1">IFERROR(__xludf.DUMMYFUNCTION("""COMPUTED_VALUE"""),"")</f>
        <v/>
      </c>
      <c r="AB180" s="177" t="str">
        <f ca="1">IFERROR(__xludf.DUMMYFUNCTION("""COMPUTED_VALUE"""),"")</f>
        <v/>
      </c>
      <c r="AC180" s="157" t="str">
        <f ca="1">IFERROR(__xludf.DUMMYFUNCTION("""COMPUTED_VALUE"""),"")</f>
        <v/>
      </c>
      <c r="AD180" s="157" t="str">
        <f ca="1">IFERROR(__xludf.DUMMYFUNCTION("""COMPUTED_VALUE"""),"")</f>
        <v/>
      </c>
      <c r="AE180" s="157" t="str">
        <f ca="1">IFERROR(__xludf.DUMMYFUNCTION("""COMPUTED_VALUE"""),"")</f>
        <v/>
      </c>
      <c r="AF180" s="145"/>
      <c r="AG180" s="158"/>
      <c r="AH180" s="157"/>
    </row>
    <row r="181" spans="1:34" ht="13.2">
      <c r="A181" s="43"/>
      <c r="B181" s="43"/>
      <c r="C181" s="43"/>
      <c r="D181" s="43"/>
      <c r="E181" s="179"/>
      <c r="F181" s="179"/>
      <c r="G181" s="150"/>
      <c r="H181" s="150"/>
      <c r="I181" s="151"/>
      <c r="J181" s="151"/>
      <c r="K181" s="153"/>
      <c r="L181" s="153"/>
      <c r="M181" s="151"/>
      <c r="N181" s="151"/>
      <c r="O181" s="142"/>
      <c r="P181" s="142"/>
      <c r="Q181" s="162"/>
      <c r="R181" s="162"/>
      <c r="S181" s="162"/>
      <c r="T181" s="145"/>
      <c r="U181" s="183"/>
      <c r="V181" s="184"/>
      <c r="W181" s="184"/>
      <c r="X181" s="184"/>
      <c r="Y181" s="184"/>
      <c r="Z181" s="145"/>
      <c r="AA181" s="184" t="str">
        <f ca="1">IFERROR(__xludf.DUMMYFUNCTION("""COMPUTED_VALUE"""),"")</f>
        <v/>
      </c>
      <c r="AB181" s="184" t="str">
        <f ca="1">IFERROR(__xludf.DUMMYFUNCTION("""COMPUTED_VALUE"""),"")</f>
        <v/>
      </c>
      <c r="AC181" s="184" t="str">
        <f ca="1">IFERROR(__xludf.DUMMYFUNCTION("""COMPUTED_VALUE"""),"")</f>
        <v/>
      </c>
      <c r="AD181" s="184" t="str">
        <f ca="1">IFERROR(__xludf.DUMMYFUNCTION("""COMPUTED_VALUE"""),"")</f>
        <v/>
      </c>
      <c r="AE181" s="184" t="str">
        <f ca="1">IFERROR(__xludf.DUMMYFUNCTION("""COMPUTED_VALUE"""),"")</f>
        <v/>
      </c>
      <c r="AF181" s="145"/>
      <c r="AG181" s="170"/>
      <c r="AH181" s="162"/>
    </row>
    <row r="182" spans="1:34" ht="13.2">
      <c r="A182" s="43"/>
      <c r="B182" s="43"/>
      <c r="C182" s="43"/>
      <c r="D182" s="43"/>
      <c r="E182" s="179"/>
      <c r="F182" s="179"/>
      <c r="G182" s="150"/>
      <c r="H182" s="150"/>
      <c r="I182" s="151"/>
      <c r="J182" s="151"/>
      <c r="K182" s="153"/>
      <c r="L182" s="153"/>
      <c r="M182" s="151"/>
      <c r="N182" s="151"/>
      <c r="O182" s="142"/>
      <c r="P182" s="142"/>
      <c r="Q182" s="157"/>
      <c r="R182" s="157"/>
      <c r="S182" s="157"/>
      <c r="T182" s="145"/>
      <c r="U182" s="219"/>
      <c r="V182" s="194"/>
      <c r="W182" s="194"/>
      <c r="X182" s="194"/>
      <c r="Y182" s="194"/>
      <c r="Z182" s="145"/>
      <c r="AA182" s="220" t="str">
        <f ca="1">IFERROR(__xludf.DUMMYFUNCTION("""COMPUTED_VALUE"""),"")</f>
        <v/>
      </c>
      <c r="AB182" s="194"/>
      <c r="AC182" s="194"/>
      <c r="AD182" s="194"/>
      <c r="AE182" s="194"/>
      <c r="AF182" s="145"/>
      <c r="AG182" s="158"/>
      <c r="AH182" s="157"/>
    </row>
    <row r="183" spans="1:34" ht="13.2">
      <c r="A183" s="43"/>
      <c r="B183" s="43"/>
      <c r="C183" s="43"/>
      <c r="D183" s="43"/>
      <c r="E183" s="179"/>
      <c r="F183" s="179"/>
      <c r="G183" s="150"/>
      <c r="H183" s="150"/>
      <c r="I183" s="151"/>
      <c r="J183" s="151"/>
      <c r="K183" s="153"/>
      <c r="L183" s="153"/>
      <c r="M183" s="151"/>
      <c r="N183" s="151"/>
      <c r="O183" s="142"/>
      <c r="P183" s="142"/>
      <c r="Q183" s="162"/>
      <c r="R183" s="162"/>
      <c r="S183" s="162"/>
      <c r="T183" s="145"/>
      <c r="U183" s="163"/>
      <c r="V183" s="162"/>
      <c r="W183" s="164"/>
      <c r="X183" s="162"/>
      <c r="Y183" s="162"/>
      <c r="Z183" s="145"/>
      <c r="AA183" s="164"/>
      <c r="AB183" s="164"/>
      <c r="AC183" s="164"/>
      <c r="AD183" s="164"/>
      <c r="AE183" s="164"/>
      <c r="AF183" s="145"/>
      <c r="AG183" s="185"/>
      <c r="AH183" s="162"/>
    </row>
    <row r="184" spans="1:34" ht="17.399999999999999">
      <c r="A184" s="43"/>
      <c r="B184" s="43"/>
      <c r="C184" s="43"/>
      <c r="D184" s="43"/>
      <c r="E184" s="179"/>
      <c r="F184" s="179"/>
      <c r="G184" s="150"/>
      <c r="H184" s="150"/>
      <c r="I184" s="151"/>
      <c r="J184" s="151"/>
      <c r="K184" s="153"/>
      <c r="L184" s="153"/>
      <c r="M184" s="151"/>
      <c r="N184" s="151"/>
      <c r="O184" s="142"/>
      <c r="P184" s="142"/>
      <c r="Q184" s="157"/>
      <c r="R184" s="157"/>
      <c r="S184" s="157"/>
      <c r="T184" s="145"/>
      <c r="U184" s="186"/>
      <c r="V184" s="157"/>
      <c r="W184" s="157"/>
      <c r="X184" s="157"/>
      <c r="Y184" s="157"/>
      <c r="Z184" s="145"/>
      <c r="AA184" s="157"/>
      <c r="AB184" s="157"/>
      <c r="AC184" s="157"/>
      <c r="AD184" s="157"/>
      <c r="AE184" s="157"/>
      <c r="AF184" s="145"/>
      <c r="AG184" s="158"/>
      <c r="AH184" s="157"/>
    </row>
    <row r="185" spans="1:34" ht="13.2">
      <c r="A185" s="43"/>
      <c r="B185" s="43"/>
      <c r="C185" s="43"/>
      <c r="D185" s="43"/>
      <c r="E185" s="179"/>
      <c r="F185" s="179"/>
      <c r="G185" s="150"/>
      <c r="H185" s="150"/>
      <c r="I185" s="151"/>
      <c r="J185" s="151"/>
      <c r="K185" s="153"/>
      <c r="L185" s="153"/>
      <c r="M185" s="151"/>
      <c r="N185" s="151"/>
      <c r="O185" s="142"/>
      <c r="P185" s="142"/>
      <c r="Q185" s="162"/>
      <c r="R185" s="162"/>
      <c r="S185" s="162"/>
      <c r="T185" s="145"/>
      <c r="U185" s="168"/>
      <c r="V185" s="162"/>
      <c r="W185" s="162"/>
      <c r="X185" s="169"/>
      <c r="Y185" s="162"/>
      <c r="Z185" s="145"/>
      <c r="AA185" s="170"/>
      <c r="AB185" s="172"/>
      <c r="AC185" s="172"/>
      <c r="AD185" s="162"/>
      <c r="AE185" s="162"/>
      <c r="AF185" s="145"/>
      <c r="AG185" s="170"/>
      <c r="AH185" s="162"/>
    </row>
    <row r="186" spans="1:34" ht="13.2">
      <c r="A186" s="43"/>
      <c r="B186" s="43"/>
      <c r="C186" s="43"/>
      <c r="D186" s="43"/>
      <c r="E186" s="179"/>
      <c r="F186" s="179"/>
      <c r="G186" s="150"/>
      <c r="H186" s="150"/>
      <c r="I186" s="151"/>
      <c r="J186" s="151"/>
      <c r="K186" s="153"/>
      <c r="L186" s="153"/>
      <c r="M186" s="151"/>
      <c r="N186" s="151"/>
      <c r="O186" s="142"/>
      <c r="P186" s="142"/>
      <c r="Q186" s="157"/>
      <c r="R186" s="157"/>
      <c r="S186" s="157"/>
      <c r="T186" s="145"/>
      <c r="U186" s="174"/>
      <c r="V186" s="157"/>
      <c r="W186" s="157"/>
      <c r="X186" s="175"/>
      <c r="Y186" s="157"/>
      <c r="Z186" s="145"/>
      <c r="AA186" s="158"/>
      <c r="AB186" s="177"/>
      <c r="AC186" s="177"/>
      <c r="AD186" s="177"/>
      <c r="AE186" s="177"/>
      <c r="AF186" s="145"/>
      <c r="AG186" s="158"/>
      <c r="AH186" s="157"/>
    </row>
    <row r="187" spans="1:34" ht="13.2">
      <c r="A187" s="43"/>
      <c r="B187" s="43"/>
      <c r="C187" s="43"/>
      <c r="D187" s="43"/>
      <c r="E187" s="179"/>
      <c r="F187" s="179"/>
      <c r="G187" s="150"/>
      <c r="H187" s="150"/>
      <c r="I187" s="151"/>
      <c r="J187" s="151"/>
      <c r="K187" s="153"/>
      <c r="L187" s="153"/>
      <c r="M187" s="151"/>
      <c r="N187" s="151"/>
      <c r="O187" s="142"/>
      <c r="P187" s="142"/>
      <c r="Q187" s="162"/>
      <c r="R187" s="162"/>
      <c r="S187" s="162"/>
      <c r="T187" s="145"/>
      <c r="U187" s="168"/>
      <c r="V187" s="162"/>
      <c r="W187" s="162"/>
      <c r="X187" s="169"/>
      <c r="Y187" s="162"/>
      <c r="Z187" s="145"/>
      <c r="AA187" s="170"/>
      <c r="AB187" s="172"/>
      <c r="AC187" s="172"/>
      <c r="AD187" s="172"/>
      <c r="AE187" s="172"/>
      <c r="AF187" s="145"/>
      <c r="AG187" s="170"/>
      <c r="AH187" s="162"/>
    </row>
    <row r="188" spans="1:34" ht="13.2">
      <c r="A188" s="43"/>
      <c r="B188" s="43"/>
      <c r="C188" s="43"/>
      <c r="D188" s="43"/>
      <c r="E188" s="179"/>
      <c r="F188" s="179"/>
      <c r="G188" s="150"/>
      <c r="H188" s="150"/>
      <c r="I188" s="151"/>
      <c r="J188" s="151"/>
      <c r="K188" s="153"/>
      <c r="L188" s="153"/>
      <c r="M188" s="151"/>
      <c r="N188" s="151"/>
      <c r="O188" s="142"/>
      <c r="P188" s="142"/>
      <c r="Q188" s="157"/>
      <c r="R188" s="157"/>
      <c r="S188" s="157"/>
      <c r="T188" s="145"/>
      <c r="U188" s="174"/>
      <c r="V188" s="157"/>
      <c r="W188" s="157"/>
      <c r="X188" s="175"/>
      <c r="Y188" s="157"/>
      <c r="Z188" s="145"/>
      <c r="AA188" s="158"/>
      <c r="AB188" s="177"/>
      <c r="AC188" s="177"/>
      <c r="AD188" s="177"/>
      <c r="AE188" s="177"/>
      <c r="AF188" s="145"/>
      <c r="AG188" s="158"/>
      <c r="AH188" s="157"/>
    </row>
    <row r="189" spans="1:34" ht="13.2">
      <c r="A189" s="43"/>
      <c r="B189" s="43"/>
      <c r="C189" s="43"/>
      <c r="D189" s="43"/>
      <c r="E189" s="179"/>
      <c r="F189" s="179"/>
      <c r="G189" s="150"/>
      <c r="H189" s="150"/>
      <c r="I189" s="151"/>
      <c r="J189" s="151"/>
      <c r="K189" s="153"/>
      <c r="L189" s="153"/>
      <c r="M189" s="151"/>
      <c r="N189" s="151"/>
      <c r="O189" s="142"/>
      <c r="P189" s="142"/>
      <c r="Q189" s="162"/>
      <c r="R189" s="162"/>
      <c r="S189" s="162"/>
      <c r="T189" s="145"/>
      <c r="U189" s="168"/>
      <c r="V189" s="162"/>
      <c r="W189" s="162"/>
      <c r="X189" s="169"/>
      <c r="Y189" s="162"/>
      <c r="Z189" s="145"/>
      <c r="AA189" s="170"/>
      <c r="AB189" s="172"/>
      <c r="AC189" s="172"/>
      <c r="AD189" s="172"/>
      <c r="AE189" s="172"/>
      <c r="AF189" s="145"/>
      <c r="AG189" s="170"/>
      <c r="AH189" s="162"/>
    </row>
    <row r="190" spans="1:34" ht="13.2">
      <c r="A190" s="43"/>
      <c r="B190" s="43"/>
      <c r="C190" s="43"/>
      <c r="D190" s="43"/>
      <c r="E190" s="179"/>
      <c r="F190" s="179"/>
      <c r="G190" s="150"/>
      <c r="H190" s="150"/>
      <c r="I190" s="151"/>
      <c r="J190" s="151"/>
      <c r="K190" s="153"/>
      <c r="L190" s="153"/>
      <c r="M190" s="151"/>
      <c r="N190" s="151"/>
      <c r="O190" s="142"/>
      <c r="P190" s="142"/>
      <c r="Q190" s="157"/>
      <c r="R190" s="157"/>
      <c r="S190" s="157"/>
      <c r="T190" s="145"/>
      <c r="U190" s="174"/>
      <c r="V190" s="157"/>
      <c r="W190" s="157"/>
      <c r="X190" s="175"/>
      <c r="Y190" s="157"/>
      <c r="Z190" s="145"/>
      <c r="AA190" s="158"/>
      <c r="AB190" s="177"/>
      <c r="AC190" s="177"/>
      <c r="AD190" s="177"/>
      <c r="AE190" s="177"/>
      <c r="AF190" s="145"/>
      <c r="AG190" s="158"/>
      <c r="AH190" s="157"/>
    </row>
    <row r="191" spans="1:34" ht="13.2">
      <c r="A191" s="43"/>
      <c r="B191" s="43"/>
      <c r="C191" s="43"/>
      <c r="D191" s="43"/>
      <c r="E191" s="179"/>
      <c r="F191" s="179"/>
      <c r="G191" s="150"/>
      <c r="H191" s="150"/>
      <c r="I191" s="151"/>
      <c r="J191" s="151"/>
      <c r="K191" s="153"/>
      <c r="L191" s="153"/>
      <c r="M191" s="151"/>
      <c r="N191" s="151"/>
      <c r="O191" s="142"/>
      <c r="P191" s="142"/>
      <c r="Q191" s="162"/>
      <c r="R191" s="162"/>
      <c r="S191" s="162"/>
      <c r="T191" s="145"/>
      <c r="U191" s="168"/>
      <c r="V191" s="162"/>
      <c r="W191" s="162"/>
      <c r="X191" s="169"/>
      <c r="Y191" s="162"/>
      <c r="Z191" s="145"/>
      <c r="AA191" s="170"/>
      <c r="AB191" s="172"/>
      <c r="AC191" s="172"/>
      <c r="AD191" s="172"/>
      <c r="AE191" s="172"/>
      <c r="AF191" s="145"/>
      <c r="AG191" s="170"/>
      <c r="AH191" s="162"/>
    </row>
    <row r="192" spans="1:34" ht="13.2">
      <c r="A192" s="43"/>
      <c r="B192" s="43"/>
      <c r="C192" s="43"/>
      <c r="D192" s="43"/>
      <c r="E192" s="179"/>
      <c r="F192" s="179"/>
      <c r="G192" s="150"/>
      <c r="H192" s="150"/>
      <c r="I192" s="151"/>
      <c r="J192" s="151"/>
      <c r="K192" s="153"/>
      <c r="L192" s="153"/>
      <c r="M192" s="151"/>
      <c r="N192" s="151"/>
      <c r="O192" s="142"/>
      <c r="P192" s="142"/>
      <c r="Q192" s="157"/>
      <c r="R192" s="157"/>
      <c r="S192" s="157"/>
      <c r="T192" s="145"/>
      <c r="U192" s="174"/>
      <c r="V192" s="157"/>
      <c r="W192" s="157"/>
      <c r="X192" s="175"/>
      <c r="Y192" s="157"/>
      <c r="Z192" s="145"/>
      <c r="AA192" s="158"/>
      <c r="AB192" s="177"/>
      <c r="AC192" s="177"/>
      <c r="AD192" s="177"/>
      <c r="AE192" s="177"/>
      <c r="AF192" s="145"/>
      <c r="AG192" s="158"/>
      <c r="AH192" s="157"/>
    </row>
    <row r="193" spans="1:34" ht="13.2">
      <c r="A193" s="43"/>
      <c r="B193" s="43"/>
      <c r="C193" s="43"/>
      <c r="D193" s="43"/>
      <c r="E193" s="179"/>
      <c r="F193" s="179"/>
      <c r="G193" s="150"/>
      <c r="H193" s="150"/>
      <c r="I193" s="151"/>
      <c r="J193" s="151"/>
      <c r="K193" s="153"/>
      <c r="L193" s="153"/>
      <c r="M193" s="151"/>
      <c r="N193" s="151"/>
      <c r="O193" s="142"/>
      <c r="P193" s="142"/>
      <c r="Q193" s="162"/>
      <c r="R193" s="162"/>
      <c r="S193" s="162"/>
      <c r="T193" s="145"/>
      <c r="U193" s="168"/>
      <c r="V193" s="162"/>
      <c r="W193" s="162"/>
      <c r="X193" s="169"/>
      <c r="Y193" s="162"/>
      <c r="Z193" s="145"/>
      <c r="AA193" s="170"/>
      <c r="AB193" s="172"/>
      <c r="AC193" s="172"/>
      <c r="AD193" s="172"/>
      <c r="AE193" s="172"/>
      <c r="AF193" s="145"/>
      <c r="AG193" s="170"/>
      <c r="AH193" s="162"/>
    </row>
    <row r="194" spans="1:34" ht="13.2">
      <c r="A194" s="43"/>
      <c r="B194" s="43"/>
      <c r="C194" s="43"/>
      <c r="D194" s="43"/>
      <c r="E194" s="179"/>
      <c r="F194" s="179"/>
      <c r="G194" s="150"/>
      <c r="H194" s="150"/>
      <c r="I194" s="151"/>
      <c r="J194" s="151"/>
      <c r="K194" s="153"/>
      <c r="L194" s="153"/>
      <c r="M194" s="151"/>
      <c r="N194" s="151"/>
      <c r="O194" s="142"/>
      <c r="P194" s="142"/>
      <c r="Q194" s="157"/>
      <c r="R194" s="157"/>
      <c r="S194" s="157"/>
      <c r="T194" s="145"/>
      <c r="U194" s="174"/>
      <c r="V194" s="157"/>
      <c r="W194" s="157"/>
      <c r="X194" s="175"/>
      <c r="Y194" s="157"/>
      <c r="Z194" s="145"/>
      <c r="AA194" s="158"/>
      <c r="AB194" s="177"/>
      <c r="AC194" s="177"/>
      <c r="AD194" s="177"/>
      <c r="AE194" s="177"/>
      <c r="AF194" s="145"/>
      <c r="AG194" s="158"/>
      <c r="AH194" s="157"/>
    </row>
    <row r="195" spans="1:34" ht="13.2">
      <c r="A195" s="43"/>
      <c r="B195" s="43"/>
      <c r="C195" s="43"/>
      <c r="D195" s="43"/>
      <c r="E195" s="179"/>
      <c r="F195" s="179"/>
      <c r="G195" s="150"/>
      <c r="H195" s="150"/>
      <c r="I195" s="151"/>
      <c r="J195" s="151"/>
      <c r="K195" s="153"/>
      <c r="L195" s="153"/>
      <c r="M195" s="151"/>
      <c r="N195" s="151"/>
      <c r="O195" s="142"/>
      <c r="P195" s="142"/>
      <c r="Q195" s="162"/>
      <c r="R195" s="162"/>
      <c r="S195" s="162"/>
      <c r="T195" s="145"/>
      <c r="U195" s="168"/>
      <c r="V195" s="162"/>
      <c r="W195" s="162"/>
      <c r="X195" s="169"/>
      <c r="Y195" s="162"/>
      <c r="Z195" s="145"/>
      <c r="AA195" s="170"/>
      <c r="AB195" s="172"/>
      <c r="AC195" s="172"/>
      <c r="AD195" s="172"/>
      <c r="AE195" s="172"/>
      <c r="AF195" s="145"/>
      <c r="AG195" s="170"/>
      <c r="AH195" s="162"/>
    </row>
    <row r="196" spans="1:34" ht="13.2">
      <c r="A196" s="43"/>
      <c r="B196" s="43"/>
      <c r="C196" s="43"/>
      <c r="D196" s="43"/>
      <c r="E196" s="179"/>
      <c r="F196" s="179"/>
      <c r="G196" s="150"/>
      <c r="H196" s="150"/>
      <c r="I196" s="151"/>
      <c r="J196" s="151"/>
      <c r="K196" s="153"/>
      <c r="L196" s="153"/>
      <c r="M196" s="151"/>
      <c r="N196" s="151"/>
      <c r="O196" s="142"/>
      <c r="P196" s="142"/>
      <c r="Q196" s="157"/>
      <c r="R196" s="157"/>
      <c r="S196" s="157"/>
      <c r="T196" s="145"/>
      <c r="U196" s="174"/>
      <c r="V196" s="157"/>
      <c r="W196" s="157"/>
      <c r="X196" s="175"/>
      <c r="Y196" s="157"/>
      <c r="Z196" s="145"/>
      <c r="AA196" s="158"/>
      <c r="AB196" s="177"/>
      <c r="AC196" s="177"/>
      <c r="AD196" s="177"/>
      <c r="AE196" s="177"/>
      <c r="AF196" s="145"/>
      <c r="AG196" s="158"/>
      <c r="AH196" s="157"/>
    </row>
    <row r="197" spans="1:34" ht="13.2">
      <c r="A197" s="43"/>
      <c r="B197" s="43"/>
      <c r="C197" s="43"/>
      <c r="D197" s="43"/>
      <c r="E197" s="179"/>
      <c r="F197" s="179"/>
      <c r="G197" s="150"/>
      <c r="H197" s="150"/>
      <c r="I197" s="151"/>
      <c r="J197" s="151"/>
      <c r="K197" s="153"/>
      <c r="L197" s="153"/>
      <c r="M197" s="151"/>
      <c r="N197" s="151"/>
      <c r="O197" s="142"/>
      <c r="P197" s="142"/>
      <c r="Q197" s="162"/>
      <c r="R197" s="162"/>
      <c r="S197" s="162"/>
      <c r="T197" s="145"/>
      <c r="U197" s="168"/>
      <c r="V197" s="162"/>
      <c r="W197" s="162"/>
      <c r="X197" s="169"/>
      <c r="Y197" s="162"/>
      <c r="Z197" s="145"/>
      <c r="AA197" s="170"/>
      <c r="AB197" s="172"/>
      <c r="AC197" s="172"/>
      <c r="AD197" s="172"/>
      <c r="AE197" s="172"/>
      <c r="AF197" s="145"/>
      <c r="AG197" s="170"/>
      <c r="AH197" s="162"/>
    </row>
    <row r="198" spans="1:34" ht="13.2">
      <c r="A198" s="43"/>
      <c r="B198" s="43"/>
      <c r="C198" s="43"/>
      <c r="D198" s="43"/>
      <c r="E198" s="179"/>
      <c r="F198" s="179"/>
      <c r="G198" s="150"/>
      <c r="H198" s="150"/>
      <c r="I198" s="151"/>
      <c r="J198" s="151"/>
      <c r="K198" s="153"/>
      <c r="L198" s="153"/>
      <c r="M198" s="151"/>
      <c r="N198" s="151"/>
      <c r="O198" s="142"/>
      <c r="P198" s="142"/>
      <c r="Q198" s="157"/>
      <c r="R198" s="157"/>
      <c r="S198" s="157"/>
      <c r="T198" s="145"/>
      <c r="U198" s="174"/>
      <c r="V198" s="157"/>
      <c r="W198" s="157"/>
      <c r="X198" s="175"/>
      <c r="Y198" s="157"/>
      <c r="Z198" s="145"/>
      <c r="AA198" s="158"/>
      <c r="AB198" s="177"/>
      <c r="AC198" s="177"/>
      <c r="AD198" s="177"/>
      <c r="AE198" s="177"/>
      <c r="AF198" s="145"/>
      <c r="AG198" s="158"/>
      <c r="AH198" s="157"/>
    </row>
    <row r="199" spans="1:34" ht="13.2">
      <c r="A199" s="43"/>
      <c r="B199" s="43"/>
      <c r="C199" s="43"/>
      <c r="D199" s="43"/>
      <c r="E199" s="179"/>
      <c r="F199" s="179"/>
      <c r="G199" s="150"/>
      <c r="H199" s="150"/>
      <c r="I199" s="151"/>
      <c r="J199" s="151"/>
      <c r="K199" s="153"/>
      <c r="L199" s="153"/>
      <c r="M199" s="151"/>
      <c r="N199" s="151"/>
      <c r="O199" s="142"/>
      <c r="P199" s="142"/>
      <c r="Q199" s="162"/>
      <c r="R199" s="162"/>
      <c r="S199" s="162"/>
      <c r="T199" s="145"/>
      <c r="U199" s="168"/>
      <c r="V199" s="162"/>
      <c r="W199" s="162"/>
      <c r="X199" s="169"/>
      <c r="Y199" s="162"/>
      <c r="Z199" s="145"/>
      <c r="AA199" s="170"/>
      <c r="AB199" s="172"/>
      <c r="AC199" s="172"/>
      <c r="AD199" s="172"/>
      <c r="AE199" s="172"/>
      <c r="AF199" s="145"/>
      <c r="AG199" s="170"/>
      <c r="AH199" s="162"/>
    </row>
    <row r="200" spans="1:34" ht="13.2">
      <c r="A200" s="43"/>
      <c r="B200" s="43"/>
      <c r="C200" s="43"/>
      <c r="D200" s="43"/>
      <c r="E200" s="179"/>
      <c r="F200" s="179"/>
      <c r="G200" s="150"/>
      <c r="H200" s="150"/>
      <c r="I200" s="151"/>
      <c r="J200" s="151"/>
      <c r="K200" s="153"/>
      <c r="L200" s="153"/>
      <c r="M200" s="151"/>
      <c r="N200" s="151"/>
      <c r="O200" s="142"/>
      <c r="P200" s="142"/>
      <c r="Q200" s="157"/>
      <c r="R200" s="157"/>
      <c r="S200" s="157"/>
      <c r="T200" s="145"/>
      <c r="U200" s="174"/>
      <c r="V200" s="157"/>
      <c r="W200" s="157"/>
      <c r="X200" s="175"/>
      <c r="Y200" s="157"/>
      <c r="Z200" s="145"/>
      <c r="AA200" s="158"/>
      <c r="AB200" s="177"/>
      <c r="AC200" s="177"/>
      <c r="AD200" s="177"/>
      <c r="AE200" s="177"/>
      <c r="AF200" s="145"/>
      <c r="AG200" s="158"/>
      <c r="AH200" s="157"/>
    </row>
    <row r="201" spans="1:34" ht="13.2">
      <c r="A201" s="43"/>
      <c r="B201" s="43"/>
      <c r="C201" s="43"/>
      <c r="D201" s="43"/>
      <c r="E201" s="179"/>
      <c r="F201" s="179"/>
      <c r="G201" s="150"/>
      <c r="H201" s="150"/>
      <c r="I201" s="151"/>
      <c r="J201" s="151"/>
      <c r="K201" s="153"/>
      <c r="L201" s="153"/>
      <c r="M201" s="151"/>
      <c r="N201" s="151"/>
      <c r="O201" s="142"/>
      <c r="P201" s="142"/>
      <c r="Q201" s="162"/>
      <c r="R201" s="162"/>
      <c r="S201" s="162"/>
      <c r="T201" s="145"/>
      <c r="U201" s="168"/>
      <c r="X201" s="169"/>
      <c r="Z201" s="145"/>
      <c r="AA201" s="170"/>
      <c r="AB201" s="172"/>
      <c r="AC201" s="172"/>
      <c r="AD201" s="172"/>
      <c r="AE201" s="172"/>
      <c r="AF201" s="145"/>
      <c r="AG201" s="170"/>
    </row>
    <row r="202" spans="1:34" ht="13.2">
      <c r="A202" s="43"/>
      <c r="B202" s="43"/>
      <c r="C202" s="43"/>
      <c r="D202" s="43"/>
      <c r="E202" s="179"/>
      <c r="F202" s="179"/>
      <c r="G202" s="150"/>
      <c r="H202" s="150"/>
      <c r="I202" s="151"/>
      <c r="J202" s="151"/>
      <c r="K202" s="153"/>
      <c r="L202" s="153"/>
      <c r="M202" s="151"/>
      <c r="N202" s="151"/>
      <c r="O202" s="142"/>
      <c r="P202" s="142"/>
      <c r="Q202" s="157"/>
      <c r="R202" s="157"/>
      <c r="S202" s="157"/>
      <c r="T202" s="145"/>
      <c r="U202" s="174"/>
      <c r="X202" s="175"/>
      <c r="Z202" s="145"/>
      <c r="AA202" s="158"/>
      <c r="AB202" s="177"/>
      <c r="AC202" s="177"/>
      <c r="AD202" s="177"/>
      <c r="AE202" s="177"/>
      <c r="AF202" s="145"/>
      <c r="AG202" s="158"/>
    </row>
    <row r="203" spans="1:34" ht="13.2">
      <c r="A203" s="43"/>
      <c r="B203" s="43"/>
      <c r="C203" s="43"/>
      <c r="D203" s="43"/>
      <c r="E203" s="179"/>
      <c r="F203" s="179"/>
      <c r="G203" s="150"/>
      <c r="H203" s="150"/>
      <c r="I203" s="151"/>
      <c r="J203" s="151"/>
      <c r="K203" s="153"/>
      <c r="L203" s="153"/>
      <c r="M203" s="151"/>
      <c r="N203" s="151"/>
      <c r="O203" s="142"/>
      <c r="P203" s="142"/>
      <c r="Q203" s="162"/>
      <c r="R203" s="162"/>
      <c r="S203" s="162"/>
      <c r="T203" s="145"/>
      <c r="U203" s="168"/>
      <c r="X203" s="169"/>
      <c r="Z203" s="145"/>
      <c r="AA203" s="170"/>
      <c r="AB203" s="172"/>
      <c r="AC203" s="172"/>
      <c r="AD203" s="172"/>
      <c r="AE203" s="172"/>
      <c r="AF203" s="145"/>
      <c r="AG203" s="170"/>
    </row>
    <row r="204" spans="1:34" ht="13.2">
      <c r="A204" s="43"/>
      <c r="B204" s="43"/>
      <c r="C204" s="43"/>
      <c r="D204" s="43"/>
      <c r="E204" s="179"/>
      <c r="F204" s="179"/>
      <c r="G204" s="150"/>
      <c r="H204" s="150"/>
      <c r="I204" s="151"/>
      <c r="J204" s="151"/>
      <c r="K204" s="153"/>
      <c r="L204" s="153"/>
      <c r="M204" s="151"/>
      <c r="N204" s="151"/>
      <c r="O204" s="142"/>
      <c r="P204" s="142"/>
      <c r="Q204" s="157"/>
      <c r="R204" s="157"/>
      <c r="S204" s="157"/>
      <c r="T204" s="145"/>
      <c r="U204" s="174"/>
      <c r="X204" s="175"/>
      <c r="Z204" s="145"/>
      <c r="AA204" s="158"/>
      <c r="AB204" s="177"/>
      <c r="AC204" s="177"/>
      <c r="AD204" s="177"/>
      <c r="AE204" s="177"/>
      <c r="AF204" s="145"/>
      <c r="AG204" s="158"/>
    </row>
    <row r="205" spans="1:34" ht="13.2">
      <c r="A205" s="43"/>
      <c r="B205" s="43"/>
      <c r="C205" s="43"/>
      <c r="D205" s="43"/>
      <c r="E205" s="179"/>
      <c r="F205" s="179"/>
      <c r="G205" s="150"/>
      <c r="H205" s="150"/>
      <c r="I205" s="151"/>
      <c r="J205" s="151"/>
      <c r="K205" s="153"/>
      <c r="L205" s="153"/>
      <c r="M205" s="151"/>
      <c r="N205" s="151"/>
      <c r="O205" s="142"/>
      <c r="P205" s="142"/>
      <c r="Q205" s="162"/>
      <c r="R205" s="162"/>
      <c r="S205" s="162"/>
      <c r="T205" s="145"/>
      <c r="U205" s="168"/>
      <c r="X205" s="169"/>
      <c r="Z205" s="145"/>
      <c r="AA205" s="170"/>
      <c r="AB205" s="172"/>
      <c r="AC205" s="172"/>
      <c r="AD205" s="172"/>
      <c r="AE205" s="172"/>
      <c r="AF205" s="145"/>
      <c r="AG205" s="170"/>
    </row>
    <row r="206" spans="1:34" ht="13.2">
      <c r="A206" s="43"/>
      <c r="B206" s="43"/>
      <c r="C206" s="43"/>
      <c r="D206" s="43"/>
      <c r="E206" s="179"/>
      <c r="F206" s="179"/>
      <c r="G206" s="150"/>
      <c r="H206" s="150"/>
      <c r="I206" s="151"/>
      <c r="J206" s="151"/>
      <c r="K206" s="153"/>
      <c r="L206" s="153"/>
      <c r="M206" s="151"/>
      <c r="N206" s="151"/>
      <c r="O206" s="142"/>
      <c r="P206" s="142"/>
      <c r="Q206" s="157"/>
      <c r="R206" s="157"/>
      <c r="S206" s="157"/>
      <c r="T206" s="145"/>
      <c r="U206" s="174"/>
      <c r="X206" s="175"/>
      <c r="Z206" s="145"/>
      <c r="AA206" s="158"/>
      <c r="AB206" s="177"/>
      <c r="AC206" s="177"/>
      <c r="AD206" s="177"/>
      <c r="AE206" s="177"/>
      <c r="AF206" s="145"/>
      <c r="AG206" s="158"/>
    </row>
    <row r="207" spans="1:34" ht="13.2">
      <c r="A207" s="43"/>
      <c r="B207" s="43"/>
      <c r="C207" s="43"/>
      <c r="D207" s="43"/>
      <c r="E207" s="179"/>
      <c r="F207" s="179"/>
      <c r="G207" s="150"/>
      <c r="H207" s="150"/>
      <c r="I207" s="151"/>
      <c r="J207" s="151"/>
      <c r="K207" s="153"/>
      <c r="L207" s="153"/>
      <c r="M207" s="151"/>
      <c r="N207" s="151"/>
      <c r="O207" s="142"/>
      <c r="P207" s="142"/>
      <c r="Q207" s="162"/>
      <c r="R207" s="162"/>
      <c r="S207" s="162"/>
      <c r="T207" s="145"/>
      <c r="U207" s="168"/>
      <c r="X207" s="169"/>
      <c r="Z207" s="145"/>
      <c r="AA207" s="170"/>
      <c r="AB207" s="172"/>
      <c r="AC207" s="172"/>
      <c r="AD207" s="172"/>
      <c r="AE207" s="172"/>
      <c r="AF207" s="145"/>
      <c r="AG207" s="170"/>
    </row>
    <row r="208" spans="1:34" ht="13.2">
      <c r="A208" s="43"/>
      <c r="B208" s="43"/>
      <c r="C208" s="43"/>
      <c r="D208" s="43"/>
      <c r="E208" s="179"/>
      <c r="F208" s="179"/>
      <c r="G208" s="150"/>
      <c r="H208" s="150"/>
      <c r="I208" s="151"/>
      <c r="J208" s="151"/>
      <c r="K208" s="153"/>
      <c r="L208" s="153"/>
      <c r="M208" s="151"/>
      <c r="N208" s="151"/>
      <c r="O208" s="142"/>
      <c r="P208" s="142"/>
      <c r="Q208" s="157"/>
      <c r="R208" s="157"/>
      <c r="S208" s="157"/>
      <c r="T208" s="145"/>
      <c r="U208" s="174"/>
      <c r="X208" s="175"/>
      <c r="Z208" s="145"/>
      <c r="AA208" s="158"/>
      <c r="AB208" s="177"/>
      <c r="AC208" s="177"/>
      <c r="AD208" s="177"/>
      <c r="AE208" s="177"/>
      <c r="AF208" s="145"/>
      <c r="AG208" s="158"/>
    </row>
    <row r="209" spans="1:33" ht="13.2">
      <c r="A209" s="43"/>
      <c r="B209" s="43"/>
      <c r="C209" s="43"/>
      <c r="D209" s="43"/>
      <c r="E209" s="179"/>
      <c r="F209" s="179"/>
      <c r="G209" s="150"/>
      <c r="H209" s="150"/>
      <c r="I209" s="151"/>
      <c r="J209" s="151"/>
      <c r="K209" s="153"/>
      <c r="L209" s="153"/>
      <c r="M209" s="151"/>
      <c r="N209" s="151"/>
      <c r="O209" s="142"/>
      <c r="P209" s="142"/>
      <c r="Q209" s="162"/>
      <c r="R209" s="162"/>
      <c r="S209" s="162"/>
      <c r="T209" s="145"/>
      <c r="U209" s="168"/>
      <c r="X209" s="169"/>
      <c r="Z209" s="145"/>
      <c r="AA209" s="170"/>
      <c r="AB209" s="172"/>
      <c r="AC209" s="172"/>
      <c r="AD209" s="172"/>
      <c r="AE209" s="172"/>
      <c r="AF209" s="145"/>
      <c r="AG209" s="170"/>
    </row>
    <row r="210" spans="1:33" ht="13.2">
      <c r="A210" s="43"/>
      <c r="B210" s="43"/>
      <c r="C210" s="43"/>
      <c r="D210" s="43"/>
      <c r="E210" s="179"/>
      <c r="F210" s="179"/>
      <c r="G210" s="150"/>
      <c r="H210" s="150"/>
      <c r="I210" s="151"/>
      <c r="J210" s="151"/>
      <c r="K210" s="153"/>
      <c r="L210" s="153"/>
      <c r="M210" s="151"/>
      <c r="N210" s="151"/>
      <c r="O210" s="142"/>
      <c r="P210" s="142"/>
      <c r="Q210" s="157"/>
      <c r="R210" s="157"/>
      <c r="S210" s="157"/>
      <c r="T210" s="145"/>
      <c r="U210" s="174"/>
      <c r="X210" s="175"/>
      <c r="Z210" s="145"/>
      <c r="AA210" s="158"/>
      <c r="AB210" s="177"/>
      <c r="AC210" s="177"/>
      <c r="AD210" s="177"/>
      <c r="AE210" s="177"/>
      <c r="AF210" s="145"/>
      <c r="AG210" s="158"/>
    </row>
    <row r="211" spans="1:33" ht="13.2">
      <c r="A211" s="43"/>
      <c r="B211" s="43"/>
      <c r="C211" s="43"/>
      <c r="D211" s="43"/>
      <c r="E211" s="179"/>
      <c r="F211" s="179"/>
      <c r="G211" s="150"/>
      <c r="H211" s="150"/>
      <c r="I211" s="151"/>
      <c r="J211" s="151"/>
      <c r="K211" s="153"/>
      <c r="L211" s="153"/>
      <c r="M211" s="151"/>
      <c r="N211" s="151"/>
      <c r="O211" s="142"/>
      <c r="P211" s="142"/>
      <c r="Q211" s="162"/>
      <c r="R211" s="162"/>
      <c r="S211" s="162"/>
      <c r="T211" s="145"/>
      <c r="U211" s="168"/>
      <c r="X211" s="169"/>
      <c r="Z211" s="145"/>
      <c r="AA211" s="170"/>
      <c r="AB211" s="172"/>
      <c r="AC211" s="172"/>
      <c r="AD211" s="172"/>
      <c r="AE211" s="172"/>
      <c r="AF211" s="145"/>
      <c r="AG211" s="170"/>
    </row>
    <row r="212" spans="1:33" ht="13.2">
      <c r="A212" s="43"/>
      <c r="B212" s="43"/>
      <c r="C212" s="43"/>
      <c r="D212" s="43"/>
      <c r="E212" s="179"/>
      <c r="F212" s="179"/>
      <c r="G212" s="150"/>
      <c r="H212" s="150"/>
      <c r="I212" s="151"/>
      <c r="J212" s="151"/>
      <c r="K212" s="153"/>
      <c r="L212" s="153"/>
      <c r="M212" s="151"/>
      <c r="N212" s="151"/>
      <c r="O212" s="142"/>
      <c r="P212" s="142"/>
      <c r="Q212" s="157"/>
      <c r="R212" s="157"/>
      <c r="S212" s="157"/>
      <c r="T212" s="145"/>
      <c r="U212" s="174"/>
      <c r="X212" s="175"/>
      <c r="Z212" s="145"/>
      <c r="AA212" s="158"/>
      <c r="AB212" s="177"/>
      <c r="AC212" s="177"/>
      <c r="AD212" s="177"/>
      <c r="AE212" s="177"/>
      <c r="AF212" s="145"/>
      <c r="AG212" s="158"/>
    </row>
    <row r="213" spans="1:33" ht="13.2">
      <c r="A213" s="43"/>
      <c r="B213" s="43"/>
      <c r="C213" s="43"/>
      <c r="D213" s="43"/>
      <c r="E213" s="179"/>
      <c r="F213" s="179"/>
      <c r="G213" s="150"/>
      <c r="H213" s="150"/>
      <c r="I213" s="151"/>
      <c r="J213" s="151"/>
      <c r="K213" s="153"/>
      <c r="L213" s="153"/>
      <c r="M213" s="151"/>
      <c r="N213" s="151"/>
      <c r="O213" s="142"/>
      <c r="P213" s="142"/>
      <c r="Q213" s="162"/>
      <c r="R213" s="162"/>
      <c r="S213" s="162"/>
      <c r="T213" s="145"/>
      <c r="U213" s="168"/>
      <c r="X213" s="169"/>
      <c r="Z213" s="145"/>
      <c r="AA213" s="170"/>
      <c r="AB213" s="172"/>
      <c r="AC213" s="172"/>
      <c r="AD213" s="172"/>
      <c r="AE213" s="172"/>
      <c r="AF213" s="145"/>
      <c r="AG213" s="170"/>
    </row>
    <row r="214" spans="1:33" ht="13.2">
      <c r="A214" s="43"/>
      <c r="B214" s="43"/>
      <c r="C214" s="43"/>
      <c r="D214" s="43"/>
      <c r="E214" s="179"/>
      <c r="F214" s="179"/>
      <c r="G214" s="150"/>
      <c r="H214" s="150"/>
      <c r="I214" s="151"/>
      <c r="J214" s="151"/>
      <c r="K214" s="153"/>
      <c r="L214" s="153"/>
      <c r="M214" s="151"/>
      <c r="N214" s="151"/>
      <c r="O214" s="142"/>
      <c r="P214" s="142"/>
      <c r="Q214" s="157"/>
      <c r="R214" s="157"/>
      <c r="S214" s="157"/>
      <c r="T214" s="145"/>
      <c r="U214" s="174"/>
      <c r="X214" s="175"/>
      <c r="Z214" s="145"/>
      <c r="AA214" s="158"/>
      <c r="AB214" s="177"/>
      <c r="AC214" s="177"/>
      <c r="AD214" s="177"/>
      <c r="AE214" s="177"/>
      <c r="AF214" s="145"/>
      <c r="AG214" s="158"/>
    </row>
    <row r="215" spans="1:33" ht="13.2">
      <c r="A215" s="43"/>
      <c r="B215" s="43"/>
      <c r="C215" s="43"/>
      <c r="D215" s="43"/>
      <c r="E215" s="179"/>
      <c r="F215" s="179"/>
      <c r="G215" s="150"/>
      <c r="H215" s="150"/>
      <c r="I215" s="151"/>
      <c r="J215" s="151"/>
      <c r="K215" s="153"/>
      <c r="L215" s="153"/>
      <c r="M215" s="151"/>
      <c r="N215" s="151"/>
      <c r="O215" s="142"/>
      <c r="P215" s="142"/>
      <c r="Q215" s="162"/>
      <c r="R215" s="162"/>
      <c r="S215" s="162"/>
      <c r="T215" s="145"/>
      <c r="U215" s="168"/>
      <c r="X215" s="169"/>
      <c r="Z215" s="145"/>
      <c r="AA215" s="170"/>
      <c r="AB215" s="172"/>
      <c r="AC215" s="172"/>
      <c r="AD215" s="172"/>
      <c r="AE215" s="172"/>
      <c r="AF215" s="145"/>
      <c r="AG215" s="170"/>
    </row>
    <row r="216" spans="1:33" ht="13.2">
      <c r="A216" s="43"/>
      <c r="B216" s="43"/>
      <c r="C216" s="43"/>
      <c r="D216" s="43"/>
      <c r="E216" s="179"/>
      <c r="F216" s="179"/>
      <c r="G216" s="150"/>
      <c r="H216" s="150"/>
      <c r="I216" s="151"/>
      <c r="J216" s="151"/>
      <c r="K216" s="153"/>
      <c r="L216" s="153"/>
      <c r="M216" s="151"/>
      <c r="N216" s="151"/>
      <c r="O216" s="142"/>
      <c r="P216" s="142"/>
      <c r="Q216" s="157"/>
      <c r="R216" s="157"/>
      <c r="S216" s="157"/>
      <c r="T216" s="145"/>
      <c r="U216" s="174"/>
      <c r="X216" s="175"/>
      <c r="Z216" s="145"/>
      <c r="AA216" s="158"/>
      <c r="AB216" s="177"/>
      <c r="AC216" s="177"/>
      <c r="AD216" s="177"/>
      <c r="AE216" s="177"/>
      <c r="AF216" s="145"/>
      <c r="AG216" s="158"/>
    </row>
    <row r="217" spans="1:33" ht="13.2">
      <c r="A217" s="43"/>
      <c r="B217" s="43"/>
      <c r="C217" s="43"/>
      <c r="D217" s="43"/>
      <c r="E217" s="179"/>
      <c r="F217" s="179"/>
      <c r="G217" s="150"/>
      <c r="H217" s="150"/>
      <c r="I217" s="151"/>
      <c r="J217" s="151"/>
      <c r="K217" s="153"/>
      <c r="L217" s="153"/>
      <c r="M217" s="151"/>
      <c r="N217" s="151"/>
      <c r="O217" s="142"/>
      <c r="P217" s="142"/>
      <c r="Q217" s="162"/>
      <c r="R217" s="162"/>
      <c r="S217" s="162"/>
      <c r="T217" s="145"/>
      <c r="U217" s="168"/>
      <c r="X217" s="169"/>
      <c r="Z217" s="145"/>
      <c r="AA217" s="170"/>
      <c r="AB217" s="172"/>
      <c r="AC217" s="172"/>
      <c r="AD217" s="172"/>
      <c r="AE217" s="172"/>
      <c r="AF217" s="145"/>
      <c r="AG217" s="170"/>
    </row>
    <row r="218" spans="1:33" ht="13.2">
      <c r="A218" s="43"/>
      <c r="B218" s="43"/>
      <c r="C218" s="43"/>
      <c r="D218" s="43"/>
      <c r="E218" s="179"/>
      <c r="F218" s="179"/>
      <c r="G218" s="150"/>
      <c r="H218" s="150"/>
      <c r="I218" s="151"/>
      <c r="J218" s="151"/>
      <c r="K218" s="153"/>
      <c r="L218" s="153"/>
      <c r="M218" s="151"/>
      <c r="N218" s="151"/>
      <c r="O218" s="142"/>
      <c r="P218" s="142"/>
      <c r="Q218" s="157"/>
      <c r="R218" s="157"/>
      <c r="S218" s="157"/>
      <c r="T218" s="145"/>
      <c r="U218" s="174"/>
      <c r="X218" s="175"/>
      <c r="Z218" s="145"/>
      <c r="AA218" s="158"/>
      <c r="AB218" s="177"/>
      <c r="AC218" s="177"/>
      <c r="AD218" s="177"/>
      <c r="AE218" s="177"/>
      <c r="AF218" s="145"/>
      <c r="AG218" s="158"/>
    </row>
    <row r="219" spans="1:33" ht="13.2">
      <c r="A219" s="43"/>
      <c r="B219" s="43"/>
      <c r="C219" s="43"/>
      <c r="D219" s="43"/>
      <c r="E219" s="179"/>
      <c r="F219" s="179"/>
      <c r="G219" s="150"/>
      <c r="H219" s="150"/>
      <c r="I219" s="151"/>
      <c r="J219" s="151"/>
      <c r="K219" s="153"/>
      <c r="L219" s="153"/>
      <c r="M219" s="151"/>
      <c r="N219" s="151"/>
      <c r="O219" s="142"/>
      <c r="P219" s="142"/>
      <c r="Q219" s="162"/>
      <c r="R219" s="162"/>
      <c r="S219" s="162"/>
      <c r="T219" s="145"/>
      <c r="U219" s="168"/>
      <c r="X219" s="169"/>
      <c r="Z219" s="145"/>
      <c r="AA219" s="170"/>
      <c r="AB219" s="172"/>
      <c r="AC219" s="172"/>
      <c r="AD219" s="172"/>
      <c r="AE219" s="172"/>
      <c r="AF219" s="145"/>
      <c r="AG219" s="170"/>
    </row>
    <row r="220" spans="1:33" ht="13.2">
      <c r="A220" s="43"/>
      <c r="B220" s="43"/>
      <c r="C220" s="43"/>
      <c r="D220" s="43"/>
      <c r="E220" s="179"/>
      <c r="F220" s="179"/>
      <c r="G220" s="150"/>
      <c r="H220" s="150"/>
      <c r="I220" s="151"/>
      <c r="J220" s="151"/>
      <c r="K220" s="153"/>
      <c r="L220" s="153"/>
      <c r="M220" s="151"/>
      <c r="N220" s="151"/>
      <c r="O220" s="142"/>
      <c r="P220" s="142"/>
      <c r="Q220" s="157"/>
      <c r="R220" s="157"/>
      <c r="S220" s="157"/>
      <c r="T220" s="145"/>
      <c r="U220" s="174"/>
      <c r="X220" s="175"/>
      <c r="Z220" s="145"/>
      <c r="AA220" s="158"/>
      <c r="AB220" s="177"/>
      <c r="AC220" s="177"/>
      <c r="AD220" s="177"/>
      <c r="AE220" s="177"/>
      <c r="AF220" s="145"/>
      <c r="AG220" s="158"/>
    </row>
    <row r="221" spans="1:33" ht="13.2">
      <c r="A221" s="43"/>
      <c r="B221" s="43"/>
      <c r="C221" s="43"/>
      <c r="D221" s="43"/>
      <c r="E221" s="179"/>
      <c r="F221" s="179"/>
      <c r="G221" s="150"/>
      <c r="H221" s="150"/>
      <c r="I221" s="151"/>
      <c r="J221" s="151"/>
      <c r="K221" s="153"/>
      <c r="L221" s="153"/>
      <c r="M221" s="151"/>
      <c r="N221" s="151"/>
      <c r="O221" s="142"/>
      <c r="P221" s="142"/>
      <c r="Q221" s="162"/>
      <c r="R221" s="162"/>
      <c r="S221" s="162"/>
      <c r="T221" s="145"/>
      <c r="U221" s="168"/>
      <c r="X221" s="169"/>
      <c r="Z221" s="145"/>
      <c r="AA221" s="170"/>
      <c r="AB221" s="172"/>
      <c r="AC221" s="172"/>
      <c r="AD221" s="172"/>
      <c r="AE221" s="172"/>
      <c r="AF221" s="145"/>
      <c r="AG221" s="170"/>
    </row>
    <row r="222" spans="1:33" ht="13.2">
      <c r="A222" s="43"/>
      <c r="B222" s="43"/>
      <c r="C222" s="43"/>
      <c r="D222" s="43"/>
      <c r="E222" s="179"/>
      <c r="F222" s="179"/>
      <c r="G222" s="150"/>
      <c r="H222" s="150"/>
      <c r="I222" s="151"/>
      <c r="J222" s="151"/>
      <c r="K222" s="153"/>
      <c r="L222" s="153"/>
      <c r="M222" s="151"/>
      <c r="N222" s="151"/>
      <c r="O222" s="142"/>
      <c r="P222" s="142"/>
      <c r="Q222" s="157"/>
      <c r="R222" s="157"/>
      <c r="S222" s="157"/>
      <c r="T222" s="145"/>
      <c r="U222" s="174"/>
      <c r="X222" s="175"/>
      <c r="Z222" s="145"/>
      <c r="AA222" s="158"/>
      <c r="AB222" s="177"/>
      <c r="AC222" s="177"/>
      <c r="AD222" s="177"/>
      <c r="AE222" s="177"/>
      <c r="AF222" s="145"/>
      <c r="AG222" s="158"/>
    </row>
    <row r="223" spans="1:33" ht="13.2">
      <c r="A223" s="43"/>
      <c r="B223" s="43"/>
      <c r="C223" s="43"/>
      <c r="D223" s="43"/>
      <c r="E223" s="179"/>
      <c r="F223" s="179"/>
      <c r="G223" s="150"/>
      <c r="H223" s="150"/>
      <c r="I223" s="151"/>
      <c r="J223" s="151"/>
      <c r="K223" s="153"/>
      <c r="L223" s="153"/>
      <c r="M223" s="151"/>
      <c r="N223" s="151"/>
      <c r="O223" s="142"/>
      <c r="P223" s="142"/>
      <c r="Q223" s="162"/>
      <c r="R223" s="162"/>
      <c r="S223" s="162"/>
      <c r="T223" s="145"/>
      <c r="U223" s="168"/>
      <c r="X223" s="169"/>
      <c r="Z223" s="145"/>
      <c r="AA223" s="170"/>
      <c r="AB223" s="172"/>
      <c r="AC223" s="172"/>
      <c r="AD223" s="172"/>
      <c r="AE223" s="172"/>
      <c r="AF223" s="145"/>
      <c r="AG223" s="170"/>
    </row>
    <row r="224" spans="1:33" ht="13.2">
      <c r="A224" s="43"/>
      <c r="B224" s="43"/>
      <c r="C224" s="43"/>
      <c r="D224" s="43"/>
      <c r="E224" s="179"/>
      <c r="F224" s="179"/>
      <c r="G224" s="150"/>
      <c r="H224" s="150"/>
      <c r="I224" s="151"/>
      <c r="J224" s="151"/>
      <c r="K224" s="153"/>
      <c r="L224" s="153"/>
      <c r="M224" s="151"/>
      <c r="N224" s="151"/>
      <c r="O224" s="142"/>
      <c r="P224" s="142"/>
      <c r="Q224" s="157"/>
      <c r="R224" s="157"/>
      <c r="S224" s="157"/>
      <c r="T224" s="145"/>
      <c r="U224" s="174"/>
      <c r="X224" s="175"/>
      <c r="Z224" s="145"/>
      <c r="AA224" s="158"/>
      <c r="AB224" s="177"/>
      <c r="AC224" s="177"/>
      <c r="AD224" s="177"/>
      <c r="AE224" s="177"/>
      <c r="AF224" s="145"/>
      <c r="AG224" s="158"/>
    </row>
    <row r="225" spans="1:33" ht="13.2">
      <c r="A225" s="43"/>
      <c r="B225" s="43"/>
      <c r="C225" s="43"/>
      <c r="D225" s="43"/>
      <c r="E225" s="179"/>
      <c r="F225" s="179"/>
      <c r="G225" s="150"/>
      <c r="H225" s="150"/>
      <c r="I225" s="151"/>
      <c r="J225" s="151"/>
      <c r="K225" s="153"/>
      <c r="L225" s="153"/>
      <c r="M225" s="151"/>
      <c r="N225" s="151"/>
      <c r="O225" s="142"/>
      <c r="P225" s="142"/>
      <c r="Q225" s="162"/>
      <c r="R225" s="162"/>
      <c r="S225" s="162"/>
      <c r="T225" s="145"/>
      <c r="U225" s="168"/>
      <c r="X225" s="169"/>
      <c r="Z225" s="145"/>
      <c r="AA225" s="170"/>
      <c r="AB225" s="172"/>
      <c r="AC225" s="172"/>
      <c r="AD225" s="172"/>
      <c r="AE225" s="172"/>
      <c r="AF225" s="145"/>
      <c r="AG225" s="170"/>
    </row>
    <row r="226" spans="1:33" ht="13.2">
      <c r="A226" s="43"/>
      <c r="B226" s="43"/>
      <c r="C226" s="43"/>
      <c r="D226" s="43"/>
      <c r="E226" s="179"/>
      <c r="F226" s="179"/>
      <c r="G226" s="150"/>
      <c r="H226" s="150"/>
      <c r="I226" s="151"/>
      <c r="J226" s="151"/>
      <c r="K226" s="153"/>
      <c r="L226" s="153"/>
      <c r="M226" s="151"/>
      <c r="N226" s="151"/>
      <c r="O226" s="142"/>
      <c r="P226" s="142"/>
      <c r="Q226" s="157"/>
      <c r="R226" s="157"/>
      <c r="S226" s="157"/>
      <c r="T226" s="145"/>
      <c r="U226" s="174"/>
      <c r="X226" s="175"/>
      <c r="Z226" s="145"/>
      <c r="AA226" s="158"/>
      <c r="AB226" s="177"/>
      <c r="AC226" s="177"/>
      <c r="AD226" s="177"/>
      <c r="AE226" s="177"/>
      <c r="AF226" s="145"/>
      <c r="AG226" s="158"/>
    </row>
    <row r="227" spans="1:33" ht="13.2">
      <c r="A227" s="43"/>
      <c r="B227" s="43"/>
      <c r="C227" s="43"/>
      <c r="D227" s="43"/>
      <c r="E227" s="179"/>
      <c r="F227" s="179"/>
      <c r="G227" s="150"/>
      <c r="H227" s="150"/>
      <c r="I227" s="151"/>
      <c r="J227" s="151"/>
      <c r="K227" s="153"/>
      <c r="L227" s="153"/>
      <c r="M227" s="151"/>
      <c r="N227" s="151"/>
      <c r="O227" s="142"/>
      <c r="P227" s="142"/>
      <c r="Q227" s="162"/>
      <c r="R227" s="162"/>
      <c r="S227" s="162"/>
      <c r="T227" s="145"/>
      <c r="U227" s="168"/>
      <c r="X227" s="169"/>
      <c r="Z227" s="145"/>
      <c r="AA227" s="170"/>
      <c r="AB227" s="172"/>
      <c r="AC227" s="172"/>
      <c r="AD227" s="172"/>
      <c r="AE227" s="172"/>
      <c r="AF227" s="145"/>
      <c r="AG227" s="170"/>
    </row>
    <row r="228" spans="1:33" ht="13.2">
      <c r="A228" s="43"/>
      <c r="B228" s="43"/>
      <c r="C228" s="43"/>
      <c r="D228" s="43"/>
      <c r="E228" s="179"/>
      <c r="F228" s="179"/>
      <c r="G228" s="150"/>
      <c r="H228" s="150"/>
      <c r="I228" s="151"/>
      <c r="J228" s="151"/>
      <c r="K228" s="153"/>
      <c r="L228" s="153"/>
      <c r="M228" s="151"/>
      <c r="N228" s="151"/>
      <c r="O228" s="142"/>
      <c r="P228" s="142"/>
      <c r="Q228" s="157"/>
      <c r="R228" s="157"/>
      <c r="S228" s="157"/>
      <c r="T228" s="145"/>
      <c r="U228" s="174"/>
      <c r="X228" s="175"/>
      <c r="Z228" s="145"/>
      <c r="AA228" s="158"/>
      <c r="AB228" s="177"/>
      <c r="AC228" s="177"/>
      <c r="AD228" s="177"/>
      <c r="AE228" s="177"/>
      <c r="AF228" s="145"/>
      <c r="AG228" s="158"/>
    </row>
    <row r="229" spans="1:33" ht="13.2">
      <c r="A229" s="43"/>
      <c r="B229" s="43"/>
      <c r="C229" s="43"/>
      <c r="D229" s="43"/>
      <c r="E229" s="179"/>
      <c r="F229" s="179"/>
      <c r="G229" s="150"/>
      <c r="H229" s="150"/>
      <c r="I229" s="151"/>
      <c r="J229" s="151"/>
      <c r="K229" s="153"/>
      <c r="L229" s="153"/>
      <c r="M229" s="151"/>
      <c r="N229" s="151"/>
      <c r="O229" s="142"/>
      <c r="P229" s="142"/>
      <c r="Q229" s="162"/>
      <c r="R229" s="162"/>
      <c r="S229" s="162"/>
      <c r="T229" s="145"/>
      <c r="U229" s="168"/>
      <c r="X229" s="169"/>
      <c r="Z229" s="145"/>
      <c r="AA229" s="170"/>
      <c r="AB229" s="172"/>
      <c r="AC229" s="172"/>
      <c r="AD229" s="172"/>
      <c r="AE229" s="172"/>
      <c r="AF229" s="145"/>
      <c r="AG229" s="170"/>
    </row>
    <row r="230" spans="1:33" ht="13.2">
      <c r="A230" s="43"/>
      <c r="B230" s="43"/>
      <c r="C230" s="43"/>
      <c r="D230" s="43"/>
      <c r="E230" s="179"/>
      <c r="F230" s="179"/>
      <c r="G230" s="150"/>
      <c r="H230" s="150"/>
      <c r="I230" s="151"/>
      <c r="J230" s="151"/>
      <c r="K230" s="153"/>
      <c r="L230" s="153"/>
      <c r="M230" s="151"/>
      <c r="N230" s="151"/>
      <c r="O230" s="142"/>
      <c r="P230" s="142"/>
      <c r="Q230" s="157"/>
      <c r="R230" s="157"/>
      <c r="S230" s="157"/>
      <c r="T230" s="145"/>
      <c r="U230" s="174"/>
      <c r="X230" s="175"/>
      <c r="Z230" s="145"/>
      <c r="AA230" s="158"/>
      <c r="AB230" s="177"/>
      <c r="AC230" s="177"/>
      <c r="AD230" s="177"/>
      <c r="AE230" s="177"/>
      <c r="AF230" s="145"/>
      <c r="AG230" s="158"/>
    </row>
    <row r="231" spans="1:33" ht="13.2">
      <c r="A231" s="43"/>
      <c r="B231" s="43"/>
      <c r="C231" s="43"/>
      <c r="D231" s="43"/>
      <c r="E231" s="179"/>
      <c r="F231" s="179"/>
      <c r="G231" s="150"/>
      <c r="H231" s="150"/>
      <c r="I231" s="151"/>
      <c r="J231" s="151"/>
      <c r="K231" s="153"/>
      <c r="L231" s="153"/>
      <c r="M231" s="151"/>
      <c r="N231" s="151"/>
      <c r="O231" s="142"/>
      <c r="P231" s="142"/>
      <c r="Q231" s="162"/>
      <c r="R231" s="162"/>
      <c r="S231" s="162"/>
      <c r="T231" s="145"/>
      <c r="U231" s="168"/>
      <c r="X231" s="169"/>
      <c r="Z231" s="145"/>
      <c r="AA231" s="170"/>
      <c r="AB231" s="172"/>
      <c r="AC231" s="172"/>
      <c r="AD231" s="172"/>
      <c r="AE231" s="172"/>
      <c r="AF231" s="145"/>
      <c r="AG231" s="170"/>
    </row>
    <row r="232" spans="1:33" ht="13.2">
      <c r="A232" s="43"/>
      <c r="B232" s="43"/>
      <c r="C232" s="43"/>
      <c r="D232" s="43"/>
      <c r="E232" s="179"/>
      <c r="F232" s="179"/>
      <c r="G232" s="150"/>
      <c r="H232" s="150"/>
      <c r="I232" s="151"/>
      <c r="J232" s="151"/>
      <c r="K232" s="153"/>
      <c r="L232" s="153"/>
      <c r="M232" s="151"/>
      <c r="N232" s="151"/>
      <c r="O232" s="142"/>
      <c r="P232" s="142"/>
      <c r="Q232" s="157"/>
      <c r="R232" s="157"/>
      <c r="S232" s="157"/>
      <c r="T232" s="145"/>
      <c r="U232" s="174"/>
      <c r="X232" s="175"/>
      <c r="Z232" s="145"/>
      <c r="AA232" s="158"/>
      <c r="AB232" s="177"/>
      <c r="AC232" s="177"/>
      <c r="AD232" s="177"/>
      <c r="AE232" s="177"/>
      <c r="AF232" s="145"/>
      <c r="AG232" s="158"/>
    </row>
    <row r="233" spans="1:33" ht="13.2">
      <c r="A233" s="43"/>
      <c r="B233" s="43"/>
      <c r="C233" s="43"/>
      <c r="D233" s="43"/>
      <c r="E233" s="179"/>
      <c r="F233" s="179"/>
      <c r="G233" s="150"/>
      <c r="H233" s="150"/>
      <c r="I233" s="151"/>
      <c r="J233" s="151"/>
      <c r="K233" s="153"/>
      <c r="L233" s="153"/>
      <c r="M233" s="151"/>
      <c r="N233" s="151"/>
      <c r="O233" s="142"/>
      <c r="P233" s="142"/>
      <c r="Q233" s="162"/>
      <c r="R233" s="162"/>
      <c r="S233" s="162"/>
      <c r="T233" s="145"/>
      <c r="U233" s="168"/>
      <c r="X233" s="169"/>
      <c r="Z233" s="145"/>
      <c r="AA233" s="170"/>
      <c r="AB233" s="172"/>
      <c r="AC233" s="172"/>
      <c r="AD233" s="172"/>
      <c r="AE233" s="172"/>
      <c r="AF233" s="145"/>
      <c r="AG233" s="170"/>
    </row>
    <row r="234" spans="1:33" ht="13.2">
      <c r="A234" s="43"/>
      <c r="B234" s="43"/>
      <c r="C234" s="43"/>
      <c r="D234" s="43"/>
      <c r="E234" s="179"/>
      <c r="F234" s="179"/>
      <c r="G234" s="150"/>
      <c r="H234" s="150"/>
      <c r="I234" s="151"/>
      <c r="J234" s="151"/>
      <c r="K234" s="153"/>
      <c r="L234" s="153"/>
      <c r="M234" s="151"/>
      <c r="N234" s="151"/>
      <c r="O234" s="142"/>
      <c r="P234" s="142"/>
      <c r="Q234" s="157"/>
      <c r="R234" s="157"/>
      <c r="S234" s="157"/>
      <c r="T234" s="145"/>
      <c r="U234" s="174"/>
      <c r="X234" s="175"/>
      <c r="Z234" s="145"/>
      <c r="AA234" s="158"/>
      <c r="AB234" s="177"/>
      <c r="AC234" s="177"/>
      <c r="AD234" s="177"/>
      <c r="AE234" s="177"/>
      <c r="AF234" s="145"/>
      <c r="AG234" s="158"/>
    </row>
    <row r="235" spans="1:33" ht="13.2">
      <c r="A235" s="43"/>
      <c r="B235" s="43"/>
      <c r="C235" s="43"/>
      <c r="D235" s="43"/>
      <c r="E235" s="179"/>
      <c r="F235" s="179"/>
      <c r="G235" s="150"/>
      <c r="H235" s="150"/>
      <c r="I235" s="151"/>
      <c r="J235" s="151"/>
      <c r="K235" s="153"/>
      <c r="L235" s="153"/>
      <c r="M235" s="151"/>
      <c r="N235" s="151"/>
      <c r="O235" s="142"/>
      <c r="P235" s="142"/>
      <c r="Q235" s="162"/>
      <c r="R235" s="162"/>
      <c r="S235" s="162"/>
      <c r="T235" s="145"/>
      <c r="U235" s="168"/>
      <c r="X235" s="169"/>
      <c r="Z235" s="145"/>
      <c r="AA235" s="170"/>
      <c r="AB235" s="172"/>
      <c r="AC235" s="172"/>
      <c r="AD235" s="172"/>
      <c r="AE235" s="172"/>
      <c r="AF235" s="145"/>
      <c r="AG235" s="170"/>
    </row>
    <row r="236" spans="1:33" ht="13.2">
      <c r="A236" s="43"/>
      <c r="B236" s="43"/>
      <c r="C236" s="43"/>
      <c r="D236" s="43"/>
      <c r="E236" s="179"/>
      <c r="F236" s="179"/>
      <c r="G236" s="150"/>
      <c r="H236" s="150"/>
      <c r="I236" s="151"/>
      <c r="J236" s="151"/>
      <c r="K236" s="153"/>
      <c r="L236" s="153"/>
      <c r="M236" s="151"/>
      <c r="N236" s="151"/>
      <c r="O236" s="142"/>
      <c r="P236" s="142"/>
      <c r="Q236" s="157"/>
      <c r="R236" s="157"/>
      <c r="S236" s="157"/>
      <c r="T236" s="145"/>
      <c r="U236" s="174"/>
      <c r="X236" s="175"/>
      <c r="Z236" s="145"/>
      <c r="AA236" s="158"/>
      <c r="AB236" s="177"/>
      <c r="AC236" s="177"/>
      <c r="AD236" s="177"/>
      <c r="AE236" s="177"/>
      <c r="AF236" s="145"/>
      <c r="AG236" s="158"/>
    </row>
    <row r="237" spans="1:33" ht="13.2">
      <c r="A237" s="43"/>
      <c r="B237" s="43"/>
      <c r="C237" s="43"/>
      <c r="D237" s="43"/>
      <c r="E237" s="179"/>
      <c r="F237" s="179"/>
      <c r="G237" s="150"/>
      <c r="H237" s="150"/>
      <c r="I237" s="151"/>
      <c r="J237" s="151"/>
      <c r="K237" s="153"/>
      <c r="L237" s="153"/>
      <c r="M237" s="151"/>
      <c r="N237" s="151"/>
      <c r="O237" s="142"/>
      <c r="P237" s="142"/>
      <c r="Q237" s="162"/>
      <c r="R237" s="162"/>
      <c r="S237" s="162"/>
      <c r="T237" s="145"/>
      <c r="U237" s="168"/>
      <c r="X237" s="169"/>
      <c r="Z237" s="145"/>
      <c r="AA237" s="170"/>
      <c r="AB237" s="172"/>
      <c r="AC237" s="172"/>
      <c r="AD237" s="172"/>
      <c r="AE237" s="172"/>
      <c r="AF237" s="145"/>
      <c r="AG237" s="170"/>
    </row>
    <row r="238" spans="1:33" ht="13.2">
      <c r="A238" s="43"/>
      <c r="B238" s="43"/>
      <c r="C238" s="43"/>
      <c r="D238" s="43"/>
      <c r="E238" s="179"/>
      <c r="F238" s="179"/>
      <c r="G238" s="150"/>
      <c r="H238" s="150"/>
      <c r="I238" s="151"/>
      <c r="J238" s="151"/>
      <c r="K238" s="153"/>
      <c r="L238" s="153"/>
      <c r="M238" s="151"/>
      <c r="N238" s="151"/>
      <c r="O238" s="142"/>
      <c r="P238" s="142"/>
      <c r="Q238" s="157"/>
      <c r="R238" s="157"/>
      <c r="S238" s="157"/>
      <c r="T238" s="145"/>
      <c r="U238" s="174"/>
      <c r="X238" s="175"/>
      <c r="Z238" s="145"/>
      <c r="AA238" s="158"/>
      <c r="AB238" s="177"/>
      <c r="AC238" s="177"/>
      <c r="AD238" s="177"/>
      <c r="AE238" s="177"/>
      <c r="AF238" s="145"/>
      <c r="AG238" s="158"/>
    </row>
    <row r="239" spans="1:33" ht="13.2">
      <c r="A239" s="43"/>
      <c r="B239" s="43"/>
      <c r="C239" s="43"/>
      <c r="D239" s="43"/>
      <c r="E239" s="179"/>
      <c r="F239" s="179"/>
      <c r="G239" s="150"/>
      <c r="H239" s="150"/>
      <c r="I239" s="151"/>
      <c r="J239" s="151"/>
      <c r="K239" s="153"/>
      <c r="L239" s="153"/>
      <c r="M239" s="151"/>
      <c r="N239" s="151"/>
      <c r="O239" s="142"/>
      <c r="P239" s="142"/>
      <c r="Q239" s="162"/>
      <c r="R239" s="162"/>
      <c r="S239" s="162"/>
      <c r="T239" s="145"/>
      <c r="U239" s="168"/>
      <c r="X239" s="169"/>
      <c r="Z239" s="145"/>
      <c r="AA239" s="170"/>
      <c r="AB239" s="172"/>
      <c r="AC239" s="172"/>
      <c r="AD239" s="172"/>
      <c r="AE239" s="172"/>
      <c r="AF239" s="145"/>
      <c r="AG239" s="170"/>
    </row>
    <row r="240" spans="1:33" ht="13.2">
      <c r="A240" s="43"/>
      <c r="B240" s="43"/>
      <c r="C240" s="43"/>
      <c r="D240" s="43"/>
      <c r="E240" s="179"/>
      <c r="F240" s="179"/>
      <c r="G240" s="150"/>
      <c r="H240" s="150"/>
      <c r="I240" s="151"/>
      <c r="J240" s="151"/>
      <c r="K240" s="153"/>
      <c r="L240" s="153"/>
      <c r="M240" s="151"/>
      <c r="N240" s="151"/>
      <c r="O240" s="142"/>
      <c r="P240" s="142"/>
      <c r="Q240" s="157"/>
      <c r="R240" s="157"/>
      <c r="S240" s="157"/>
      <c r="T240" s="145"/>
      <c r="U240" s="174"/>
      <c r="X240" s="175"/>
      <c r="Z240" s="145"/>
      <c r="AA240" s="158"/>
      <c r="AB240" s="177"/>
      <c r="AC240" s="177"/>
      <c r="AD240" s="177"/>
      <c r="AE240" s="177"/>
      <c r="AF240" s="145"/>
      <c r="AG240" s="158"/>
    </row>
    <row r="241" spans="1:33" ht="13.2">
      <c r="A241" s="43"/>
      <c r="B241" s="43"/>
      <c r="C241" s="43"/>
      <c r="D241" s="43"/>
      <c r="E241" s="179"/>
      <c r="F241" s="179"/>
      <c r="G241" s="150"/>
      <c r="H241" s="150"/>
      <c r="I241" s="151"/>
      <c r="J241" s="151"/>
      <c r="K241" s="153"/>
      <c r="L241" s="153"/>
      <c r="M241" s="151"/>
      <c r="N241" s="151"/>
      <c r="O241" s="142"/>
      <c r="P241" s="142"/>
      <c r="Q241" s="162"/>
      <c r="R241" s="162"/>
      <c r="S241" s="162"/>
      <c r="T241" s="145"/>
      <c r="U241" s="168"/>
      <c r="X241" s="169"/>
      <c r="Z241" s="145"/>
      <c r="AA241" s="170"/>
      <c r="AB241" s="172"/>
      <c r="AC241" s="172"/>
      <c r="AD241" s="172"/>
      <c r="AE241" s="172"/>
      <c r="AF241" s="145"/>
      <c r="AG241" s="170"/>
    </row>
    <row r="242" spans="1:33" ht="13.2">
      <c r="A242" s="43"/>
      <c r="B242" s="43"/>
      <c r="C242" s="43"/>
      <c r="D242" s="43"/>
      <c r="E242" s="179"/>
      <c r="F242" s="179"/>
      <c r="G242" s="150"/>
      <c r="H242" s="150"/>
      <c r="I242" s="151"/>
      <c r="J242" s="151"/>
      <c r="K242" s="153"/>
      <c r="L242" s="153"/>
      <c r="M242" s="151"/>
      <c r="N242" s="151"/>
      <c r="O242" s="142"/>
      <c r="P242" s="142"/>
      <c r="Q242" s="157"/>
      <c r="R242" s="157"/>
      <c r="S242" s="157"/>
      <c r="T242" s="145"/>
      <c r="U242" s="174"/>
      <c r="X242" s="175"/>
      <c r="Z242" s="145"/>
      <c r="AA242" s="158"/>
      <c r="AB242" s="177"/>
      <c r="AC242" s="177"/>
      <c r="AD242" s="177"/>
      <c r="AE242" s="177"/>
      <c r="AF242" s="145"/>
      <c r="AG242" s="158"/>
    </row>
    <row r="243" spans="1:33" ht="13.2">
      <c r="A243" s="43"/>
      <c r="B243" s="43"/>
      <c r="C243" s="43"/>
      <c r="D243" s="43"/>
      <c r="E243" s="179"/>
      <c r="F243" s="179"/>
      <c r="G243" s="150"/>
      <c r="H243" s="150"/>
      <c r="I243" s="151"/>
      <c r="J243" s="151"/>
      <c r="K243" s="153"/>
      <c r="L243" s="153"/>
      <c r="M243" s="151"/>
      <c r="N243" s="151"/>
      <c r="O243" s="142"/>
      <c r="P243" s="142"/>
      <c r="Q243" s="162"/>
      <c r="R243" s="162"/>
      <c r="S243" s="162"/>
      <c r="T243" s="145"/>
      <c r="U243" s="168"/>
      <c r="Z243" s="145"/>
      <c r="AA243" s="170"/>
      <c r="AB243" s="172"/>
      <c r="AC243" s="172"/>
      <c r="AF243" s="145"/>
      <c r="AG243" s="170"/>
    </row>
    <row r="244" spans="1:33" ht="13.2">
      <c r="A244" s="43"/>
      <c r="B244" s="43"/>
      <c r="C244" s="43"/>
      <c r="D244" s="43"/>
      <c r="E244" s="179"/>
      <c r="F244" s="179"/>
      <c r="G244" s="150"/>
      <c r="H244" s="150"/>
      <c r="I244" s="151"/>
      <c r="J244" s="151"/>
      <c r="K244" s="153"/>
      <c r="L244" s="153"/>
      <c r="M244" s="151"/>
      <c r="N244" s="151"/>
      <c r="O244" s="142"/>
      <c r="P244" s="142"/>
      <c r="Q244" s="157"/>
      <c r="R244" s="157"/>
      <c r="S244" s="157"/>
      <c r="T244" s="145"/>
      <c r="U244" s="174"/>
      <c r="Z244" s="145"/>
      <c r="AA244" s="158"/>
      <c r="AB244" s="177"/>
      <c r="AC244" s="177"/>
      <c r="AF244" s="145"/>
      <c r="AG244" s="158"/>
    </row>
    <row r="245" spans="1:33" ht="13.2">
      <c r="A245" s="43"/>
      <c r="B245" s="43"/>
      <c r="C245" s="43"/>
      <c r="D245" s="43"/>
      <c r="E245" s="179"/>
      <c r="F245" s="179"/>
      <c r="G245" s="150"/>
      <c r="H245" s="150"/>
      <c r="I245" s="151"/>
      <c r="J245" s="151"/>
      <c r="K245" s="153"/>
      <c r="L245" s="153"/>
      <c r="M245" s="151"/>
      <c r="N245" s="151"/>
      <c r="O245" s="142"/>
      <c r="P245" s="142"/>
      <c r="Q245" s="162"/>
      <c r="R245" s="162"/>
      <c r="S245" s="162"/>
      <c r="T245" s="145"/>
      <c r="U245" s="168"/>
      <c r="Z245" s="145"/>
      <c r="AA245" s="170"/>
      <c r="AB245" s="172"/>
      <c r="AC245" s="172"/>
      <c r="AF245" s="145"/>
      <c r="AG245" s="170"/>
    </row>
    <row r="246" spans="1:33" ht="13.2">
      <c r="A246" s="43"/>
      <c r="B246" s="43"/>
      <c r="C246" s="43"/>
      <c r="D246" s="43"/>
      <c r="E246" s="179"/>
      <c r="F246" s="179"/>
      <c r="G246" s="150"/>
      <c r="H246" s="150"/>
      <c r="I246" s="151"/>
      <c r="J246" s="151"/>
      <c r="K246" s="153"/>
      <c r="L246" s="153"/>
      <c r="M246" s="151"/>
      <c r="N246" s="151"/>
      <c r="O246" s="142"/>
      <c r="P246" s="142"/>
      <c r="Q246" s="157"/>
      <c r="R246" s="157"/>
      <c r="S246" s="157"/>
      <c r="T246" s="145"/>
      <c r="U246" s="174"/>
      <c r="Z246" s="145"/>
      <c r="AA246" s="158"/>
      <c r="AB246" s="177"/>
      <c r="AC246" s="177"/>
      <c r="AF246" s="145"/>
      <c r="AG246" s="158"/>
    </row>
    <row r="247" spans="1:33" ht="13.2">
      <c r="A247" s="43"/>
      <c r="B247" s="43"/>
      <c r="C247" s="43"/>
      <c r="D247" s="43"/>
      <c r="E247" s="179"/>
      <c r="F247" s="179"/>
      <c r="G247" s="150"/>
      <c r="H247" s="150"/>
      <c r="I247" s="151"/>
      <c r="J247" s="151"/>
      <c r="K247" s="153"/>
      <c r="L247" s="153"/>
      <c r="M247" s="151"/>
      <c r="N247" s="151"/>
      <c r="O247" s="142"/>
      <c r="P247" s="142"/>
      <c r="Q247" s="162"/>
      <c r="R247" s="162"/>
      <c r="S247" s="162"/>
      <c r="T247" s="145"/>
      <c r="U247" s="168"/>
      <c r="Z247" s="145"/>
      <c r="AA247" s="170"/>
      <c r="AB247" s="172"/>
      <c r="AC247" s="172"/>
      <c r="AF247" s="145"/>
      <c r="AG247" s="170"/>
    </row>
    <row r="248" spans="1:33" ht="13.2">
      <c r="A248" s="43"/>
      <c r="B248" s="43"/>
      <c r="C248" s="43"/>
      <c r="D248" s="43"/>
      <c r="E248" s="179"/>
      <c r="F248" s="179"/>
      <c r="G248" s="150"/>
      <c r="H248" s="150"/>
      <c r="I248" s="151"/>
      <c r="J248" s="151"/>
      <c r="K248" s="153"/>
      <c r="L248" s="153"/>
      <c r="M248" s="151"/>
      <c r="N248" s="151"/>
      <c r="O248" s="142"/>
      <c r="P248" s="142"/>
      <c r="Q248" s="157"/>
      <c r="R248" s="157"/>
      <c r="S248" s="157"/>
      <c r="T248" s="145"/>
      <c r="U248" s="174"/>
      <c r="Z248" s="145"/>
      <c r="AA248" s="158"/>
      <c r="AB248" s="177"/>
      <c r="AC248" s="177"/>
      <c r="AF248" s="145"/>
      <c r="AG248" s="158"/>
    </row>
    <row r="249" spans="1:33" ht="13.2">
      <c r="A249" s="43"/>
      <c r="B249" s="43"/>
      <c r="C249" s="43"/>
      <c r="D249" s="43"/>
      <c r="E249" s="179"/>
      <c r="F249" s="179"/>
      <c r="G249" s="150"/>
      <c r="H249" s="150"/>
      <c r="I249" s="151"/>
      <c r="J249" s="151"/>
      <c r="K249" s="153"/>
      <c r="L249" s="153"/>
      <c r="M249" s="151"/>
      <c r="N249" s="151"/>
      <c r="O249" s="142"/>
      <c r="P249" s="142"/>
      <c r="Q249" s="162"/>
      <c r="R249" s="162"/>
      <c r="S249" s="162"/>
      <c r="T249" s="145"/>
      <c r="U249" s="168"/>
      <c r="Z249" s="145"/>
      <c r="AA249" s="170"/>
      <c r="AB249" s="172"/>
      <c r="AC249" s="172"/>
      <c r="AF249" s="145"/>
      <c r="AG249" s="170"/>
    </row>
    <row r="250" spans="1:33" ht="13.2">
      <c r="A250" s="43"/>
      <c r="B250" s="43"/>
      <c r="C250" s="43"/>
      <c r="D250" s="43"/>
      <c r="E250" s="179"/>
      <c r="F250" s="179"/>
      <c r="G250" s="150"/>
      <c r="H250" s="150"/>
      <c r="I250" s="151"/>
      <c r="J250" s="151"/>
      <c r="K250" s="153"/>
      <c r="L250" s="153"/>
      <c r="M250" s="151"/>
      <c r="N250" s="151"/>
      <c r="O250" s="142"/>
      <c r="P250" s="142"/>
      <c r="Q250" s="157"/>
      <c r="R250" s="157"/>
      <c r="S250" s="157"/>
      <c r="T250" s="145"/>
      <c r="U250" s="174"/>
      <c r="Z250" s="145"/>
      <c r="AA250" s="158"/>
      <c r="AB250" s="177"/>
      <c r="AF250" s="145"/>
      <c r="AG250" s="158"/>
    </row>
    <row r="251" spans="1:33" ht="13.2">
      <c r="A251" s="43"/>
      <c r="B251" s="43"/>
      <c r="C251" s="43"/>
      <c r="D251" s="43"/>
      <c r="E251" s="179"/>
      <c r="F251" s="179"/>
      <c r="G251" s="150"/>
      <c r="H251" s="150"/>
      <c r="I251" s="151"/>
      <c r="J251" s="151"/>
      <c r="K251" s="153"/>
      <c r="L251" s="153"/>
      <c r="M251" s="151"/>
      <c r="N251" s="151"/>
      <c r="O251" s="142"/>
      <c r="P251" s="142"/>
      <c r="Q251" s="162"/>
      <c r="R251" s="162"/>
      <c r="S251" s="162"/>
      <c r="T251" s="145"/>
      <c r="U251" s="168"/>
      <c r="Z251" s="145"/>
      <c r="AA251" s="170"/>
      <c r="AB251" s="172"/>
      <c r="AF251" s="145"/>
      <c r="AG251" s="170"/>
    </row>
    <row r="252" spans="1:33" ht="13.2">
      <c r="A252" s="43"/>
      <c r="B252" s="43"/>
      <c r="C252" s="43"/>
      <c r="D252" s="43"/>
      <c r="E252" s="179"/>
      <c r="F252" s="179"/>
      <c r="G252" s="150"/>
      <c r="H252" s="150"/>
      <c r="I252" s="151"/>
      <c r="J252" s="151"/>
      <c r="K252" s="153"/>
      <c r="L252" s="153"/>
      <c r="M252" s="151"/>
      <c r="N252" s="151"/>
      <c r="O252" s="142"/>
      <c r="P252" s="142"/>
      <c r="Q252" s="157"/>
      <c r="R252" s="157"/>
      <c r="S252" s="157"/>
      <c r="T252" s="145"/>
      <c r="U252" s="174"/>
      <c r="Z252" s="145"/>
      <c r="AA252" s="158"/>
      <c r="AB252" s="177"/>
      <c r="AF252" s="145"/>
      <c r="AG252" s="158"/>
    </row>
    <row r="253" spans="1:33" ht="13.2">
      <c r="A253" s="43"/>
      <c r="B253" s="43"/>
      <c r="C253" s="43"/>
      <c r="D253" s="43"/>
      <c r="E253" s="179"/>
      <c r="F253" s="179"/>
      <c r="G253" s="150"/>
      <c r="H253" s="150"/>
      <c r="I253" s="151"/>
      <c r="J253" s="151"/>
      <c r="K253" s="153"/>
      <c r="L253" s="153"/>
      <c r="M253" s="151"/>
      <c r="N253" s="151"/>
      <c r="O253" s="142"/>
      <c r="P253" s="142"/>
      <c r="Q253" s="162"/>
      <c r="R253" s="162"/>
      <c r="S253" s="162"/>
      <c r="T253" s="145"/>
      <c r="U253" s="168"/>
      <c r="Z253" s="145"/>
      <c r="AA253" s="170"/>
      <c r="AB253" s="172"/>
      <c r="AF253" s="145"/>
      <c r="AG253" s="170"/>
    </row>
    <row r="254" spans="1:33" ht="13.2">
      <c r="A254" s="43"/>
      <c r="B254" s="43"/>
      <c r="C254" s="43"/>
      <c r="D254" s="43"/>
      <c r="E254" s="179"/>
      <c r="F254" s="179"/>
      <c r="G254" s="150"/>
      <c r="H254" s="150"/>
      <c r="I254" s="151"/>
      <c r="J254" s="151"/>
      <c r="K254" s="153"/>
      <c r="L254" s="153"/>
      <c r="M254" s="151"/>
      <c r="N254" s="151"/>
      <c r="O254" s="142"/>
      <c r="P254" s="142"/>
      <c r="Q254" s="157"/>
      <c r="R254" s="157"/>
      <c r="S254" s="157"/>
      <c r="T254" s="145"/>
      <c r="U254" s="174"/>
      <c r="Z254" s="145"/>
      <c r="AA254" s="158"/>
      <c r="AB254" s="177"/>
      <c r="AF254" s="145"/>
      <c r="AG254" s="158"/>
    </row>
    <row r="255" spans="1:33" ht="13.2">
      <c r="A255" s="43"/>
      <c r="B255" s="43"/>
      <c r="C255" s="43"/>
      <c r="D255" s="43"/>
      <c r="E255" s="179"/>
      <c r="F255" s="179"/>
      <c r="G255" s="150"/>
      <c r="H255" s="150"/>
      <c r="I255" s="151"/>
      <c r="J255" s="151"/>
      <c r="K255" s="153"/>
      <c r="L255" s="153"/>
      <c r="M255" s="151"/>
      <c r="N255" s="151"/>
      <c r="O255" s="142"/>
      <c r="P255" s="142"/>
      <c r="Q255" s="162"/>
      <c r="R255" s="162"/>
      <c r="S255" s="162"/>
      <c r="T255" s="145"/>
      <c r="U255" s="168"/>
      <c r="Z255" s="145"/>
      <c r="AA255" s="170"/>
      <c r="AB255" s="172"/>
      <c r="AF255" s="145"/>
      <c r="AG255" s="170"/>
    </row>
    <row r="256" spans="1:33" ht="13.2">
      <c r="A256" s="43"/>
      <c r="B256" s="43"/>
      <c r="C256" s="43"/>
      <c r="D256" s="43"/>
      <c r="E256" s="179"/>
      <c r="F256" s="179"/>
      <c r="G256" s="150"/>
      <c r="H256" s="150"/>
      <c r="I256" s="151"/>
      <c r="J256" s="151"/>
      <c r="K256" s="153"/>
      <c r="L256" s="153"/>
      <c r="M256" s="151"/>
      <c r="N256" s="151"/>
      <c r="O256" s="142"/>
      <c r="P256" s="142"/>
      <c r="Q256" s="157"/>
      <c r="R256" s="157"/>
      <c r="S256" s="157"/>
      <c r="T256" s="145"/>
      <c r="U256" s="174"/>
      <c r="Z256" s="145"/>
      <c r="AA256" s="158"/>
      <c r="AB256" s="177"/>
      <c r="AF256" s="145"/>
      <c r="AG256" s="158"/>
    </row>
    <row r="257" spans="1:33" ht="13.2">
      <c r="A257" s="43"/>
      <c r="B257" s="43"/>
      <c r="C257" s="43"/>
      <c r="D257" s="43"/>
      <c r="E257" s="179"/>
      <c r="F257" s="179"/>
      <c r="G257" s="150"/>
      <c r="H257" s="150"/>
      <c r="I257" s="151"/>
      <c r="J257" s="151"/>
      <c r="K257" s="153"/>
      <c r="L257" s="153"/>
      <c r="M257" s="151"/>
      <c r="N257" s="151"/>
      <c r="O257" s="142"/>
      <c r="P257" s="142"/>
      <c r="Q257" s="162"/>
      <c r="R257" s="162"/>
      <c r="S257" s="162"/>
      <c r="T257" s="145"/>
      <c r="U257" s="168"/>
      <c r="Z257" s="145"/>
      <c r="AA257" s="170"/>
      <c r="AB257" s="172"/>
      <c r="AF257" s="145"/>
      <c r="AG257" s="170"/>
    </row>
    <row r="258" spans="1:33" ht="13.2">
      <c r="A258" s="43"/>
      <c r="B258" s="43"/>
      <c r="C258" s="43"/>
      <c r="D258" s="43"/>
      <c r="E258" s="179"/>
      <c r="F258" s="179"/>
      <c r="G258" s="150"/>
      <c r="H258" s="150"/>
      <c r="I258" s="151"/>
      <c r="J258" s="151"/>
      <c r="K258" s="153"/>
      <c r="L258" s="153"/>
      <c r="M258" s="151"/>
      <c r="N258" s="151"/>
      <c r="O258" s="142"/>
      <c r="P258" s="142"/>
      <c r="Q258" s="157"/>
      <c r="R258" s="157"/>
      <c r="S258" s="157"/>
      <c r="T258" s="145"/>
      <c r="U258" s="174"/>
      <c r="Z258" s="145"/>
      <c r="AA258" s="158"/>
      <c r="AB258" s="177"/>
      <c r="AF258" s="145"/>
      <c r="AG258" s="158"/>
    </row>
    <row r="259" spans="1:33" ht="13.2">
      <c r="A259" s="43"/>
      <c r="B259" s="43"/>
      <c r="C259" s="43"/>
      <c r="D259" s="43"/>
      <c r="E259" s="179"/>
      <c r="F259" s="179"/>
      <c r="G259" s="150"/>
      <c r="H259" s="150"/>
      <c r="I259" s="151"/>
      <c r="J259" s="151"/>
      <c r="K259" s="153"/>
      <c r="L259" s="153"/>
      <c r="M259" s="151"/>
      <c r="N259" s="151"/>
      <c r="O259" s="142"/>
      <c r="P259" s="142"/>
      <c r="Q259" s="162"/>
      <c r="R259" s="162"/>
      <c r="S259" s="162"/>
      <c r="T259" s="145"/>
      <c r="U259" s="168"/>
      <c r="Z259" s="145"/>
      <c r="AA259" s="170"/>
      <c r="AB259" s="172"/>
      <c r="AF259" s="145"/>
      <c r="AG259" s="170"/>
    </row>
    <row r="260" spans="1:33" ht="13.2">
      <c r="A260" s="43"/>
      <c r="B260" s="43"/>
      <c r="C260" s="43"/>
      <c r="D260" s="43"/>
      <c r="E260" s="179"/>
      <c r="F260" s="179"/>
      <c r="G260" s="150"/>
      <c r="H260" s="150"/>
      <c r="I260" s="151"/>
      <c r="J260" s="151"/>
      <c r="K260" s="153"/>
      <c r="L260" s="153"/>
      <c r="M260" s="151"/>
      <c r="N260" s="151"/>
      <c r="O260" s="142"/>
      <c r="P260" s="142"/>
      <c r="Q260" s="157"/>
      <c r="R260" s="157"/>
      <c r="S260" s="157"/>
      <c r="T260" s="145"/>
      <c r="U260" s="174"/>
      <c r="Z260" s="145"/>
      <c r="AA260" s="158"/>
      <c r="AB260" s="177"/>
      <c r="AF260" s="145"/>
      <c r="AG260" s="158"/>
    </row>
    <row r="261" spans="1:33" ht="13.2">
      <c r="A261" s="43"/>
      <c r="B261" s="43"/>
      <c r="C261" s="43"/>
      <c r="D261" s="43"/>
      <c r="E261" s="179"/>
      <c r="F261" s="179"/>
      <c r="G261" s="150"/>
      <c r="H261" s="150"/>
      <c r="I261" s="151"/>
      <c r="J261" s="151"/>
      <c r="K261" s="153"/>
      <c r="L261" s="153"/>
      <c r="M261" s="151"/>
      <c r="N261" s="151"/>
      <c r="O261" s="142"/>
      <c r="P261" s="142"/>
      <c r="Q261" s="162"/>
      <c r="R261" s="162"/>
      <c r="S261" s="162"/>
      <c r="T261" s="145"/>
      <c r="U261" s="168"/>
      <c r="Z261" s="145"/>
      <c r="AA261" s="170"/>
      <c r="AB261" s="172"/>
      <c r="AF261" s="145"/>
      <c r="AG261" s="170"/>
    </row>
    <row r="262" spans="1:33" ht="13.2">
      <c r="A262" s="43"/>
      <c r="B262" s="43"/>
      <c r="C262" s="43"/>
      <c r="D262" s="43"/>
      <c r="E262" s="179"/>
      <c r="F262" s="179"/>
      <c r="G262" s="150"/>
      <c r="H262" s="150"/>
      <c r="I262" s="151"/>
      <c r="J262" s="151"/>
      <c r="K262" s="153"/>
      <c r="L262" s="153"/>
      <c r="M262" s="151"/>
      <c r="N262" s="151"/>
      <c r="O262" s="142"/>
      <c r="P262" s="142"/>
      <c r="Q262" s="157"/>
      <c r="R262" s="157"/>
      <c r="S262" s="157"/>
      <c r="T262" s="145"/>
      <c r="U262" s="174"/>
      <c r="Z262" s="145"/>
      <c r="AA262" s="158"/>
      <c r="AB262" s="177"/>
      <c r="AF262" s="145"/>
      <c r="AG262" s="158"/>
    </row>
    <row r="263" spans="1:33" ht="13.2">
      <c r="A263" s="43"/>
      <c r="B263" s="43"/>
      <c r="C263" s="43"/>
      <c r="D263" s="43"/>
      <c r="E263" s="179"/>
      <c r="F263" s="179"/>
      <c r="G263" s="150"/>
      <c r="H263" s="150"/>
      <c r="I263" s="151"/>
      <c r="J263" s="151"/>
      <c r="K263" s="153"/>
      <c r="L263" s="153"/>
      <c r="M263" s="151"/>
      <c r="N263" s="151"/>
      <c r="O263" s="142"/>
      <c r="P263" s="142"/>
      <c r="Q263" s="162"/>
      <c r="R263" s="162"/>
      <c r="S263" s="162"/>
      <c r="T263" s="145"/>
      <c r="U263" s="168"/>
      <c r="Z263" s="145"/>
      <c r="AA263" s="170"/>
      <c r="AB263" s="172"/>
      <c r="AF263" s="145"/>
      <c r="AG263" s="170"/>
    </row>
    <row r="264" spans="1:33" ht="13.2">
      <c r="A264" s="43"/>
      <c r="B264" s="43"/>
      <c r="C264" s="43"/>
      <c r="D264" s="43"/>
      <c r="E264" s="179"/>
      <c r="F264" s="179"/>
      <c r="G264" s="150"/>
      <c r="H264" s="150"/>
      <c r="I264" s="151"/>
      <c r="J264" s="151"/>
      <c r="K264" s="153"/>
      <c r="L264" s="153"/>
      <c r="M264" s="151"/>
      <c r="N264" s="151"/>
      <c r="O264" s="142"/>
      <c r="P264" s="142"/>
      <c r="Q264" s="157"/>
      <c r="R264" s="157"/>
      <c r="S264" s="157"/>
      <c r="T264" s="145"/>
      <c r="U264" s="174"/>
      <c r="Z264" s="145"/>
      <c r="AA264" s="158"/>
      <c r="AB264" s="177"/>
      <c r="AF264" s="145"/>
      <c r="AG264" s="158"/>
    </row>
    <row r="265" spans="1:33" ht="13.2">
      <c r="A265" s="43"/>
      <c r="B265" s="43"/>
      <c r="C265" s="43"/>
      <c r="D265" s="43"/>
      <c r="E265" s="179"/>
      <c r="F265" s="179"/>
      <c r="G265" s="150"/>
      <c r="H265" s="150"/>
      <c r="I265" s="151"/>
      <c r="J265" s="151"/>
      <c r="K265" s="153"/>
      <c r="L265" s="153"/>
      <c r="M265" s="151"/>
      <c r="N265" s="151"/>
      <c r="O265" s="142"/>
      <c r="P265" s="142"/>
      <c r="Q265" s="162"/>
      <c r="R265" s="162"/>
      <c r="S265" s="162"/>
      <c r="T265" s="145"/>
      <c r="U265" s="168"/>
      <c r="Z265" s="145"/>
      <c r="AA265" s="170"/>
      <c r="AB265" s="172"/>
      <c r="AF265" s="145"/>
      <c r="AG265" s="170"/>
    </row>
    <row r="266" spans="1:33" ht="13.2">
      <c r="A266" s="43"/>
      <c r="B266" s="43"/>
      <c r="C266" s="43"/>
      <c r="D266" s="43"/>
      <c r="E266" s="179"/>
      <c r="F266" s="179"/>
      <c r="G266" s="150"/>
      <c r="H266" s="150"/>
      <c r="I266" s="151"/>
      <c r="J266" s="151"/>
      <c r="K266" s="153"/>
      <c r="L266" s="153"/>
      <c r="M266" s="151"/>
      <c r="N266" s="151"/>
      <c r="O266" s="142"/>
      <c r="P266" s="142"/>
      <c r="Q266" s="157"/>
      <c r="R266" s="157"/>
      <c r="S266" s="157"/>
      <c r="T266" s="145"/>
      <c r="U266" s="174"/>
      <c r="Z266" s="145"/>
      <c r="AA266" s="158"/>
      <c r="AB266" s="177"/>
      <c r="AF266" s="145"/>
      <c r="AG266" s="158"/>
    </row>
    <row r="267" spans="1:33" ht="13.2">
      <c r="A267" s="43"/>
      <c r="B267" s="43"/>
      <c r="C267" s="43"/>
      <c r="D267" s="43"/>
      <c r="E267" s="179"/>
      <c r="F267" s="179"/>
      <c r="G267" s="150"/>
      <c r="H267" s="150"/>
      <c r="I267" s="151"/>
      <c r="J267" s="151"/>
      <c r="K267" s="153"/>
      <c r="L267" s="153"/>
      <c r="M267" s="151"/>
      <c r="N267" s="151"/>
      <c r="O267" s="142"/>
      <c r="P267" s="142"/>
      <c r="Q267" s="162"/>
      <c r="R267" s="162"/>
      <c r="S267" s="162"/>
      <c r="T267" s="145"/>
      <c r="U267" s="168"/>
      <c r="Z267" s="145"/>
      <c r="AA267" s="170"/>
      <c r="AB267" s="172"/>
      <c r="AF267" s="145"/>
      <c r="AG267" s="170"/>
    </row>
    <row r="268" spans="1:33" ht="13.2">
      <c r="A268" s="43"/>
      <c r="B268" s="43"/>
      <c r="C268" s="43"/>
      <c r="D268" s="43"/>
      <c r="E268" s="179"/>
      <c r="F268" s="179"/>
      <c r="G268" s="150"/>
      <c r="H268" s="150"/>
      <c r="I268" s="151"/>
      <c r="J268" s="151"/>
      <c r="K268" s="153"/>
      <c r="L268" s="153"/>
      <c r="M268" s="151"/>
      <c r="N268" s="151"/>
      <c r="O268" s="142"/>
      <c r="P268" s="142"/>
      <c r="Q268" s="157"/>
      <c r="R268" s="157"/>
      <c r="S268" s="157"/>
      <c r="T268" s="145"/>
      <c r="U268" s="174"/>
      <c r="Z268" s="145"/>
      <c r="AA268" s="158"/>
      <c r="AB268" s="177"/>
      <c r="AF268" s="145"/>
      <c r="AG268" s="158"/>
    </row>
    <row r="269" spans="1:33" ht="13.2">
      <c r="A269" s="43"/>
      <c r="B269" s="43"/>
      <c r="C269" s="43"/>
      <c r="D269" s="43"/>
      <c r="E269" s="179"/>
      <c r="F269" s="179"/>
      <c r="G269" s="150"/>
      <c r="H269" s="150"/>
      <c r="I269" s="151"/>
      <c r="J269" s="151"/>
      <c r="K269" s="153"/>
      <c r="L269" s="153"/>
      <c r="M269" s="151"/>
      <c r="N269" s="151"/>
      <c r="O269" s="142"/>
      <c r="P269" s="142"/>
      <c r="Q269" s="162"/>
      <c r="R269" s="162"/>
      <c r="S269" s="162"/>
      <c r="T269" s="145"/>
      <c r="U269" s="168"/>
      <c r="Z269" s="145"/>
      <c r="AA269" s="170"/>
      <c r="AB269" s="172"/>
      <c r="AF269" s="145"/>
      <c r="AG269" s="170"/>
    </row>
    <row r="270" spans="1:33" ht="13.2">
      <c r="A270" s="43"/>
      <c r="B270" s="43"/>
      <c r="C270" s="43"/>
      <c r="D270" s="43"/>
      <c r="E270" s="179"/>
      <c r="F270" s="179"/>
      <c r="G270" s="150"/>
      <c r="H270" s="150"/>
      <c r="I270" s="151"/>
      <c r="J270" s="151"/>
      <c r="K270" s="153"/>
      <c r="L270" s="153"/>
      <c r="M270" s="151"/>
      <c r="N270" s="151"/>
      <c r="O270" s="142"/>
      <c r="P270" s="142"/>
      <c r="Q270" s="157"/>
      <c r="R270" s="157"/>
      <c r="S270" s="157"/>
      <c r="T270" s="145"/>
      <c r="U270" s="174"/>
      <c r="Z270" s="145"/>
      <c r="AA270" s="158"/>
      <c r="AB270" s="177"/>
      <c r="AF270" s="145"/>
      <c r="AG270" s="158"/>
    </row>
    <row r="271" spans="1:33" ht="13.2">
      <c r="A271" s="43"/>
      <c r="B271" s="43"/>
      <c r="C271" s="43"/>
      <c r="D271" s="43"/>
      <c r="E271" s="179"/>
      <c r="F271" s="179"/>
      <c r="G271" s="150"/>
      <c r="H271" s="150"/>
      <c r="I271" s="151"/>
      <c r="J271" s="151"/>
      <c r="K271" s="153"/>
      <c r="L271" s="153"/>
      <c r="M271" s="151"/>
      <c r="N271" s="151"/>
      <c r="O271" s="142"/>
      <c r="P271" s="142"/>
      <c r="Q271" s="162"/>
      <c r="R271" s="162"/>
      <c r="S271" s="162"/>
      <c r="T271" s="145"/>
      <c r="U271" s="168"/>
      <c r="Z271" s="145"/>
      <c r="AA271" s="170"/>
      <c r="AB271" s="172"/>
      <c r="AF271" s="145"/>
      <c r="AG271" s="170"/>
    </row>
    <row r="272" spans="1:33" ht="13.2">
      <c r="A272" s="43"/>
      <c r="B272" s="43"/>
      <c r="C272" s="43"/>
      <c r="D272" s="43"/>
      <c r="E272" s="179"/>
      <c r="F272" s="179"/>
      <c r="G272" s="150"/>
      <c r="H272" s="150"/>
      <c r="I272" s="151"/>
      <c r="J272" s="151"/>
      <c r="K272" s="153"/>
      <c r="L272" s="153"/>
      <c r="M272" s="151"/>
      <c r="N272" s="151"/>
      <c r="O272" s="142"/>
      <c r="P272" s="142"/>
      <c r="Q272" s="157"/>
      <c r="R272" s="157"/>
      <c r="S272" s="157"/>
      <c r="T272" s="145"/>
      <c r="U272" s="174"/>
      <c r="Z272" s="145"/>
      <c r="AA272" s="158"/>
      <c r="AB272" s="177"/>
      <c r="AF272" s="145"/>
      <c r="AG272" s="158"/>
    </row>
    <row r="273" spans="1:33" ht="13.2">
      <c r="A273" s="43"/>
      <c r="B273" s="43"/>
      <c r="C273" s="43"/>
      <c r="D273" s="43"/>
      <c r="E273" s="179"/>
      <c r="F273" s="179"/>
      <c r="G273" s="150"/>
      <c r="H273" s="150"/>
      <c r="I273" s="151"/>
      <c r="J273" s="151"/>
      <c r="K273" s="153"/>
      <c r="L273" s="153"/>
      <c r="M273" s="151"/>
      <c r="N273" s="151"/>
      <c r="O273" s="142"/>
      <c r="P273" s="142"/>
      <c r="Q273" s="162"/>
      <c r="R273" s="162"/>
      <c r="S273" s="162"/>
      <c r="T273" s="145"/>
      <c r="U273" s="168"/>
      <c r="Z273" s="145"/>
      <c r="AA273" s="170"/>
      <c r="AB273" s="172"/>
      <c r="AF273" s="145"/>
      <c r="AG273" s="170"/>
    </row>
    <row r="274" spans="1:33" ht="13.2">
      <c r="A274" s="43"/>
      <c r="B274" s="43"/>
      <c r="C274" s="43"/>
      <c r="D274" s="43"/>
      <c r="E274" s="179"/>
      <c r="F274" s="179"/>
      <c r="G274" s="150"/>
      <c r="H274" s="150"/>
      <c r="I274" s="151"/>
      <c r="J274" s="151"/>
      <c r="K274" s="153"/>
      <c r="L274" s="153"/>
      <c r="M274" s="151"/>
      <c r="N274" s="151"/>
      <c r="O274" s="142"/>
      <c r="P274" s="142"/>
      <c r="Q274" s="157"/>
      <c r="R274" s="157"/>
      <c r="S274" s="157"/>
      <c r="T274" s="145"/>
      <c r="U274" s="174"/>
      <c r="Z274" s="145"/>
      <c r="AA274" s="158"/>
      <c r="AB274" s="177"/>
      <c r="AF274" s="145"/>
      <c r="AG274" s="158"/>
    </row>
    <row r="275" spans="1:33" ht="13.2">
      <c r="A275" s="43"/>
      <c r="B275" s="43"/>
      <c r="C275" s="43"/>
      <c r="D275" s="43"/>
      <c r="E275" s="179"/>
      <c r="F275" s="179"/>
      <c r="G275" s="150"/>
      <c r="H275" s="150"/>
      <c r="I275" s="151"/>
      <c r="J275" s="151"/>
      <c r="K275" s="153"/>
      <c r="L275" s="153"/>
      <c r="M275" s="151"/>
      <c r="N275" s="151"/>
      <c r="O275" s="142"/>
      <c r="P275" s="142"/>
      <c r="Q275" s="162"/>
      <c r="R275" s="162"/>
      <c r="S275" s="162"/>
      <c r="T275" s="145"/>
      <c r="U275" s="168"/>
      <c r="Z275" s="145"/>
      <c r="AA275" s="170"/>
      <c r="AB275" s="172"/>
      <c r="AF275" s="145"/>
      <c r="AG275" s="170"/>
    </row>
    <row r="276" spans="1:33" ht="13.2">
      <c r="A276" s="43"/>
      <c r="B276" s="43"/>
      <c r="C276" s="43"/>
      <c r="D276" s="43"/>
      <c r="E276" s="179"/>
      <c r="F276" s="179"/>
      <c r="G276" s="150"/>
      <c r="H276" s="150"/>
      <c r="I276" s="151"/>
      <c r="J276" s="151"/>
      <c r="K276" s="153"/>
      <c r="L276" s="153"/>
      <c r="M276" s="151"/>
      <c r="N276" s="151"/>
      <c r="O276" s="142"/>
      <c r="P276" s="142"/>
      <c r="Q276" s="157"/>
      <c r="R276" s="157"/>
      <c r="S276" s="157"/>
      <c r="T276" s="145"/>
      <c r="U276" s="174"/>
      <c r="Z276" s="145"/>
      <c r="AA276" s="158"/>
      <c r="AB276" s="177"/>
      <c r="AF276" s="145"/>
      <c r="AG276" s="158"/>
    </row>
    <row r="277" spans="1:33" ht="13.2">
      <c r="A277" s="43"/>
      <c r="B277" s="43"/>
      <c r="C277" s="43"/>
      <c r="D277" s="43"/>
      <c r="E277" s="179"/>
      <c r="F277" s="179"/>
      <c r="G277" s="150"/>
      <c r="H277" s="150"/>
      <c r="I277" s="151"/>
      <c r="J277" s="151"/>
      <c r="K277" s="153"/>
      <c r="L277" s="153"/>
      <c r="M277" s="151"/>
      <c r="N277" s="151"/>
      <c r="O277" s="142"/>
      <c r="P277" s="142"/>
      <c r="Q277" s="162"/>
      <c r="R277" s="162"/>
      <c r="S277" s="162"/>
      <c r="T277" s="145"/>
      <c r="U277" s="168"/>
      <c r="Z277" s="145"/>
      <c r="AA277" s="170"/>
      <c r="AB277" s="172"/>
      <c r="AF277" s="145"/>
      <c r="AG277" s="170"/>
    </row>
    <row r="278" spans="1:33" ht="13.2">
      <c r="A278" s="43"/>
      <c r="B278" s="43"/>
      <c r="C278" s="43"/>
      <c r="D278" s="43"/>
      <c r="E278" s="179"/>
      <c r="F278" s="179"/>
      <c r="G278" s="150"/>
      <c r="H278" s="150"/>
      <c r="I278" s="151"/>
      <c r="J278" s="151"/>
      <c r="K278" s="153"/>
      <c r="L278" s="153"/>
      <c r="M278" s="151"/>
      <c r="N278" s="151"/>
      <c r="O278" s="142"/>
      <c r="P278" s="142"/>
      <c r="Q278" s="157"/>
      <c r="R278" s="157"/>
      <c r="S278" s="157"/>
      <c r="T278" s="145"/>
      <c r="U278" s="174"/>
      <c r="Z278" s="145"/>
      <c r="AA278" s="158"/>
      <c r="AB278" s="177"/>
      <c r="AF278" s="145"/>
      <c r="AG278" s="158"/>
    </row>
    <row r="279" spans="1:33" ht="13.2">
      <c r="A279" s="43"/>
      <c r="B279" s="43"/>
      <c r="C279" s="43"/>
      <c r="D279" s="43"/>
      <c r="E279" s="179"/>
      <c r="F279" s="179"/>
      <c r="G279" s="150"/>
      <c r="H279" s="150"/>
      <c r="I279" s="151"/>
      <c r="J279" s="151"/>
      <c r="K279" s="153"/>
      <c r="L279" s="153"/>
      <c r="M279" s="151"/>
      <c r="N279" s="151"/>
      <c r="O279" s="142"/>
      <c r="P279" s="142"/>
      <c r="Q279" s="162"/>
      <c r="R279" s="162"/>
      <c r="S279" s="162"/>
      <c r="T279" s="145"/>
      <c r="U279" s="168"/>
      <c r="Z279" s="145"/>
      <c r="AA279" s="170"/>
      <c r="AB279" s="172"/>
      <c r="AF279" s="145"/>
      <c r="AG279" s="170"/>
    </row>
    <row r="280" spans="1:33" ht="13.2">
      <c r="A280" s="43"/>
      <c r="B280" s="43"/>
      <c r="C280" s="43"/>
      <c r="D280" s="43"/>
      <c r="E280" s="179"/>
      <c r="F280" s="179"/>
      <c r="G280" s="150"/>
      <c r="H280" s="150"/>
      <c r="I280" s="151"/>
      <c r="J280" s="151"/>
      <c r="K280" s="153"/>
      <c r="L280" s="153"/>
      <c r="M280" s="151"/>
      <c r="N280" s="151"/>
      <c r="O280" s="142"/>
      <c r="P280" s="142"/>
      <c r="Q280" s="157"/>
      <c r="R280" s="157"/>
      <c r="S280" s="157"/>
      <c r="T280" s="145"/>
      <c r="U280" s="174"/>
      <c r="Z280" s="145"/>
      <c r="AA280" s="158"/>
      <c r="AB280" s="177"/>
      <c r="AF280" s="145"/>
      <c r="AG280" s="158"/>
    </row>
    <row r="281" spans="1:33" ht="13.2">
      <c r="A281" s="43"/>
      <c r="B281" s="43"/>
      <c r="C281" s="43"/>
      <c r="D281" s="43"/>
      <c r="E281" s="179"/>
      <c r="F281" s="179"/>
      <c r="G281" s="150"/>
      <c r="H281" s="150"/>
      <c r="I281" s="151"/>
      <c r="J281" s="151"/>
      <c r="K281" s="153"/>
      <c r="L281" s="153"/>
      <c r="M281" s="151"/>
      <c r="N281" s="151"/>
      <c r="O281" s="142"/>
      <c r="P281" s="142"/>
      <c r="Q281" s="162"/>
      <c r="R281" s="162"/>
      <c r="S281" s="162"/>
      <c r="T281" s="145"/>
      <c r="U281" s="168"/>
      <c r="Z281" s="145"/>
      <c r="AA281" s="170"/>
      <c r="AB281" s="172"/>
      <c r="AF281" s="145"/>
      <c r="AG281" s="170"/>
    </row>
    <row r="282" spans="1:33" ht="13.2">
      <c r="A282" s="43"/>
      <c r="B282" s="43"/>
      <c r="C282" s="43"/>
      <c r="D282" s="43"/>
      <c r="E282" s="179"/>
      <c r="F282" s="179"/>
      <c r="G282" s="150"/>
      <c r="H282" s="150"/>
      <c r="I282" s="151"/>
      <c r="J282" s="151"/>
      <c r="K282" s="153"/>
      <c r="L282" s="153"/>
      <c r="M282" s="151"/>
      <c r="N282" s="151"/>
      <c r="O282" s="142"/>
      <c r="P282" s="142"/>
      <c r="Q282" s="157"/>
      <c r="R282" s="157"/>
      <c r="S282" s="157"/>
      <c r="T282" s="145"/>
      <c r="U282" s="174"/>
      <c r="Z282" s="145"/>
      <c r="AA282" s="158"/>
      <c r="AB282" s="177"/>
      <c r="AF282" s="145"/>
      <c r="AG282" s="158"/>
    </row>
    <row r="283" spans="1:33" ht="13.2">
      <c r="A283" s="43"/>
      <c r="B283" s="43"/>
      <c r="C283" s="43"/>
      <c r="D283" s="43"/>
      <c r="E283" s="179"/>
      <c r="F283" s="179"/>
      <c r="G283" s="150"/>
      <c r="H283" s="150"/>
      <c r="I283" s="151"/>
      <c r="J283" s="151"/>
      <c r="K283" s="153"/>
      <c r="L283" s="153"/>
      <c r="M283" s="151"/>
      <c r="N283" s="151"/>
      <c r="O283" s="142"/>
      <c r="P283" s="142"/>
      <c r="Q283" s="162"/>
      <c r="R283" s="162"/>
      <c r="S283" s="162"/>
      <c r="T283" s="145"/>
      <c r="U283" s="168"/>
      <c r="Z283" s="145"/>
      <c r="AA283" s="170"/>
      <c r="AB283" s="172"/>
      <c r="AF283" s="145"/>
      <c r="AG283" s="170"/>
    </row>
    <row r="284" spans="1:33" ht="13.2">
      <c r="A284" s="43"/>
      <c r="B284" s="43"/>
      <c r="C284" s="43"/>
      <c r="D284" s="43"/>
      <c r="E284" s="179"/>
      <c r="F284" s="179"/>
      <c r="G284" s="150"/>
      <c r="H284" s="150"/>
      <c r="I284" s="151"/>
      <c r="J284" s="151"/>
      <c r="K284" s="153"/>
      <c r="L284" s="153"/>
      <c r="M284" s="151"/>
      <c r="N284" s="151"/>
      <c r="O284" s="142"/>
      <c r="P284" s="142"/>
      <c r="Q284" s="157"/>
      <c r="R284" s="157"/>
      <c r="S284" s="157"/>
      <c r="T284" s="145"/>
      <c r="U284" s="174"/>
      <c r="Z284" s="145"/>
      <c r="AA284" s="158"/>
      <c r="AB284" s="177"/>
      <c r="AF284" s="145"/>
      <c r="AG284" s="158"/>
    </row>
    <row r="285" spans="1:33" ht="13.2">
      <c r="A285" s="43"/>
      <c r="B285" s="43"/>
      <c r="C285" s="43"/>
      <c r="D285" s="43"/>
      <c r="E285" s="179"/>
      <c r="F285" s="179"/>
      <c r="G285" s="150"/>
      <c r="H285" s="150"/>
      <c r="I285" s="151"/>
      <c r="J285" s="151"/>
      <c r="K285" s="153"/>
      <c r="L285" s="153"/>
      <c r="M285" s="151"/>
      <c r="N285" s="151"/>
      <c r="O285" s="142"/>
      <c r="P285" s="142"/>
      <c r="Q285" s="162"/>
      <c r="R285" s="162"/>
      <c r="S285" s="162"/>
      <c r="T285" s="145"/>
      <c r="U285" s="168"/>
      <c r="Z285" s="145"/>
      <c r="AA285" s="170"/>
      <c r="AB285" s="172"/>
      <c r="AF285" s="145"/>
      <c r="AG285" s="170"/>
    </row>
    <row r="286" spans="1:33" ht="13.2">
      <c r="A286" s="43"/>
      <c r="B286" s="43"/>
      <c r="C286" s="43"/>
      <c r="D286" s="43"/>
      <c r="E286" s="179"/>
      <c r="F286" s="179"/>
      <c r="G286" s="150"/>
      <c r="H286" s="150"/>
      <c r="I286" s="151"/>
      <c r="J286" s="151"/>
      <c r="K286" s="153"/>
      <c r="L286" s="153"/>
      <c r="M286" s="151"/>
      <c r="N286" s="151"/>
      <c r="O286" s="142"/>
      <c r="P286" s="142"/>
      <c r="Q286" s="157"/>
      <c r="R286" s="157"/>
      <c r="S286" s="157"/>
      <c r="T286" s="145"/>
      <c r="U286" s="174"/>
      <c r="Z286" s="145"/>
      <c r="AA286" s="158"/>
      <c r="AB286" s="177"/>
      <c r="AF286" s="145"/>
      <c r="AG286" s="158"/>
    </row>
    <row r="287" spans="1:33" ht="13.2">
      <c r="A287" s="43"/>
      <c r="B287" s="43"/>
      <c r="C287" s="43"/>
      <c r="D287" s="43"/>
      <c r="E287" s="179"/>
      <c r="F287" s="179"/>
      <c r="G287" s="150"/>
      <c r="H287" s="150"/>
      <c r="I287" s="151"/>
      <c r="J287" s="151"/>
      <c r="K287" s="153"/>
      <c r="L287" s="153"/>
      <c r="M287" s="151"/>
      <c r="N287" s="151"/>
      <c r="O287" s="142"/>
      <c r="P287" s="142"/>
      <c r="Q287" s="162"/>
      <c r="R287" s="162"/>
      <c r="S287" s="162"/>
      <c r="T287" s="145"/>
      <c r="U287" s="168"/>
      <c r="Z287" s="145"/>
      <c r="AA287" s="170"/>
      <c r="AB287" s="172"/>
      <c r="AF287" s="145"/>
      <c r="AG287" s="170"/>
    </row>
    <row r="288" spans="1:33" ht="13.2">
      <c r="A288" s="43"/>
      <c r="B288" s="43"/>
      <c r="C288" s="43"/>
      <c r="D288" s="43"/>
      <c r="E288" s="179"/>
      <c r="F288" s="179"/>
      <c r="G288" s="150"/>
      <c r="H288" s="150"/>
      <c r="I288" s="151"/>
      <c r="J288" s="151"/>
      <c r="K288" s="153"/>
      <c r="L288" s="153"/>
      <c r="M288" s="151"/>
      <c r="N288" s="151"/>
      <c r="O288" s="142"/>
      <c r="P288" s="142"/>
      <c r="Q288" s="157"/>
      <c r="R288" s="157"/>
      <c r="S288" s="157"/>
      <c r="T288" s="145"/>
      <c r="U288" s="174"/>
      <c r="Z288" s="145"/>
      <c r="AA288" s="158"/>
      <c r="AB288" s="177"/>
      <c r="AF288" s="145"/>
      <c r="AG288" s="158"/>
    </row>
    <row r="289" spans="1:33" ht="13.2">
      <c r="A289" s="43"/>
      <c r="B289" s="43"/>
      <c r="C289" s="43"/>
      <c r="D289" s="43"/>
      <c r="E289" s="179"/>
      <c r="F289" s="179"/>
      <c r="G289" s="150"/>
      <c r="H289" s="150"/>
      <c r="I289" s="151"/>
      <c r="J289" s="151"/>
      <c r="K289" s="153"/>
      <c r="L289" s="153"/>
      <c r="M289" s="151"/>
      <c r="N289" s="151"/>
      <c r="O289" s="142"/>
      <c r="P289" s="142"/>
      <c r="Q289" s="162"/>
      <c r="R289" s="162"/>
      <c r="S289" s="162"/>
      <c r="T289" s="145"/>
      <c r="U289" s="168"/>
      <c r="Z289" s="145"/>
      <c r="AA289" s="170"/>
      <c r="AB289" s="172"/>
      <c r="AF289" s="145"/>
      <c r="AG289" s="170"/>
    </row>
    <row r="290" spans="1:33" ht="13.2">
      <c r="A290" s="43"/>
      <c r="B290" s="43"/>
      <c r="C290" s="43"/>
      <c r="D290" s="43"/>
      <c r="E290" s="179"/>
      <c r="F290" s="179"/>
      <c r="G290" s="150"/>
      <c r="H290" s="150"/>
      <c r="I290" s="151"/>
      <c r="J290" s="151"/>
      <c r="K290" s="153"/>
      <c r="L290" s="153"/>
      <c r="M290" s="151"/>
      <c r="N290" s="151"/>
      <c r="O290" s="142"/>
      <c r="P290" s="142"/>
      <c r="Q290" s="157"/>
      <c r="R290" s="157"/>
      <c r="S290" s="157"/>
      <c r="T290" s="145"/>
      <c r="U290" s="174"/>
      <c r="Z290" s="145"/>
      <c r="AA290" s="158"/>
      <c r="AB290" s="177"/>
      <c r="AF290" s="145"/>
      <c r="AG290" s="158"/>
    </row>
    <row r="291" spans="1:33" ht="13.2">
      <c r="A291" s="43"/>
      <c r="B291" s="43"/>
      <c r="C291" s="43"/>
      <c r="D291" s="43"/>
      <c r="E291" s="179"/>
      <c r="F291" s="179"/>
      <c r="G291" s="150"/>
      <c r="H291" s="150"/>
      <c r="I291" s="151"/>
      <c r="J291" s="151"/>
      <c r="K291" s="153"/>
      <c r="L291" s="153"/>
      <c r="M291" s="151"/>
      <c r="N291" s="151"/>
      <c r="O291" s="142"/>
      <c r="P291" s="142"/>
      <c r="Q291" s="162"/>
      <c r="R291" s="162"/>
      <c r="S291" s="162"/>
      <c r="T291" s="145"/>
      <c r="U291" s="168"/>
      <c r="Z291" s="145"/>
      <c r="AA291" s="170"/>
      <c r="AB291" s="172"/>
      <c r="AF291" s="145"/>
      <c r="AG291" s="170"/>
    </row>
    <row r="292" spans="1:33" ht="13.2">
      <c r="A292" s="43"/>
      <c r="B292" s="43"/>
      <c r="C292" s="43"/>
      <c r="D292" s="43"/>
      <c r="E292" s="179"/>
      <c r="F292" s="179"/>
      <c r="G292" s="150"/>
      <c r="H292" s="150"/>
      <c r="I292" s="151"/>
      <c r="J292" s="151"/>
      <c r="K292" s="153"/>
      <c r="L292" s="153"/>
      <c r="M292" s="151"/>
      <c r="N292" s="151"/>
      <c r="O292" s="142"/>
      <c r="P292" s="142"/>
      <c r="Q292" s="157"/>
      <c r="R292" s="157"/>
      <c r="S292" s="157"/>
      <c r="T292" s="145"/>
      <c r="U292" s="174"/>
      <c r="Z292" s="145"/>
      <c r="AA292" s="158"/>
      <c r="AB292" s="177"/>
      <c r="AF292" s="145"/>
      <c r="AG292" s="158"/>
    </row>
    <row r="293" spans="1:33" ht="13.2">
      <c r="A293" s="43"/>
      <c r="B293" s="43"/>
      <c r="C293" s="43"/>
      <c r="D293" s="43"/>
      <c r="E293" s="179"/>
      <c r="F293" s="179"/>
      <c r="G293" s="150"/>
      <c r="H293" s="150"/>
      <c r="I293" s="151"/>
      <c r="J293" s="151"/>
      <c r="K293" s="153"/>
      <c r="L293" s="153"/>
      <c r="M293" s="151"/>
      <c r="N293" s="151"/>
      <c r="O293" s="142"/>
      <c r="P293" s="142"/>
      <c r="Q293" s="162"/>
      <c r="R293" s="162"/>
      <c r="S293" s="162"/>
      <c r="T293" s="145"/>
      <c r="U293" s="168"/>
      <c r="Z293" s="145"/>
      <c r="AA293" s="170"/>
      <c r="AB293" s="172"/>
      <c r="AF293" s="145"/>
      <c r="AG293" s="170"/>
    </row>
    <row r="294" spans="1:33" ht="13.2">
      <c r="A294" s="43"/>
      <c r="B294" s="43"/>
      <c r="C294" s="43"/>
      <c r="D294" s="43"/>
      <c r="E294" s="179"/>
      <c r="F294" s="179"/>
      <c r="G294" s="150"/>
      <c r="H294" s="150"/>
      <c r="I294" s="151"/>
      <c r="J294" s="151"/>
      <c r="K294" s="153"/>
      <c r="L294" s="153"/>
      <c r="M294" s="151"/>
      <c r="N294" s="151"/>
      <c r="O294" s="142"/>
      <c r="P294" s="142"/>
      <c r="Q294" s="157"/>
      <c r="R294" s="157"/>
      <c r="S294" s="157"/>
      <c r="T294" s="145"/>
      <c r="U294" s="174"/>
      <c r="Z294" s="145"/>
      <c r="AA294" s="158"/>
      <c r="AB294" s="177"/>
      <c r="AF294" s="145"/>
      <c r="AG294" s="158"/>
    </row>
    <row r="295" spans="1:33" ht="13.2">
      <c r="A295" s="43"/>
      <c r="B295" s="43"/>
      <c r="C295" s="43"/>
      <c r="D295" s="43"/>
      <c r="E295" s="179"/>
      <c r="F295" s="179"/>
      <c r="G295" s="150"/>
      <c r="H295" s="150"/>
      <c r="I295" s="151"/>
      <c r="J295" s="151"/>
      <c r="K295" s="153"/>
      <c r="L295" s="153"/>
      <c r="M295" s="151"/>
      <c r="N295" s="151"/>
      <c r="O295" s="142"/>
      <c r="P295" s="142"/>
      <c r="Q295" s="162"/>
      <c r="R295" s="162"/>
      <c r="S295" s="162"/>
      <c r="T295" s="145"/>
      <c r="U295" s="168"/>
      <c r="Z295" s="145"/>
      <c r="AA295" s="170"/>
      <c r="AB295" s="172"/>
      <c r="AF295" s="145"/>
      <c r="AG295" s="170"/>
    </row>
    <row r="296" spans="1:33" ht="13.2">
      <c r="A296" s="43"/>
      <c r="B296" s="43"/>
      <c r="C296" s="43"/>
      <c r="D296" s="43"/>
      <c r="E296" s="179"/>
      <c r="F296" s="179"/>
      <c r="G296" s="150"/>
      <c r="H296" s="150"/>
      <c r="I296" s="151"/>
      <c r="J296" s="151"/>
      <c r="K296" s="153"/>
      <c r="L296" s="153"/>
      <c r="M296" s="151"/>
      <c r="N296" s="151"/>
      <c r="O296" s="142"/>
      <c r="P296" s="142"/>
      <c r="Q296" s="157"/>
      <c r="R296" s="157"/>
      <c r="S296" s="157"/>
      <c r="T296" s="145"/>
      <c r="U296" s="174"/>
      <c r="Z296" s="145"/>
      <c r="AA296" s="158"/>
      <c r="AB296" s="177"/>
      <c r="AF296" s="145"/>
      <c r="AG296" s="158"/>
    </row>
    <row r="297" spans="1:33" ht="13.2">
      <c r="A297" s="43"/>
      <c r="B297" s="43"/>
      <c r="C297" s="43"/>
      <c r="D297" s="43"/>
      <c r="E297" s="179"/>
      <c r="F297" s="179"/>
      <c r="G297" s="150"/>
      <c r="H297" s="150"/>
      <c r="I297" s="151"/>
      <c r="J297" s="151"/>
      <c r="K297" s="153"/>
      <c r="L297" s="153"/>
      <c r="M297" s="151"/>
      <c r="N297" s="151"/>
      <c r="O297" s="142"/>
      <c r="P297" s="142"/>
      <c r="Q297" s="162"/>
      <c r="R297" s="162"/>
      <c r="S297" s="162"/>
      <c r="T297" s="145"/>
      <c r="U297" s="168"/>
      <c r="Z297" s="145"/>
      <c r="AA297" s="170"/>
      <c r="AB297" s="172"/>
      <c r="AF297" s="145"/>
      <c r="AG297" s="170"/>
    </row>
    <row r="298" spans="1:33" ht="13.2">
      <c r="A298" s="43"/>
      <c r="B298" s="43"/>
      <c r="C298" s="43"/>
      <c r="D298" s="43"/>
      <c r="E298" s="179"/>
      <c r="F298" s="179"/>
      <c r="G298" s="150"/>
      <c r="H298" s="150"/>
      <c r="I298" s="151"/>
      <c r="J298" s="151"/>
      <c r="K298" s="153"/>
      <c r="L298" s="153"/>
      <c r="M298" s="151"/>
      <c r="N298" s="151"/>
      <c r="O298" s="142"/>
      <c r="P298" s="142"/>
      <c r="Q298" s="157"/>
      <c r="R298" s="157"/>
      <c r="S298" s="157"/>
      <c r="T298" s="145"/>
      <c r="U298" s="174"/>
      <c r="Z298" s="145"/>
      <c r="AA298" s="158"/>
      <c r="AB298" s="177"/>
      <c r="AF298" s="145"/>
      <c r="AG298" s="158"/>
    </row>
    <row r="299" spans="1:33" ht="13.2">
      <c r="A299" s="43"/>
      <c r="B299" s="43"/>
      <c r="C299" s="43"/>
      <c r="D299" s="43"/>
      <c r="E299" s="179"/>
      <c r="F299" s="179"/>
      <c r="G299" s="150"/>
      <c r="H299" s="150"/>
      <c r="I299" s="151"/>
      <c r="J299" s="151"/>
      <c r="K299" s="153"/>
      <c r="L299" s="153"/>
      <c r="M299" s="151"/>
      <c r="N299" s="151"/>
      <c r="O299" s="142"/>
      <c r="P299" s="142"/>
      <c r="Q299" s="162"/>
      <c r="R299" s="162"/>
      <c r="S299" s="162"/>
      <c r="T299" s="145"/>
      <c r="U299" s="168"/>
      <c r="Z299" s="145"/>
      <c r="AA299" s="170"/>
      <c r="AB299" s="172"/>
      <c r="AF299" s="145"/>
      <c r="AG299" s="170"/>
    </row>
    <row r="300" spans="1:33" ht="13.2">
      <c r="A300" s="43"/>
      <c r="B300" s="43"/>
      <c r="C300" s="43"/>
      <c r="D300" s="43"/>
      <c r="E300" s="179"/>
      <c r="F300" s="179"/>
      <c r="G300" s="150"/>
      <c r="H300" s="150"/>
      <c r="I300" s="151"/>
      <c r="J300" s="151"/>
      <c r="K300" s="153"/>
      <c r="L300" s="153"/>
      <c r="M300" s="151"/>
      <c r="N300" s="151"/>
      <c r="O300" s="142"/>
      <c r="P300" s="142"/>
      <c r="Q300" s="157"/>
      <c r="R300" s="157"/>
      <c r="S300" s="157"/>
      <c r="T300" s="145"/>
      <c r="U300" s="174"/>
      <c r="Z300" s="145"/>
      <c r="AA300" s="158"/>
      <c r="AB300" s="177"/>
      <c r="AF300" s="145"/>
      <c r="AG300" s="158"/>
    </row>
    <row r="301" spans="1:33" ht="13.2">
      <c r="A301" s="43"/>
      <c r="B301" s="43"/>
      <c r="C301" s="43"/>
      <c r="D301" s="43"/>
      <c r="E301" s="179"/>
      <c r="F301" s="179"/>
      <c r="G301" s="150"/>
      <c r="H301" s="150"/>
      <c r="I301" s="151"/>
      <c r="J301" s="151"/>
      <c r="K301" s="153"/>
      <c r="L301" s="153"/>
      <c r="M301" s="151"/>
      <c r="N301" s="151"/>
      <c r="O301" s="142"/>
      <c r="P301" s="142"/>
      <c r="Q301" s="162"/>
      <c r="R301" s="162"/>
      <c r="S301" s="162"/>
      <c r="T301" s="145"/>
      <c r="U301" s="168"/>
      <c r="Z301" s="145"/>
      <c r="AA301" s="170"/>
      <c r="AB301" s="172"/>
      <c r="AF301" s="145"/>
      <c r="AG301" s="170"/>
    </row>
    <row r="302" spans="1:33" ht="13.2">
      <c r="A302" s="43"/>
      <c r="B302" s="43"/>
      <c r="C302" s="43"/>
      <c r="D302" s="43"/>
      <c r="E302" s="179"/>
      <c r="F302" s="179"/>
      <c r="G302" s="150"/>
      <c r="H302" s="150"/>
      <c r="I302" s="151"/>
      <c r="J302" s="151"/>
      <c r="K302" s="153"/>
      <c r="L302" s="153"/>
      <c r="M302" s="151"/>
      <c r="N302" s="151"/>
      <c r="O302" s="142"/>
      <c r="P302" s="142"/>
      <c r="Q302" s="157"/>
      <c r="R302" s="157"/>
      <c r="S302" s="157"/>
      <c r="T302" s="145"/>
      <c r="U302" s="174"/>
      <c r="Z302" s="145"/>
      <c r="AA302" s="158"/>
      <c r="AB302" s="177"/>
      <c r="AF302" s="145"/>
      <c r="AG302" s="158"/>
    </row>
    <row r="303" spans="1:33" ht="13.2">
      <c r="A303" s="43"/>
      <c r="B303" s="43"/>
      <c r="C303" s="43"/>
      <c r="D303" s="43"/>
      <c r="E303" s="179"/>
      <c r="F303" s="179"/>
      <c r="G303" s="150"/>
      <c r="H303" s="150"/>
      <c r="I303" s="151"/>
      <c r="J303" s="151"/>
      <c r="K303" s="153"/>
      <c r="L303" s="153"/>
      <c r="M303" s="151"/>
      <c r="N303" s="151"/>
      <c r="O303" s="142"/>
      <c r="P303" s="142"/>
      <c r="Q303" s="162"/>
      <c r="R303" s="162"/>
      <c r="S303" s="162"/>
      <c r="T303" s="145"/>
      <c r="U303" s="168"/>
      <c r="Z303" s="145"/>
      <c r="AA303" s="170"/>
      <c r="AB303" s="172"/>
      <c r="AF303" s="145"/>
      <c r="AG303" s="170"/>
    </row>
    <row r="304" spans="1:33" ht="13.2">
      <c r="A304" s="43"/>
      <c r="B304" s="43"/>
      <c r="C304" s="43"/>
      <c r="D304" s="43"/>
      <c r="E304" s="179"/>
      <c r="F304" s="179"/>
      <c r="G304" s="150"/>
      <c r="H304" s="150"/>
      <c r="I304" s="151"/>
      <c r="J304" s="151"/>
      <c r="K304" s="153"/>
      <c r="L304" s="153"/>
      <c r="M304" s="151"/>
      <c r="N304" s="151"/>
      <c r="O304" s="142"/>
      <c r="P304" s="142"/>
      <c r="Q304" s="157"/>
      <c r="R304" s="157"/>
      <c r="S304" s="157"/>
      <c r="T304" s="145"/>
      <c r="U304" s="174"/>
      <c r="Z304" s="145"/>
      <c r="AA304" s="158"/>
      <c r="AB304" s="177"/>
      <c r="AF304" s="145"/>
      <c r="AG304" s="158"/>
    </row>
    <row r="305" spans="1:33" ht="13.2">
      <c r="A305" s="43"/>
      <c r="B305" s="43"/>
      <c r="C305" s="43"/>
      <c r="D305" s="43"/>
      <c r="E305" s="179"/>
      <c r="F305" s="179"/>
      <c r="G305" s="150"/>
      <c r="H305" s="150"/>
      <c r="I305" s="151"/>
      <c r="J305" s="151"/>
      <c r="K305" s="153"/>
      <c r="L305" s="153"/>
      <c r="M305" s="151"/>
      <c r="N305" s="151"/>
      <c r="O305" s="142"/>
      <c r="P305" s="142"/>
      <c r="Q305" s="162"/>
      <c r="R305" s="162"/>
      <c r="S305" s="162"/>
      <c r="T305" s="145"/>
      <c r="U305" s="168"/>
      <c r="Z305" s="145"/>
      <c r="AA305" s="170"/>
      <c r="AB305" s="172"/>
      <c r="AF305" s="145"/>
      <c r="AG305" s="170"/>
    </row>
    <row r="306" spans="1:33" ht="13.2">
      <c r="A306" s="43"/>
      <c r="B306" s="43"/>
      <c r="C306" s="43"/>
      <c r="D306" s="43"/>
      <c r="E306" s="179"/>
      <c r="F306" s="179"/>
      <c r="G306" s="150"/>
      <c r="H306" s="150"/>
      <c r="I306" s="151"/>
      <c r="J306" s="151"/>
      <c r="K306" s="153"/>
      <c r="L306" s="153"/>
      <c r="M306" s="151"/>
      <c r="N306" s="151"/>
      <c r="O306" s="142"/>
      <c r="P306" s="142"/>
      <c r="Q306" s="157"/>
      <c r="R306" s="157"/>
      <c r="S306" s="157"/>
      <c r="T306" s="145"/>
      <c r="U306" s="174"/>
      <c r="Z306" s="145"/>
      <c r="AA306" s="158"/>
      <c r="AB306" s="177"/>
      <c r="AF306" s="145"/>
      <c r="AG306" s="158"/>
    </row>
    <row r="307" spans="1:33" ht="13.2">
      <c r="A307" s="43"/>
      <c r="B307" s="43"/>
      <c r="C307" s="43"/>
      <c r="D307" s="43"/>
      <c r="E307" s="179"/>
      <c r="F307" s="179"/>
      <c r="G307" s="150"/>
      <c r="H307" s="150"/>
      <c r="I307" s="151"/>
      <c r="J307" s="151"/>
      <c r="K307" s="153"/>
      <c r="L307" s="153"/>
      <c r="M307" s="151"/>
      <c r="N307" s="151"/>
      <c r="O307" s="142"/>
      <c r="P307" s="142"/>
      <c r="Q307" s="162"/>
      <c r="R307" s="162"/>
      <c r="S307" s="162"/>
      <c r="T307" s="145"/>
      <c r="U307" s="168"/>
      <c r="Z307" s="145"/>
      <c r="AA307" s="170"/>
      <c r="AB307" s="172"/>
      <c r="AF307" s="145"/>
      <c r="AG307" s="170"/>
    </row>
    <row r="308" spans="1:33" ht="13.2">
      <c r="A308" s="43"/>
      <c r="B308" s="43"/>
      <c r="C308" s="43"/>
      <c r="D308" s="43"/>
      <c r="E308" s="179"/>
      <c r="F308" s="179"/>
      <c r="G308" s="150"/>
      <c r="H308" s="150"/>
      <c r="I308" s="151"/>
      <c r="J308" s="151"/>
      <c r="K308" s="153"/>
      <c r="L308" s="153"/>
      <c r="M308" s="151"/>
      <c r="N308" s="151"/>
      <c r="O308" s="142"/>
      <c r="P308" s="142"/>
      <c r="Q308" s="157"/>
      <c r="R308" s="157"/>
      <c r="S308" s="157"/>
      <c r="T308" s="145"/>
      <c r="U308" s="174"/>
      <c r="Z308" s="145"/>
      <c r="AA308" s="158"/>
      <c r="AB308" s="177"/>
      <c r="AF308" s="145"/>
      <c r="AG308" s="158"/>
    </row>
    <row r="309" spans="1:33" ht="13.2">
      <c r="A309" s="43"/>
      <c r="B309" s="43"/>
      <c r="C309" s="43"/>
      <c r="D309" s="43"/>
      <c r="E309" s="179"/>
      <c r="F309" s="179"/>
      <c r="G309" s="150"/>
      <c r="H309" s="150"/>
      <c r="I309" s="151"/>
      <c r="J309" s="151"/>
      <c r="K309" s="153"/>
      <c r="L309" s="153"/>
      <c r="M309" s="151"/>
      <c r="N309" s="151"/>
      <c r="O309" s="142"/>
      <c r="P309" s="142"/>
      <c r="Q309" s="162"/>
      <c r="R309" s="162"/>
      <c r="S309" s="162"/>
      <c r="T309" s="145"/>
      <c r="U309" s="168"/>
      <c r="Z309" s="145"/>
      <c r="AA309" s="170"/>
      <c r="AB309" s="172"/>
      <c r="AF309" s="145"/>
      <c r="AG309" s="170"/>
    </row>
    <row r="310" spans="1:33" ht="13.2">
      <c r="A310" s="43"/>
      <c r="B310" s="43"/>
      <c r="C310" s="43"/>
      <c r="D310" s="43"/>
      <c r="E310" s="179"/>
      <c r="F310" s="179"/>
      <c r="G310" s="150"/>
      <c r="H310" s="150"/>
      <c r="I310" s="151"/>
      <c r="J310" s="151"/>
      <c r="K310" s="153"/>
      <c r="L310" s="153"/>
      <c r="M310" s="151"/>
      <c r="N310" s="151"/>
      <c r="O310" s="142"/>
      <c r="P310" s="142"/>
      <c r="Q310" s="157"/>
      <c r="R310" s="157"/>
      <c r="S310" s="157"/>
      <c r="T310" s="145"/>
      <c r="U310" s="174"/>
      <c r="Z310" s="145"/>
      <c r="AA310" s="158"/>
      <c r="AB310" s="177"/>
      <c r="AF310" s="145"/>
      <c r="AG310" s="158"/>
    </row>
    <row r="311" spans="1:33" ht="13.2">
      <c r="A311" s="43"/>
      <c r="B311" s="43"/>
      <c r="C311" s="43"/>
      <c r="D311" s="43"/>
      <c r="E311" s="179"/>
      <c r="F311" s="179"/>
      <c r="G311" s="150"/>
      <c r="H311" s="150"/>
      <c r="I311" s="151"/>
      <c r="J311" s="151"/>
      <c r="K311" s="153"/>
      <c r="L311" s="153"/>
      <c r="M311" s="151"/>
      <c r="N311" s="151"/>
      <c r="O311" s="142"/>
      <c r="P311" s="142"/>
      <c r="Q311" s="162"/>
      <c r="R311" s="162"/>
      <c r="S311" s="162"/>
      <c r="T311" s="145"/>
      <c r="U311" s="168"/>
      <c r="Z311" s="145"/>
      <c r="AA311" s="170"/>
      <c r="AB311" s="172"/>
      <c r="AF311" s="145"/>
      <c r="AG311" s="170"/>
    </row>
    <row r="312" spans="1:33" ht="13.2">
      <c r="A312" s="43"/>
      <c r="B312" s="43"/>
      <c r="C312" s="43"/>
      <c r="D312" s="43"/>
      <c r="E312" s="179"/>
      <c r="F312" s="179"/>
      <c r="G312" s="150"/>
      <c r="H312" s="150"/>
      <c r="I312" s="151"/>
      <c r="J312" s="151"/>
      <c r="K312" s="153"/>
      <c r="L312" s="153"/>
      <c r="M312" s="151"/>
      <c r="N312" s="151"/>
      <c r="O312" s="142"/>
      <c r="P312" s="142"/>
      <c r="Q312" s="157"/>
      <c r="R312" s="157"/>
      <c r="S312" s="157"/>
      <c r="T312" s="145"/>
      <c r="U312" s="174"/>
      <c r="Z312" s="145"/>
      <c r="AA312" s="158"/>
      <c r="AB312" s="177"/>
      <c r="AF312" s="145"/>
      <c r="AG312" s="158"/>
    </row>
    <row r="313" spans="1:33" ht="13.2">
      <c r="A313" s="43"/>
      <c r="B313" s="43"/>
      <c r="C313" s="43"/>
      <c r="D313" s="43"/>
      <c r="E313" s="179"/>
      <c r="F313" s="179"/>
      <c r="G313" s="150"/>
      <c r="H313" s="150"/>
      <c r="I313" s="151"/>
      <c r="J313" s="151"/>
      <c r="K313" s="153"/>
      <c r="L313" s="153"/>
      <c r="M313" s="151"/>
      <c r="N313" s="151"/>
      <c r="O313" s="142"/>
      <c r="P313" s="142"/>
      <c r="Q313" s="162"/>
      <c r="R313" s="162"/>
      <c r="S313" s="162"/>
      <c r="T313" s="145"/>
      <c r="U313" s="168"/>
      <c r="Z313" s="145"/>
      <c r="AA313" s="170"/>
      <c r="AB313" s="172"/>
      <c r="AF313" s="145"/>
      <c r="AG313" s="170"/>
    </row>
    <row r="314" spans="1:33" ht="13.2">
      <c r="A314" s="43"/>
      <c r="B314" s="43"/>
      <c r="C314" s="43"/>
      <c r="D314" s="43"/>
      <c r="E314" s="179"/>
      <c r="F314" s="179"/>
      <c r="G314" s="150"/>
      <c r="H314" s="150"/>
      <c r="I314" s="151"/>
      <c r="J314" s="151"/>
      <c r="K314" s="153"/>
      <c r="L314" s="153"/>
      <c r="M314" s="151"/>
      <c r="N314" s="151"/>
      <c r="O314" s="142"/>
      <c r="P314" s="142"/>
      <c r="Q314" s="157"/>
      <c r="R314" s="157"/>
      <c r="S314" s="157"/>
      <c r="T314" s="145"/>
      <c r="U314" s="174"/>
      <c r="Z314" s="145"/>
      <c r="AA314" s="158"/>
      <c r="AB314" s="177"/>
      <c r="AF314" s="145"/>
      <c r="AG314" s="158"/>
    </row>
    <row r="315" spans="1:33" ht="13.2">
      <c r="A315" s="43"/>
      <c r="B315" s="43"/>
      <c r="C315" s="43"/>
      <c r="D315" s="43"/>
      <c r="E315" s="179"/>
      <c r="F315" s="179"/>
      <c r="G315" s="150"/>
      <c r="H315" s="150"/>
      <c r="I315" s="151"/>
      <c r="J315" s="151"/>
      <c r="K315" s="153"/>
      <c r="L315" s="153"/>
      <c r="M315" s="151"/>
      <c r="N315" s="151"/>
      <c r="O315" s="142"/>
      <c r="P315" s="142"/>
      <c r="Q315" s="162"/>
      <c r="R315" s="162"/>
      <c r="S315" s="162"/>
      <c r="T315" s="145"/>
      <c r="U315" s="168"/>
      <c r="Z315" s="145"/>
      <c r="AA315" s="170"/>
      <c r="AB315" s="172"/>
      <c r="AF315" s="145"/>
      <c r="AG315" s="170"/>
    </row>
    <row r="316" spans="1:33" ht="13.2">
      <c r="A316" s="43"/>
      <c r="B316" s="43"/>
      <c r="C316" s="43"/>
      <c r="D316" s="43"/>
      <c r="E316" s="179"/>
      <c r="F316" s="179"/>
      <c r="G316" s="150"/>
      <c r="H316" s="150"/>
      <c r="I316" s="151"/>
      <c r="J316" s="151"/>
      <c r="K316" s="153"/>
      <c r="L316" s="153"/>
      <c r="M316" s="151"/>
      <c r="N316" s="151"/>
      <c r="O316" s="142"/>
      <c r="P316" s="142"/>
      <c r="Q316" s="157"/>
      <c r="R316" s="157"/>
      <c r="S316" s="157"/>
      <c r="T316" s="145"/>
      <c r="U316" s="174"/>
      <c r="Z316" s="145"/>
      <c r="AA316" s="158"/>
      <c r="AB316" s="177"/>
      <c r="AF316" s="145"/>
      <c r="AG316" s="158"/>
    </row>
    <row r="317" spans="1:33" ht="13.2">
      <c r="A317" s="43"/>
      <c r="B317" s="43"/>
      <c r="C317" s="43"/>
      <c r="D317" s="43"/>
      <c r="E317" s="179"/>
      <c r="F317" s="179"/>
      <c r="G317" s="150"/>
      <c r="H317" s="150"/>
      <c r="I317" s="151"/>
      <c r="J317" s="151"/>
      <c r="K317" s="153"/>
      <c r="L317" s="153"/>
      <c r="M317" s="151"/>
      <c r="N317" s="151"/>
      <c r="O317" s="142"/>
      <c r="P317" s="142"/>
      <c r="Q317" s="162"/>
      <c r="R317" s="162"/>
      <c r="S317" s="162"/>
      <c r="T317" s="145"/>
      <c r="U317" s="168"/>
      <c r="Z317" s="145"/>
      <c r="AA317" s="170"/>
      <c r="AB317" s="172"/>
      <c r="AF317" s="145"/>
      <c r="AG317" s="170"/>
    </row>
    <row r="318" spans="1:33" ht="13.2">
      <c r="A318" s="43"/>
      <c r="B318" s="43"/>
      <c r="C318" s="43"/>
      <c r="D318" s="43"/>
      <c r="E318" s="179"/>
      <c r="F318" s="179"/>
      <c r="G318" s="150"/>
      <c r="H318" s="150"/>
      <c r="I318" s="151"/>
      <c r="J318" s="151"/>
      <c r="K318" s="153"/>
      <c r="L318" s="153"/>
      <c r="M318" s="151"/>
      <c r="N318" s="151"/>
      <c r="O318" s="142"/>
      <c r="P318" s="142"/>
      <c r="Q318" s="157"/>
      <c r="R318" s="157"/>
      <c r="S318" s="157"/>
      <c r="T318" s="145"/>
      <c r="U318" s="174"/>
      <c r="Z318" s="145"/>
      <c r="AA318" s="158"/>
      <c r="AB318" s="177"/>
      <c r="AF318" s="145"/>
      <c r="AG318" s="158"/>
    </row>
    <row r="319" spans="1:33" ht="13.2">
      <c r="A319" s="43"/>
      <c r="B319" s="43"/>
      <c r="C319" s="43"/>
      <c r="D319" s="43"/>
      <c r="E319" s="179"/>
      <c r="F319" s="179"/>
      <c r="G319" s="150"/>
      <c r="H319" s="150"/>
      <c r="I319" s="151"/>
      <c r="J319" s="151"/>
      <c r="K319" s="153"/>
      <c r="L319" s="153"/>
      <c r="M319" s="151"/>
      <c r="N319" s="151"/>
      <c r="O319" s="142"/>
      <c r="P319" s="142"/>
      <c r="Q319" s="162"/>
      <c r="R319" s="162"/>
      <c r="S319" s="162"/>
      <c r="T319" s="145"/>
      <c r="U319" s="168"/>
      <c r="Z319" s="145"/>
      <c r="AA319" s="170"/>
      <c r="AB319" s="172"/>
      <c r="AF319" s="145"/>
      <c r="AG319" s="170"/>
    </row>
    <row r="320" spans="1:33" ht="13.2">
      <c r="A320" s="43"/>
      <c r="B320" s="43"/>
      <c r="C320" s="43"/>
      <c r="D320" s="43"/>
      <c r="E320" s="179"/>
      <c r="F320" s="179"/>
      <c r="G320" s="150"/>
      <c r="H320" s="150"/>
      <c r="I320" s="151"/>
      <c r="J320" s="151"/>
      <c r="K320" s="153"/>
      <c r="L320" s="153"/>
      <c r="M320" s="151"/>
      <c r="N320" s="151"/>
      <c r="O320" s="142"/>
      <c r="P320" s="142"/>
      <c r="Q320" s="157"/>
      <c r="R320" s="157"/>
      <c r="S320" s="157"/>
      <c r="T320" s="145"/>
      <c r="U320" s="174"/>
      <c r="Z320" s="145"/>
      <c r="AA320" s="158"/>
      <c r="AB320" s="177"/>
      <c r="AF320" s="145"/>
      <c r="AG320" s="158"/>
    </row>
    <row r="321" spans="1:33" ht="13.2">
      <c r="A321" s="43"/>
      <c r="B321" s="43"/>
      <c r="C321" s="43"/>
      <c r="D321" s="43"/>
      <c r="E321" s="179"/>
      <c r="F321" s="179"/>
      <c r="G321" s="150"/>
      <c r="H321" s="150"/>
      <c r="I321" s="151"/>
      <c r="J321" s="151"/>
      <c r="K321" s="153"/>
      <c r="L321" s="153"/>
      <c r="M321" s="151"/>
      <c r="N321" s="151"/>
      <c r="O321" s="142"/>
      <c r="P321" s="142"/>
      <c r="Q321" s="162"/>
      <c r="R321" s="162"/>
      <c r="S321" s="162"/>
      <c r="T321" s="145"/>
      <c r="U321" s="168"/>
      <c r="Z321" s="145"/>
      <c r="AA321" s="170"/>
      <c r="AB321" s="172"/>
      <c r="AF321" s="145"/>
      <c r="AG321" s="170"/>
    </row>
    <row r="322" spans="1:33" ht="13.2">
      <c r="A322" s="43"/>
      <c r="B322" s="43"/>
      <c r="C322" s="43"/>
      <c r="D322" s="43"/>
      <c r="E322" s="179"/>
      <c r="F322" s="179"/>
      <c r="G322" s="150"/>
      <c r="H322" s="150"/>
      <c r="I322" s="151"/>
      <c r="J322" s="151"/>
      <c r="K322" s="153"/>
      <c r="L322" s="153"/>
      <c r="M322" s="151"/>
      <c r="N322" s="151"/>
      <c r="O322" s="142"/>
      <c r="P322" s="142"/>
      <c r="Q322" s="157"/>
      <c r="R322" s="157"/>
      <c r="S322" s="157"/>
      <c r="T322" s="145"/>
      <c r="U322" s="174"/>
      <c r="Z322" s="145"/>
      <c r="AA322" s="158"/>
      <c r="AB322" s="177"/>
      <c r="AF322" s="145"/>
      <c r="AG322" s="158"/>
    </row>
    <row r="323" spans="1:33" ht="13.2">
      <c r="A323" s="43"/>
      <c r="B323" s="43"/>
      <c r="C323" s="43"/>
      <c r="D323" s="43"/>
      <c r="E323" s="179"/>
      <c r="F323" s="179"/>
      <c r="G323" s="150"/>
      <c r="H323" s="150"/>
      <c r="I323" s="151"/>
      <c r="J323" s="151"/>
      <c r="K323" s="153"/>
      <c r="L323" s="153"/>
      <c r="M323" s="151"/>
      <c r="N323" s="151"/>
      <c r="O323" s="142"/>
      <c r="P323" s="142"/>
      <c r="Q323" s="162"/>
      <c r="R323" s="162"/>
      <c r="S323" s="162"/>
      <c r="T323" s="145"/>
      <c r="U323" s="168"/>
      <c r="Z323" s="145"/>
      <c r="AA323" s="170"/>
      <c r="AB323" s="172"/>
      <c r="AF323" s="145"/>
      <c r="AG323" s="170"/>
    </row>
    <row r="324" spans="1:33" ht="13.2">
      <c r="A324" s="43"/>
      <c r="B324" s="43"/>
      <c r="C324" s="43"/>
      <c r="D324" s="43"/>
      <c r="E324" s="179"/>
      <c r="F324" s="179"/>
      <c r="G324" s="150"/>
      <c r="H324" s="150"/>
      <c r="I324" s="151"/>
      <c r="J324" s="151"/>
      <c r="K324" s="153"/>
      <c r="L324" s="153"/>
      <c r="M324" s="151"/>
      <c r="N324" s="151"/>
      <c r="O324" s="142"/>
      <c r="P324" s="142"/>
      <c r="Q324" s="157"/>
      <c r="R324" s="157"/>
      <c r="S324" s="157"/>
      <c r="T324" s="145"/>
      <c r="U324" s="174"/>
      <c r="Z324" s="145"/>
      <c r="AA324" s="158"/>
      <c r="AB324" s="177"/>
      <c r="AF324" s="145"/>
      <c r="AG324" s="158"/>
    </row>
    <row r="325" spans="1:33" ht="13.2">
      <c r="A325" s="43"/>
      <c r="B325" s="43"/>
      <c r="C325" s="43"/>
      <c r="D325" s="43"/>
      <c r="E325" s="179"/>
      <c r="F325" s="179"/>
      <c r="G325" s="150"/>
      <c r="H325" s="150"/>
      <c r="I325" s="151"/>
      <c r="J325" s="151"/>
      <c r="K325" s="153"/>
      <c r="L325" s="153"/>
      <c r="M325" s="151"/>
      <c r="N325" s="151"/>
      <c r="O325" s="142"/>
      <c r="P325" s="142"/>
      <c r="Q325" s="162"/>
      <c r="R325" s="162"/>
      <c r="S325" s="162"/>
      <c r="T325" s="145"/>
      <c r="U325" s="168"/>
      <c r="Z325" s="145"/>
      <c r="AA325" s="170"/>
      <c r="AB325" s="172"/>
      <c r="AF325" s="145"/>
      <c r="AG325" s="170"/>
    </row>
    <row r="326" spans="1:33" ht="13.2">
      <c r="A326" s="43"/>
      <c r="B326" s="43"/>
      <c r="C326" s="43"/>
      <c r="D326" s="43"/>
      <c r="E326" s="179"/>
      <c r="F326" s="179"/>
      <c r="G326" s="150"/>
      <c r="H326" s="150"/>
      <c r="I326" s="151"/>
      <c r="J326" s="151"/>
      <c r="K326" s="153"/>
      <c r="L326" s="153"/>
      <c r="M326" s="151"/>
      <c r="N326" s="151"/>
      <c r="O326" s="142"/>
      <c r="P326" s="142"/>
      <c r="Q326" s="157"/>
      <c r="R326" s="157"/>
      <c r="S326" s="157"/>
      <c r="T326" s="145"/>
      <c r="U326" s="174"/>
      <c r="Z326" s="145"/>
      <c r="AA326" s="158"/>
      <c r="AB326" s="177"/>
      <c r="AF326" s="145"/>
      <c r="AG326" s="158"/>
    </row>
    <row r="327" spans="1:33" ht="13.2">
      <c r="A327" s="43"/>
      <c r="B327" s="43"/>
      <c r="C327" s="43"/>
      <c r="D327" s="43"/>
      <c r="E327" s="179"/>
      <c r="F327" s="179"/>
      <c r="G327" s="150"/>
      <c r="H327" s="150"/>
      <c r="I327" s="151"/>
      <c r="J327" s="151"/>
      <c r="K327" s="153"/>
      <c r="L327" s="153"/>
      <c r="M327" s="151"/>
      <c r="N327" s="151"/>
      <c r="O327" s="142"/>
      <c r="P327" s="142"/>
      <c r="Q327" s="162"/>
      <c r="R327" s="162"/>
      <c r="S327" s="162"/>
      <c r="T327" s="145"/>
      <c r="U327" s="168"/>
      <c r="Z327" s="145"/>
      <c r="AA327" s="170"/>
      <c r="AB327" s="172"/>
      <c r="AF327" s="145"/>
      <c r="AG327" s="170"/>
    </row>
    <row r="328" spans="1:33" ht="13.2">
      <c r="A328" s="43"/>
      <c r="B328" s="43"/>
      <c r="C328" s="43"/>
      <c r="D328" s="43"/>
      <c r="E328" s="179"/>
      <c r="F328" s="179"/>
      <c r="G328" s="150"/>
      <c r="H328" s="150"/>
      <c r="I328" s="151"/>
      <c r="J328" s="151"/>
      <c r="K328" s="153"/>
      <c r="L328" s="153"/>
      <c r="M328" s="151"/>
      <c r="N328" s="151"/>
      <c r="O328" s="142"/>
      <c r="P328" s="142"/>
      <c r="Q328" s="157"/>
      <c r="R328" s="157"/>
      <c r="S328" s="157"/>
      <c r="T328" s="145"/>
      <c r="U328" s="174"/>
      <c r="Z328" s="145"/>
      <c r="AA328" s="158"/>
      <c r="AB328" s="177"/>
      <c r="AF328" s="145"/>
      <c r="AG328" s="158"/>
    </row>
    <row r="329" spans="1:33" ht="13.2">
      <c r="A329" s="43"/>
      <c r="B329" s="43"/>
      <c r="C329" s="43"/>
      <c r="D329" s="43"/>
      <c r="E329" s="179"/>
      <c r="F329" s="179"/>
      <c r="G329" s="150"/>
      <c r="H329" s="150"/>
      <c r="I329" s="151"/>
      <c r="J329" s="151"/>
      <c r="K329" s="153"/>
      <c r="L329" s="153"/>
      <c r="M329" s="151"/>
      <c r="N329" s="151"/>
      <c r="O329" s="142"/>
      <c r="P329" s="142"/>
      <c r="Q329" s="162"/>
      <c r="R329" s="162"/>
      <c r="S329" s="162"/>
      <c r="T329" s="145"/>
      <c r="U329" s="168"/>
      <c r="Z329" s="145"/>
      <c r="AA329" s="170"/>
      <c r="AB329" s="172"/>
      <c r="AF329" s="145"/>
      <c r="AG329" s="170"/>
    </row>
    <row r="330" spans="1:33" ht="13.2">
      <c r="A330" s="43"/>
      <c r="B330" s="43"/>
      <c r="C330" s="43"/>
      <c r="D330" s="43"/>
      <c r="E330" s="179"/>
      <c r="F330" s="179"/>
      <c r="G330" s="150"/>
      <c r="H330" s="150"/>
      <c r="I330" s="151"/>
      <c r="J330" s="151"/>
      <c r="K330" s="153"/>
      <c r="L330" s="153"/>
      <c r="M330" s="151"/>
      <c r="N330" s="151"/>
      <c r="O330" s="142"/>
      <c r="P330" s="142"/>
      <c r="Q330" s="157"/>
      <c r="R330" s="157"/>
      <c r="S330" s="157"/>
      <c r="T330" s="145"/>
      <c r="U330" s="174"/>
      <c r="Z330" s="145"/>
      <c r="AA330" s="158"/>
      <c r="AB330" s="177"/>
      <c r="AF330" s="145"/>
      <c r="AG330" s="158"/>
    </row>
    <row r="331" spans="1:33" ht="13.2">
      <c r="A331" s="43"/>
      <c r="B331" s="43"/>
      <c r="C331" s="43"/>
      <c r="D331" s="43"/>
      <c r="E331" s="179"/>
      <c r="F331" s="179"/>
      <c r="G331" s="150"/>
      <c r="H331" s="150"/>
      <c r="I331" s="151"/>
      <c r="J331" s="151"/>
      <c r="K331" s="153"/>
      <c r="L331" s="153"/>
      <c r="M331" s="151"/>
      <c r="N331" s="151"/>
      <c r="O331" s="142"/>
      <c r="P331" s="142"/>
      <c r="Q331" s="162"/>
      <c r="R331" s="162"/>
      <c r="S331" s="162"/>
      <c r="T331" s="145"/>
      <c r="U331" s="168"/>
      <c r="Z331" s="145"/>
      <c r="AA331" s="170"/>
      <c r="AB331" s="172"/>
      <c r="AF331" s="145"/>
      <c r="AG331" s="170"/>
    </row>
    <row r="332" spans="1:33" ht="13.2">
      <c r="A332" s="43"/>
      <c r="B332" s="43"/>
      <c r="C332" s="43"/>
      <c r="D332" s="43"/>
      <c r="E332" s="179"/>
      <c r="F332" s="179"/>
      <c r="G332" s="150"/>
      <c r="H332" s="150"/>
      <c r="I332" s="151"/>
      <c r="J332" s="151"/>
      <c r="K332" s="153"/>
      <c r="L332" s="153"/>
      <c r="M332" s="151"/>
      <c r="N332" s="151"/>
      <c r="O332" s="142"/>
      <c r="P332" s="142"/>
      <c r="Q332" s="157"/>
      <c r="R332" s="157"/>
      <c r="S332" s="157"/>
      <c r="T332" s="145"/>
      <c r="U332" s="174"/>
      <c r="Z332" s="145"/>
      <c r="AA332" s="158"/>
      <c r="AB332" s="177"/>
      <c r="AF332" s="145"/>
      <c r="AG332" s="158"/>
    </row>
    <row r="333" spans="1:33" ht="13.2">
      <c r="A333" s="43"/>
      <c r="B333" s="43"/>
      <c r="C333" s="43"/>
      <c r="D333" s="43"/>
      <c r="E333" s="179"/>
      <c r="F333" s="179"/>
      <c r="G333" s="150"/>
      <c r="H333" s="150"/>
      <c r="I333" s="151"/>
      <c r="J333" s="151"/>
      <c r="K333" s="153"/>
      <c r="L333" s="153"/>
      <c r="M333" s="151"/>
      <c r="N333" s="151"/>
      <c r="O333" s="142"/>
      <c r="P333" s="142"/>
      <c r="Q333" s="162"/>
      <c r="R333" s="162"/>
      <c r="S333" s="162"/>
      <c r="T333" s="145"/>
      <c r="U333" s="168"/>
      <c r="Z333" s="145"/>
      <c r="AA333" s="170"/>
      <c r="AB333" s="172"/>
      <c r="AF333" s="145"/>
      <c r="AG333" s="170"/>
    </row>
    <row r="334" spans="1:33" ht="13.2">
      <c r="A334" s="43"/>
      <c r="B334" s="43"/>
      <c r="C334" s="43"/>
      <c r="D334" s="43"/>
      <c r="E334" s="179"/>
      <c r="F334" s="179"/>
      <c r="G334" s="150"/>
      <c r="H334" s="150"/>
      <c r="I334" s="151"/>
      <c r="J334" s="151"/>
      <c r="K334" s="153"/>
      <c r="L334" s="153"/>
      <c r="M334" s="151"/>
      <c r="N334" s="151"/>
      <c r="O334" s="142"/>
      <c r="P334" s="142"/>
      <c r="Q334" s="157"/>
      <c r="R334" s="157"/>
      <c r="S334" s="157"/>
      <c r="T334" s="145"/>
      <c r="U334" s="174"/>
      <c r="Z334" s="145"/>
      <c r="AA334" s="158"/>
      <c r="AB334" s="177"/>
      <c r="AF334" s="145"/>
      <c r="AG334" s="158"/>
    </row>
    <row r="335" spans="1:33" ht="13.2">
      <c r="A335" s="43"/>
      <c r="B335" s="43"/>
      <c r="C335" s="43"/>
      <c r="D335" s="43"/>
      <c r="E335" s="179"/>
      <c r="F335" s="179"/>
      <c r="G335" s="150"/>
      <c r="H335" s="150"/>
      <c r="I335" s="151"/>
      <c r="J335" s="151"/>
      <c r="K335" s="153"/>
      <c r="L335" s="153"/>
      <c r="M335" s="151"/>
      <c r="N335" s="151"/>
      <c r="O335" s="142"/>
      <c r="P335" s="142"/>
      <c r="Q335" s="162"/>
      <c r="R335" s="162"/>
      <c r="S335" s="162"/>
      <c r="T335" s="145"/>
      <c r="U335" s="168"/>
      <c r="Z335" s="145"/>
      <c r="AA335" s="170"/>
      <c r="AB335" s="172"/>
      <c r="AF335" s="145"/>
      <c r="AG335" s="170"/>
    </row>
    <row r="336" spans="1:33" ht="13.2">
      <c r="A336" s="43"/>
      <c r="B336" s="43"/>
      <c r="C336" s="43"/>
      <c r="D336" s="43"/>
      <c r="E336" s="179"/>
      <c r="F336" s="179"/>
      <c r="G336" s="150"/>
      <c r="H336" s="150"/>
      <c r="I336" s="151"/>
      <c r="J336" s="151"/>
      <c r="K336" s="153"/>
      <c r="L336" s="153"/>
      <c r="M336" s="151"/>
      <c r="N336" s="151"/>
      <c r="O336" s="142"/>
      <c r="P336" s="142"/>
      <c r="Q336" s="157"/>
      <c r="R336" s="157"/>
      <c r="S336" s="157"/>
      <c r="T336" s="145"/>
      <c r="U336" s="174"/>
      <c r="Z336" s="145"/>
      <c r="AA336" s="158"/>
      <c r="AB336" s="177"/>
      <c r="AF336" s="145"/>
      <c r="AG336" s="158"/>
    </row>
    <row r="337" spans="1:33" ht="13.2">
      <c r="A337" s="43"/>
      <c r="B337" s="43"/>
      <c r="C337" s="43"/>
      <c r="D337" s="43"/>
      <c r="E337" s="179"/>
      <c r="F337" s="179"/>
      <c r="G337" s="150"/>
      <c r="H337" s="150"/>
      <c r="I337" s="151"/>
      <c r="J337" s="151"/>
      <c r="K337" s="153"/>
      <c r="L337" s="153"/>
      <c r="M337" s="151"/>
      <c r="N337" s="151"/>
      <c r="O337" s="142"/>
      <c r="P337" s="142"/>
      <c r="Q337" s="162"/>
      <c r="R337" s="162"/>
      <c r="S337" s="162"/>
      <c r="T337" s="145"/>
      <c r="U337" s="168"/>
      <c r="Z337" s="145"/>
      <c r="AA337" s="170"/>
      <c r="AB337" s="172"/>
      <c r="AF337" s="145"/>
      <c r="AG337" s="170"/>
    </row>
    <row r="338" spans="1:33" ht="13.2">
      <c r="A338" s="43"/>
      <c r="B338" s="43"/>
      <c r="C338" s="43"/>
      <c r="D338" s="43"/>
      <c r="E338" s="179"/>
      <c r="F338" s="179"/>
      <c r="G338" s="150"/>
      <c r="H338" s="150"/>
      <c r="I338" s="151"/>
      <c r="J338" s="151"/>
      <c r="K338" s="153"/>
      <c r="L338" s="153"/>
      <c r="M338" s="151"/>
      <c r="N338" s="151"/>
      <c r="O338" s="142"/>
      <c r="P338" s="142"/>
      <c r="Q338" s="157"/>
      <c r="R338" s="157"/>
      <c r="S338" s="157"/>
      <c r="T338" s="145"/>
      <c r="U338" s="174"/>
      <c r="Z338" s="145"/>
      <c r="AA338" s="158"/>
      <c r="AB338" s="177"/>
      <c r="AF338" s="145"/>
      <c r="AG338" s="158"/>
    </row>
    <row r="339" spans="1:33" ht="13.2">
      <c r="A339" s="43"/>
      <c r="B339" s="43"/>
      <c r="C339" s="43"/>
      <c r="D339" s="43"/>
      <c r="E339" s="179"/>
      <c r="F339" s="179"/>
      <c r="G339" s="150"/>
      <c r="H339" s="150"/>
      <c r="I339" s="151"/>
      <c r="J339" s="151"/>
      <c r="K339" s="153"/>
      <c r="L339" s="153"/>
      <c r="M339" s="151"/>
      <c r="N339" s="151"/>
      <c r="O339" s="142"/>
      <c r="P339" s="142"/>
      <c r="Q339" s="162"/>
      <c r="R339" s="162"/>
      <c r="S339" s="162"/>
      <c r="T339" s="145"/>
      <c r="U339" s="168"/>
      <c r="Z339" s="145"/>
      <c r="AA339" s="170"/>
      <c r="AB339" s="172"/>
      <c r="AF339" s="145"/>
      <c r="AG339" s="170"/>
    </row>
    <row r="340" spans="1:33" ht="13.2">
      <c r="A340" s="43"/>
      <c r="B340" s="43"/>
      <c r="C340" s="43"/>
      <c r="D340" s="43"/>
      <c r="E340" s="179"/>
      <c r="F340" s="179"/>
      <c r="G340" s="150"/>
      <c r="H340" s="150"/>
      <c r="I340" s="151"/>
      <c r="J340" s="151"/>
      <c r="K340" s="153"/>
      <c r="L340" s="153"/>
      <c r="M340" s="151"/>
      <c r="N340" s="151"/>
      <c r="O340" s="142"/>
      <c r="P340" s="142"/>
      <c r="Q340" s="157"/>
      <c r="R340" s="157"/>
      <c r="S340" s="157"/>
      <c r="T340" s="145"/>
      <c r="U340" s="174"/>
      <c r="Z340" s="145"/>
      <c r="AA340" s="158"/>
      <c r="AB340" s="177"/>
      <c r="AF340" s="145"/>
      <c r="AG340" s="158"/>
    </row>
    <row r="341" spans="1:33" ht="13.2">
      <c r="A341" s="43"/>
      <c r="B341" s="43"/>
      <c r="C341" s="43"/>
      <c r="D341" s="43"/>
      <c r="E341" s="179"/>
      <c r="F341" s="179"/>
      <c r="G341" s="150"/>
      <c r="H341" s="150"/>
      <c r="I341" s="151"/>
      <c r="J341" s="151"/>
      <c r="K341" s="153"/>
      <c r="L341" s="153"/>
      <c r="M341" s="151"/>
      <c r="N341" s="151"/>
      <c r="O341" s="142"/>
      <c r="P341" s="142"/>
      <c r="Q341" s="162"/>
      <c r="R341" s="162"/>
      <c r="S341" s="162"/>
      <c r="T341" s="145"/>
      <c r="U341" s="168"/>
      <c r="Z341" s="145"/>
      <c r="AA341" s="170"/>
      <c r="AB341" s="172"/>
      <c r="AF341" s="145"/>
      <c r="AG341" s="170"/>
    </row>
    <row r="342" spans="1:33" ht="13.2">
      <c r="A342" s="43"/>
      <c r="B342" s="43"/>
      <c r="C342" s="43"/>
      <c r="D342" s="43"/>
      <c r="E342" s="179"/>
      <c r="F342" s="179"/>
      <c r="G342" s="150"/>
      <c r="H342" s="150"/>
      <c r="I342" s="151"/>
      <c r="J342" s="151"/>
      <c r="K342" s="153"/>
      <c r="L342" s="153"/>
      <c r="M342" s="151"/>
      <c r="N342" s="151"/>
      <c r="O342" s="142"/>
      <c r="P342" s="142"/>
      <c r="Q342" s="157"/>
      <c r="R342" s="157"/>
      <c r="S342" s="157"/>
      <c r="T342" s="145"/>
      <c r="U342" s="174"/>
      <c r="Z342" s="145"/>
      <c r="AA342" s="158"/>
      <c r="AB342" s="177"/>
      <c r="AF342" s="145"/>
      <c r="AG342" s="158"/>
    </row>
    <row r="343" spans="1:33" ht="13.2">
      <c r="A343" s="43"/>
      <c r="B343" s="43"/>
      <c r="C343" s="43"/>
      <c r="D343" s="43"/>
      <c r="E343" s="179"/>
      <c r="F343" s="179"/>
      <c r="G343" s="150"/>
      <c r="H343" s="150"/>
      <c r="I343" s="151"/>
      <c r="J343" s="151"/>
      <c r="K343" s="153"/>
      <c r="L343" s="153"/>
      <c r="M343" s="151"/>
      <c r="N343" s="151"/>
      <c r="O343" s="142"/>
      <c r="P343" s="142"/>
      <c r="Q343" s="162"/>
      <c r="R343" s="162"/>
      <c r="S343" s="162"/>
      <c r="T343" s="145"/>
      <c r="U343" s="168"/>
      <c r="Z343" s="145"/>
      <c r="AA343" s="170"/>
      <c r="AB343" s="172"/>
      <c r="AF343" s="145"/>
      <c r="AG343" s="170"/>
    </row>
    <row r="344" spans="1:33" ht="13.2">
      <c r="A344" s="43"/>
      <c r="B344" s="43"/>
      <c r="C344" s="43"/>
      <c r="D344" s="43"/>
      <c r="E344" s="179"/>
      <c r="F344" s="179"/>
      <c r="G344" s="150"/>
      <c r="H344" s="150"/>
      <c r="I344" s="151"/>
      <c r="J344" s="151"/>
      <c r="K344" s="153"/>
      <c r="L344" s="153"/>
      <c r="M344" s="151"/>
      <c r="N344" s="151"/>
      <c r="O344" s="142"/>
      <c r="P344" s="142"/>
      <c r="Q344" s="157"/>
      <c r="R344" s="157"/>
      <c r="S344" s="157"/>
      <c r="T344" s="145"/>
      <c r="U344" s="174"/>
      <c r="Z344" s="145"/>
      <c r="AA344" s="158"/>
      <c r="AB344" s="177"/>
      <c r="AF344" s="145"/>
      <c r="AG344" s="158"/>
    </row>
    <row r="345" spans="1:33" ht="13.2">
      <c r="A345" s="43"/>
      <c r="B345" s="43"/>
      <c r="C345" s="43"/>
      <c r="D345" s="43"/>
      <c r="E345" s="179"/>
      <c r="F345" s="179"/>
      <c r="G345" s="150"/>
      <c r="H345" s="150"/>
      <c r="I345" s="151"/>
      <c r="J345" s="151"/>
      <c r="K345" s="153"/>
      <c r="L345" s="153"/>
      <c r="M345" s="151"/>
      <c r="N345" s="151"/>
      <c r="O345" s="142"/>
      <c r="P345" s="142"/>
      <c r="Q345" s="162"/>
      <c r="R345" s="162"/>
      <c r="S345" s="162"/>
      <c r="T345" s="145"/>
      <c r="U345" s="168"/>
      <c r="Z345" s="145"/>
      <c r="AA345" s="170"/>
      <c r="AB345" s="172"/>
      <c r="AF345" s="145"/>
      <c r="AG345" s="170"/>
    </row>
    <row r="346" spans="1:33" ht="13.2">
      <c r="A346" s="43"/>
      <c r="B346" s="43"/>
      <c r="C346" s="43"/>
      <c r="D346" s="43"/>
      <c r="E346" s="179"/>
      <c r="F346" s="179"/>
      <c r="G346" s="150"/>
      <c r="H346" s="150"/>
      <c r="I346" s="151"/>
      <c r="J346" s="151"/>
      <c r="K346" s="153"/>
      <c r="L346" s="153"/>
      <c r="M346" s="151"/>
      <c r="N346" s="151"/>
      <c r="O346" s="142"/>
      <c r="P346" s="142"/>
      <c r="Q346" s="157"/>
      <c r="R346" s="157"/>
      <c r="S346" s="157"/>
      <c r="T346" s="145"/>
      <c r="U346" s="174"/>
      <c r="Z346" s="145"/>
      <c r="AA346" s="158"/>
      <c r="AB346" s="177"/>
      <c r="AF346" s="145"/>
      <c r="AG346" s="158"/>
    </row>
    <row r="347" spans="1:33" ht="13.2">
      <c r="A347" s="43"/>
      <c r="B347" s="43"/>
      <c r="C347" s="43"/>
      <c r="D347" s="43"/>
      <c r="E347" s="179"/>
      <c r="F347" s="179"/>
      <c r="G347" s="150"/>
      <c r="H347" s="150"/>
      <c r="I347" s="151"/>
      <c r="J347" s="151"/>
      <c r="K347" s="153"/>
      <c r="L347" s="153"/>
      <c r="M347" s="151"/>
      <c r="N347" s="151"/>
      <c r="O347" s="142"/>
      <c r="P347" s="142"/>
      <c r="Q347" s="162"/>
      <c r="R347" s="162"/>
      <c r="S347" s="162"/>
      <c r="T347" s="145"/>
      <c r="U347" s="168"/>
      <c r="Z347" s="145"/>
      <c r="AA347" s="170"/>
      <c r="AB347" s="172"/>
      <c r="AF347" s="145"/>
      <c r="AG347" s="170"/>
    </row>
    <row r="348" spans="1:33" ht="13.2">
      <c r="A348" s="43"/>
      <c r="B348" s="43"/>
      <c r="C348" s="43"/>
      <c r="D348" s="43"/>
      <c r="E348" s="179"/>
      <c r="F348" s="179"/>
      <c r="G348" s="150"/>
      <c r="H348" s="150"/>
      <c r="I348" s="151"/>
      <c r="J348" s="151"/>
      <c r="K348" s="153"/>
      <c r="L348" s="153"/>
      <c r="M348" s="151"/>
      <c r="N348" s="151"/>
      <c r="O348" s="142"/>
      <c r="P348" s="142"/>
      <c r="Q348" s="157"/>
      <c r="R348" s="157"/>
      <c r="S348" s="157"/>
      <c r="T348" s="145"/>
      <c r="U348" s="174"/>
      <c r="Z348" s="145"/>
      <c r="AA348" s="158"/>
      <c r="AB348" s="177"/>
      <c r="AF348" s="145"/>
      <c r="AG348" s="158"/>
    </row>
    <row r="349" spans="1:33" ht="13.2">
      <c r="A349" s="43"/>
      <c r="B349" s="43"/>
      <c r="C349" s="43"/>
      <c r="D349" s="43"/>
      <c r="E349" s="179"/>
      <c r="F349" s="179"/>
      <c r="G349" s="150"/>
      <c r="H349" s="150"/>
      <c r="I349" s="151"/>
      <c r="J349" s="151"/>
      <c r="K349" s="153"/>
      <c r="L349" s="153"/>
      <c r="M349" s="151"/>
      <c r="N349" s="151"/>
      <c r="O349" s="142"/>
      <c r="P349" s="142"/>
      <c r="Q349" s="162"/>
      <c r="R349" s="162"/>
      <c r="S349" s="162"/>
      <c r="T349" s="145"/>
      <c r="U349" s="168"/>
      <c r="Z349" s="145"/>
      <c r="AA349" s="170"/>
      <c r="AB349" s="172"/>
      <c r="AF349" s="145"/>
      <c r="AG349" s="170"/>
    </row>
    <row r="350" spans="1:33" ht="13.2">
      <c r="A350" s="43"/>
      <c r="B350" s="43"/>
      <c r="C350" s="43"/>
      <c r="D350" s="43"/>
      <c r="E350" s="179"/>
      <c r="F350" s="179"/>
      <c r="G350" s="150"/>
      <c r="H350" s="150"/>
      <c r="I350" s="151"/>
      <c r="J350" s="151"/>
      <c r="K350" s="153"/>
      <c r="L350" s="153"/>
      <c r="M350" s="151"/>
      <c r="N350" s="151"/>
      <c r="O350" s="142"/>
      <c r="P350" s="142"/>
      <c r="Q350" s="157"/>
      <c r="R350" s="157"/>
      <c r="S350" s="157"/>
      <c r="T350" s="145"/>
      <c r="U350" s="174"/>
      <c r="Z350" s="145"/>
      <c r="AA350" s="158"/>
      <c r="AB350" s="177"/>
      <c r="AF350" s="145"/>
      <c r="AG350" s="158"/>
    </row>
    <row r="351" spans="1:33" ht="13.2">
      <c r="A351" s="43"/>
      <c r="B351" s="43"/>
      <c r="C351" s="43"/>
      <c r="D351" s="43"/>
      <c r="E351" s="179"/>
      <c r="F351" s="179"/>
      <c r="G351" s="150"/>
      <c r="H351" s="150"/>
      <c r="I351" s="151"/>
      <c r="J351" s="151"/>
      <c r="K351" s="153"/>
      <c r="L351" s="153"/>
      <c r="M351" s="151"/>
      <c r="N351" s="151"/>
      <c r="O351" s="142"/>
      <c r="P351" s="142"/>
      <c r="Q351" s="162"/>
      <c r="R351" s="162"/>
      <c r="S351" s="162"/>
      <c r="T351" s="145"/>
      <c r="U351" s="168"/>
      <c r="Z351" s="145"/>
      <c r="AA351" s="170"/>
      <c r="AB351" s="172"/>
      <c r="AF351" s="145"/>
      <c r="AG351" s="170"/>
    </row>
    <row r="352" spans="1:33" ht="13.2">
      <c r="A352" s="43"/>
      <c r="B352" s="43"/>
      <c r="C352" s="43"/>
      <c r="D352" s="43"/>
      <c r="E352" s="179"/>
      <c r="F352" s="179"/>
      <c r="G352" s="150"/>
      <c r="H352" s="150"/>
      <c r="I352" s="151"/>
      <c r="J352" s="151"/>
      <c r="K352" s="153"/>
      <c r="L352" s="153"/>
      <c r="M352" s="151"/>
      <c r="N352" s="151"/>
      <c r="O352" s="142"/>
      <c r="P352" s="142"/>
      <c r="Q352" s="157"/>
      <c r="R352" s="157"/>
      <c r="S352" s="157"/>
      <c r="T352" s="145"/>
      <c r="U352" s="174"/>
      <c r="Z352" s="145"/>
      <c r="AA352" s="158"/>
      <c r="AB352" s="177"/>
      <c r="AF352" s="145"/>
      <c r="AG352" s="158"/>
    </row>
    <row r="353" spans="1:33" ht="13.2">
      <c r="A353" s="43"/>
      <c r="B353" s="43"/>
      <c r="C353" s="43"/>
      <c r="D353" s="43"/>
      <c r="E353" s="179"/>
      <c r="F353" s="179"/>
      <c r="G353" s="150"/>
      <c r="H353" s="150"/>
      <c r="I353" s="151"/>
      <c r="J353" s="151"/>
      <c r="K353" s="153"/>
      <c r="L353" s="153"/>
      <c r="M353" s="151"/>
      <c r="N353" s="151"/>
      <c r="O353" s="142"/>
      <c r="P353" s="142"/>
      <c r="Q353" s="162"/>
      <c r="R353" s="162"/>
      <c r="S353" s="162"/>
      <c r="T353" s="145"/>
      <c r="U353" s="168"/>
      <c r="Z353" s="145"/>
      <c r="AA353" s="170"/>
      <c r="AB353" s="172"/>
      <c r="AF353" s="145"/>
      <c r="AG353" s="170"/>
    </row>
    <row r="354" spans="1:33" ht="13.2">
      <c r="A354" s="43"/>
      <c r="B354" s="43"/>
      <c r="C354" s="43"/>
      <c r="D354" s="43"/>
      <c r="E354" s="179"/>
      <c r="F354" s="179"/>
      <c r="G354" s="150"/>
      <c r="H354" s="150"/>
      <c r="I354" s="151"/>
      <c r="J354" s="151"/>
      <c r="K354" s="153"/>
      <c r="L354" s="153"/>
      <c r="M354" s="151"/>
      <c r="N354" s="151"/>
      <c r="O354" s="142"/>
      <c r="P354" s="142"/>
      <c r="Q354" s="157"/>
      <c r="R354" s="157"/>
      <c r="S354" s="157"/>
      <c r="T354" s="145"/>
      <c r="U354" s="174"/>
      <c r="Z354" s="145"/>
      <c r="AA354" s="158"/>
      <c r="AB354" s="177"/>
      <c r="AF354" s="145"/>
      <c r="AG354" s="158"/>
    </row>
    <row r="355" spans="1:33" ht="13.2">
      <c r="A355" s="43"/>
      <c r="B355" s="43"/>
      <c r="C355" s="43"/>
      <c r="D355" s="43"/>
      <c r="E355" s="179"/>
      <c r="F355" s="179"/>
      <c r="G355" s="150"/>
      <c r="H355" s="150"/>
      <c r="I355" s="151"/>
      <c r="J355" s="151"/>
      <c r="K355" s="153"/>
      <c r="L355" s="153"/>
      <c r="M355" s="151"/>
      <c r="N355" s="151"/>
      <c r="O355" s="142"/>
      <c r="P355" s="142"/>
      <c r="Q355" s="162"/>
      <c r="R355" s="162"/>
      <c r="S355" s="162"/>
      <c r="T355" s="145"/>
      <c r="U355" s="168"/>
      <c r="Z355" s="145"/>
      <c r="AA355" s="170"/>
      <c r="AB355" s="172"/>
      <c r="AF355" s="145"/>
      <c r="AG355" s="170"/>
    </row>
    <row r="356" spans="1:33" ht="13.2">
      <c r="A356" s="43"/>
      <c r="B356" s="43"/>
      <c r="C356" s="43"/>
      <c r="D356" s="43"/>
      <c r="E356" s="179"/>
      <c r="F356" s="179"/>
      <c r="G356" s="150"/>
      <c r="H356" s="150"/>
      <c r="I356" s="151"/>
      <c r="J356" s="151"/>
      <c r="K356" s="153"/>
      <c r="L356" s="153"/>
      <c r="M356" s="151"/>
      <c r="N356" s="151"/>
      <c r="O356" s="142"/>
      <c r="P356" s="142"/>
      <c r="Q356" s="157"/>
      <c r="R356" s="157"/>
      <c r="S356" s="157"/>
      <c r="T356" s="145"/>
      <c r="U356" s="174"/>
      <c r="Z356" s="145"/>
      <c r="AA356" s="158"/>
      <c r="AB356" s="177"/>
      <c r="AF356" s="145"/>
      <c r="AG356" s="158"/>
    </row>
    <row r="357" spans="1:33" ht="13.2">
      <c r="A357" s="43"/>
      <c r="B357" s="43"/>
      <c r="C357" s="43"/>
      <c r="D357" s="43"/>
      <c r="E357" s="179"/>
      <c r="F357" s="179"/>
      <c r="G357" s="150"/>
      <c r="H357" s="150"/>
      <c r="I357" s="151"/>
      <c r="J357" s="151"/>
      <c r="K357" s="153"/>
      <c r="L357" s="153"/>
      <c r="M357" s="151"/>
      <c r="N357" s="151"/>
      <c r="O357" s="142"/>
      <c r="P357" s="142"/>
      <c r="Q357" s="162"/>
      <c r="R357" s="162"/>
      <c r="S357" s="162"/>
      <c r="T357" s="145"/>
      <c r="U357" s="168"/>
      <c r="Z357" s="145"/>
      <c r="AA357" s="170"/>
      <c r="AB357" s="172"/>
      <c r="AF357" s="145"/>
      <c r="AG357" s="170"/>
    </row>
    <row r="358" spans="1:33" ht="13.2">
      <c r="A358" s="43"/>
      <c r="B358" s="43"/>
      <c r="C358" s="43"/>
      <c r="D358" s="43"/>
      <c r="E358" s="179"/>
      <c r="F358" s="179"/>
      <c r="G358" s="150"/>
      <c r="H358" s="150"/>
      <c r="I358" s="151"/>
      <c r="J358" s="151"/>
      <c r="K358" s="153"/>
      <c r="L358" s="153"/>
      <c r="M358" s="151"/>
      <c r="N358" s="151"/>
      <c r="O358" s="142"/>
      <c r="P358" s="142"/>
      <c r="Q358" s="157"/>
      <c r="R358" s="157"/>
      <c r="S358" s="157"/>
      <c r="T358" s="145"/>
      <c r="U358" s="174"/>
      <c r="Z358" s="145"/>
      <c r="AA358" s="158"/>
      <c r="AB358" s="177"/>
      <c r="AF358" s="145"/>
      <c r="AG358" s="158"/>
    </row>
    <row r="359" spans="1:33" ht="13.2">
      <c r="A359" s="43"/>
      <c r="B359" s="43"/>
      <c r="C359" s="43"/>
      <c r="D359" s="43"/>
      <c r="E359" s="179"/>
      <c r="F359" s="179"/>
      <c r="G359" s="150"/>
      <c r="H359" s="150"/>
      <c r="I359" s="151"/>
      <c r="J359" s="151"/>
      <c r="K359" s="153"/>
      <c r="L359" s="153"/>
      <c r="M359" s="151"/>
      <c r="N359" s="151"/>
      <c r="O359" s="142"/>
      <c r="P359" s="142"/>
      <c r="Q359" s="162"/>
      <c r="R359" s="162"/>
      <c r="S359" s="162"/>
      <c r="T359" s="145"/>
      <c r="U359" s="168"/>
      <c r="Z359" s="145"/>
      <c r="AA359" s="170"/>
      <c r="AB359" s="172"/>
      <c r="AF359" s="145"/>
      <c r="AG359" s="170"/>
    </row>
    <row r="360" spans="1:33" ht="13.2">
      <c r="A360" s="43"/>
      <c r="B360" s="43"/>
      <c r="C360" s="43"/>
      <c r="D360" s="43"/>
      <c r="E360" s="179"/>
      <c r="F360" s="179"/>
      <c r="G360" s="150"/>
      <c r="H360" s="150"/>
      <c r="I360" s="151"/>
      <c r="J360" s="151"/>
      <c r="K360" s="153"/>
      <c r="L360" s="153"/>
      <c r="M360" s="151"/>
      <c r="N360" s="151"/>
      <c r="O360" s="142"/>
      <c r="P360" s="142"/>
      <c r="Q360" s="157"/>
      <c r="R360" s="157"/>
      <c r="S360" s="157"/>
      <c r="T360" s="145"/>
      <c r="U360" s="174"/>
      <c r="Z360" s="145"/>
      <c r="AA360" s="158"/>
      <c r="AB360" s="177"/>
      <c r="AF360" s="145"/>
      <c r="AG360" s="158"/>
    </row>
    <row r="361" spans="1:33" ht="13.2">
      <c r="A361" s="43"/>
      <c r="B361" s="43"/>
      <c r="C361" s="43"/>
      <c r="D361" s="43"/>
      <c r="E361" s="179"/>
      <c r="F361" s="179"/>
      <c r="G361" s="150"/>
      <c r="H361" s="150"/>
      <c r="I361" s="151"/>
      <c r="J361" s="151"/>
      <c r="K361" s="153"/>
      <c r="L361" s="153"/>
      <c r="M361" s="151"/>
      <c r="N361" s="151"/>
      <c r="O361" s="142"/>
      <c r="P361" s="142"/>
      <c r="Q361" s="162"/>
      <c r="R361" s="162"/>
      <c r="S361" s="162"/>
      <c r="U361" s="160"/>
    </row>
    <row r="362" spans="1:33" ht="13.2">
      <c r="A362" s="43"/>
      <c r="B362" s="43"/>
      <c r="C362" s="43"/>
      <c r="D362" s="43"/>
      <c r="E362" s="179"/>
      <c r="F362" s="179"/>
      <c r="G362" s="150"/>
      <c r="H362" s="150"/>
      <c r="I362" s="151"/>
      <c r="J362" s="151"/>
      <c r="K362" s="153"/>
      <c r="L362" s="153"/>
      <c r="M362" s="151"/>
      <c r="N362" s="151"/>
      <c r="O362" s="142"/>
      <c r="P362" s="142"/>
      <c r="Q362" s="157"/>
      <c r="R362" s="157"/>
      <c r="S362" s="157"/>
      <c r="U362" s="155"/>
    </row>
    <row r="363" spans="1:33" ht="13.2">
      <c r="A363" s="43"/>
      <c r="B363" s="43"/>
      <c r="C363" s="43"/>
      <c r="D363" s="43"/>
      <c r="E363" s="179"/>
      <c r="F363" s="179"/>
      <c r="G363" s="150"/>
      <c r="H363" s="150"/>
      <c r="I363" s="151"/>
      <c r="J363" s="151"/>
      <c r="K363" s="153"/>
      <c r="L363" s="153"/>
      <c r="M363" s="151"/>
      <c r="N363" s="151"/>
      <c r="O363" s="142"/>
      <c r="P363" s="142"/>
      <c r="Q363" s="162"/>
      <c r="R363" s="162"/>
      <c r="S363" s="162"/>
      <c r="U363" s="160"/>
    </row>
    <row r="364" spans="1:33" ht="13.2">
      <c r="A364" s="43"/>
      <c r="B364" s="43"/>
      <c r="C364" s="43"/>
      <c r="D364" s="43"/>
      <c r="E364" s="179"/>
      <c r="F364" s="179"/>
      <c r="G364" s="150"/>
      <c r="H364" s="150"/>
      <c r="I364" s="151"/>
      <c r="J364" s="151"/>
      <c r="K364" s="153"/>
      <c r="L364" s="153"/>
      <c r="M364" s="151"/>
      <c r="N364" s="151"/>
      <c r="O364" s="142"/>
      <c r="P364" s="142"/>
      <c r="Q364" s="157"/>
      <c r="R364" s="157"/>
      <c r="S364" s="157"/>
      <c r="U364" s="155"/>
    </row>
    <row r="365" spans="1:33" ht="13.2">
      <c r="A365" s="43"/>
      <c r="B365" s="43"/>
      <c r="C365" s="43"/>
      <c r="D365" s="43"/>
      <c r="E365" s="179"/>
      <c r="F365" s="179"/>
      <c r="G365" s="150"/>
      <c r="H365" s="150"/>
      <c r="I365" s="151"/>
      <c r="J365" s="151"/>
      <c r="K365" s="153"/>
      <c r="L365" s="153"/>
      <c r="M365" s="151"/>
      <c r="N365" s="151"/>
      <c r="O365" s="142"/>
      <c r="P365" s="142"/>
      <c r="Q365" s="162"/>
      <c r="R365" s="162"/>
      <c r="S365" s="162"/>
      <c r="U365" s="160"/>
    </row>
    <row r="366" spans="1:33" ht="13.2">
      <c r="A366" s="43"/>
      <c r="B366" s="43"/>
      <c r="C366" s="43"/>
      <c r="D366" s="43"/>
      <c r="E366" s="179"/>
      <c r="F366" s="179"/>
      <c r="G366" s="150"/>
      <c r="H366" s="150"/>
      <c r="I366" s="151"/>
      <c r="J366" s="151"/>
      <c r="K366" s="153"/>
      <c r="L366" s="153"/>
      <c r="M366" s="151"/>
      <c r="N366" s="151"/>
      <c r="O366" s="142"/>
      <c r="P366" s="142"/>
      <c r="Q366" s="157"/>
      <c r="R366" s="157"/>
      <c r="S366" s="157"/>
      <c r="U366" s="155"/>
    </row>
    <row r="367" spans="1:33" ht="13.2">
      <c r="A367" s="43"/>
      <c r="B367" s="43"/>
      <c r="C367" s="43"/>
      <c r="D367" s="43"/>
      <c r="E367" s="179"/>
      <c r="F367" s="179"/>
      <c r="G367" s="150"/>
      <c r="H367" s="150"/>
      <c r="I367" s="151"/>
      <c r="J367" s="151"/>
      <c r="K367" s="153"/>
      <c r="L367" s="153"/>
      <c r="M367" s="151"/>
      <c r="N367" s="151"/>
      <c r="O367" s="142"/>
      <c r="P367" s="142"/>
      <c r="Q367" s="162"/>
      <c r="R367" s="162"/>
      <c r="S367" s="162"/>
      <c r="U367" s="160"/>
    </row>
    <row r="368" spans="1:33" ht="13.2">
      <c r="A368" s="43"/>
      <c r="B368" s="43"/>
      <c r="C368" s="43"/>
      <c r="D368" s="43"/>
      <c r="E368" s="179"/>
      <c r="F368" s="179"/>
      <c r="G368" s="150"/>
      <c r="H368" s="150"/>
      <c r="I368" s="151"/>
      <c r="J368" s="151"/>
      <c r="K368" s="153"/>
      <c r="L368" s="153"/>
      <c r="M368" s="151"/>
      <c r="N368" s="151"/>
      <c r="O368" s="142"/>
      <c r="P368" s="142"/>
      <c r="Q368" s="157"/>
      <c r="R368" s="157"/>
      <c r="S368" s="157"/>
      <c r="U368" s="155"/>
    </row>
    <row r="369" spans="1:21" ht="13.2">
      <c r="A369" s="43"/>
      <c r="B369" s="43"/>
      <c r="C369" s="43"/>
      <c r="D369" s="43"/>
      <c r="E369" s="179"/>
      <c r="F369" s="179"/>
      <c r="G369" s="150"/>
      <c r="H369" s="150"/>
      <c r="I369" s="151"/>
      <c r="J369" s="151"/>
      <c r="K369" s="153"/>
      <c r="L369" s="153"/>
      <c r="M369" s="151"/>
      <c r="N369" s="151"/>
      <c r="O369" s="142"/>
      <c r="P369" s="142"/>
      <c r="Q369" s="162"/>
      <c r="R369" s="162"/>
      <c r="S369" s="162"/>
      <c r="U369" s="160"/>
    </row>
    <row r="370" spans="1:21" ht="13.2">
      <c r="A370" s="43"/>
      <c r="B370" s="43"/>
      <c r="C370" s="43"/>
      <c r="D370" s="43"/>
      <c r="E370" s="179"/>
      <c r="F370" s="179"/>
      <c r="G370" s="150"/>
      <c r="H370" s="150"/>
      <c r="I370" s="151"/>
      <c r="J370" s="151"/>
      <c r="K370" s="153"/>
      <c r="L370" s="153"/>
      <c r="M370" s="151"/>
      <c r="N370" s="151"/>
      <c r="O370" s="142"/>
      <c r="P370" s="142"/>
      <c r="Q370" s="157"/>
      <c r="R370" s="157"/>
      <c r="S370" s="157"/>
      <c r="U370" s="155"/>
    </row>
    <row r="371" spans="1:21" ht="13.2">
      <c r="A371" s="43"/>
      <c r="B371" s="43"/>
      <c r="C371" s="43"/>
      <c r="D371" s="43"/>
      <c r="E371" s="179"/>
      <c r="F371" s="179"/>
      <c r="G371" s="150"/>
      <c r="H371" s="150"/>
      <c r="I371" s="151"/>
      <c r="J371" s="151"/>
      <c r="K371" s="153"/>
      <c r="L371" s="153"/>
      <c r="M371" s="151"/>
      <c r="N371" s="151"/>
      <c r="O371" s="142"/>
      <c r="P371" s="142"/>
      <c r="Q371" s="162"/>
      <c r="R371" s="162"/>
      <c r="S371" s="162"/>
      <c r="U371" s="160"/>
    </row>
    <row r="372" spans="1:21" ht="13.2">
      <c r="A372" s="43"/>
      <c r="B372" s="43"/>
      <c r="C372" s="43"/>
      <c r="D372" s="43"/>
      <c r="E372" s="179"/>
      <c r="F372" s="179"/>
      <c r="G372" s="150"/>
      <c r="H372" s="150"/>
      <c r="I372" s="151"/>
      <c r="J372" s="151"/>
      <c r="K372" s="153"/>
      <c r="L372" s="153"/>
      <c r="M372" s="151"/>
      <c r="N372" s="151"/>
      <c r="O372" s="142"/>
      <c r="P372" s="142"/>
      <c r="Q372" s="157"/>
      <c r="R372" s="157"/>
      <c r="S372" s="157"/>
      <c r="U372" s="155"/>
    </row>
    <row r="373" spans="1:21" ht="13.2">
      <c r="A373" s="43"/>
      <c r="B373" s="43"/>
      <c r="C373" s="43"/>
      <c r="D373" s="43"/>
      <c r="E373" s="179"/>
      <c r="F373" s="179"/>
      <c r="G373" s="150"/>
      <c r="H373" s="150"/>
      <c r="I373" s="151"/>
      <c r="J373" s="151"/>
      <c r="K373" s="153"/>
      <c r="L373" s="153"/>
      <c r="M373" s="151"/>
      <c r="N373" s="151"/>
      <c r="O373" s="142"/>
      <c r="P373" s="142"/>
      <c r="Q373" s="162"/>
      <c r="R373" s="162"/>
      <c r="S373" s="162"/>
      <c r="U373" s="160"/>
    </row>
    <row r="374" spans="1:21" ht="13.2">
      <c r="A374" s="43"/>
      <c r="B374" s="43"/>
      <c r="C374" s="43"/>
      <c r="D374" s="43"/>
      <c r="E374" s="179"/>
      <c r="F374" s="179"/>
      <c r="G374" s="150"/>
      <c r="H374" s="150"/>
      <c r="I374" s="151"/>
      <c r="J374" s="151"/>
      <c r="K374" s="153"/>
      <c r="L374" s="153"/>
      <c r="M374" s="151"/>
      <c r="N374" s="151"/>
      <c r="O374" s="142"/>
      <c r="P374" s="142"/>
      <c r="Q374" s="157"/>
      <c r="R374" s="157"/>
      <c r="S374" s="157"/>
      <c r="U374" s="155"/>
    </row>
    <row r="375" spans="1:21" ht="13.2">
      <c r="A375" s="43"/>
      <c r="B375" s="43"/>
      <c r="C375" s="43"/>
      <c r="D375" s="43"/>
      <c r="E375" s="179"/>
      <c r="F375" s="179"/>
      <c r="G375" s="150"/>
      <c r="H375" s="150"/>
      <c r="I375" s="151"/>
      <c r="J375" s="151"/>
      <c r="K375" s="153"/>
      <c r="L375" s="153"/>
      <c r="M375" s="151"/>
      <c r="N375" s="151"/>
      <c r="O375" s="142"/>
      <c r="P375" s="142"/>
      <c r="Q375" s="162"/>
      <c r="R375" s="162"/>
      <c r="S375" s="162"/>
      <c r="U375" s="160"/>
    </row>
    <row r="376" spans="1:21" ht="13.2">
      <c r="A376" s="43"/>
      <c r="B376" s="43"/>
      <c r="C376" s="43"/>
      <c r="D376" s="43"/>
      <c r="E376" s="179"/>
      <c r="F376" s="179"/>
      <c r="G376" s="150"/>
      <c r="H376" s="150"/>
      <c r="I376" s="151"/>
      <c r="J376" s="151"/>
      <c r="K376" s="153"/>
      <c r="L376" s="153"/>
      <c r="M376" s="151"/>
      <c r="N376" s="151"/>
      <c r="O376" s="142"/>
      <c r="P376" s="142"/>
      <c r="Q376" s="157"/>
      <c r="R376" s="157"/>
      <c r="S376" s="157"/>
      <c r="U376" s="155"/>
    </row>
    <row r="377" spans="1:21" ht="13.2">
      <c r="A377" s="43"/>
      <c r="B377" s="43"/>
      <c r="C377" s="43"/>
      <c r="D377" s="43"/>
      <c r="E377" s="179"/>
      <c r="F377" s="179"/>
      <c r="G377" s="150"/>
      <c r="H377" s="150"/>
      <c r="I377" s="151"/>
      <c r="J377" s="151"/>
      <c r="K377" s="153"/>
      <c r="L377" s="153"/>
      <c r="M377" s="151"/>
      <c r="N377" s="151"/>
      <c r="O377" s="142"/>
      <c r="P377" s="142"/>
      <c r="Q377" s="162"/>
      <c r="R377" s="162"/>
      <c r="S377" s="162"/>
      <c r="U377" s="160"/>
    </row>
    <row r="378" spans="1:21" ht="13.2">
      <c r="A378" s="43"/>
      <c r="B378" s="43"/>
      <c r="C378" s="43"/>
      <c r="D378" s="43"/>
      <c r="E378" s="179"/>
      <c r="F378" s="179"/>
      <c r="G378" s="150"/>
      <c r="H378" s="150"/>
      <c r="I378" s="151"/>
      <c r="J378" s="151"/>
      <c r="K378" s="153"/>
      <c r="L378" s="153"/>
      <c r="M378" s="151"/>
      <c r="N378" s="151"/>
      <c r="O378" s="142"/>
      <c r="P378" s="142"/>
      <c r="Q378" s="157"/>
      <c r="R378" s="157"/>
      <c r="S378" s="157"/>
      <c r="U378" s="155"/>
    </row>
    <row r="379" spans="1:21" ht="13.2">
      <c r="A379" s="43"/>
      <c r="B379" s="43"/>
      <c r="C379" s="43"/>
      <c r="D379" s="43"/>
      <c r="E379" s="179"/>
      <c r="F379" s="179"/>
      <c r="G379" s="150"/>
      <c r="H379" s="150"/>
      <c r="I379" s="151"/>
      <c r="J379" s="151"/>
      <c r="K379" s="153"/>
      <c r="L379" s="153"/>
      <c r="M379" s="151"/>
      <c r="N379" s="151"/>
      <c r="O379" s="142"/>
      <c r="P379" s="142"/>
      <c r="Q379" s="162"/>
      <c r="R379" s="162"/>
      <c r="S379" s="162"/>
      <c r="U379" s="160"/>
    </row>
    <row r="380" spans="1:21" ht="13.2">
      <c r="A380" s="43"/>
      <c r="B380" s="43"/>
      <c r="C380" s="43"/>
      <c r="D380" s="43"/>
      <c r="E380" s="179"/>
      <c r="F380" s="179"/>
      <c r="G380" s="150"/>
      <c r="H380" s="150"/>
      <c r="I380" s="151"/>
      <c r="J380" s="151"/>
      <c r="K380" s="153"/>
      <c r="L380" s="153"/>
      <c r="M380" s="151"/>
      <c r="N380" s="151"/>
      <c r="O380" s="142"/>
      <c r="P380" s="142"/>
      <c r="Q380" s="157"/>
      <c r="R380" s="157"/>
      <c r="S380" s="157"/>
      <c r="U380" s="155"/>
    </row>
    <row r="381" spans="1:21" ht="13.2">
      <c r="A381" s="43"/>
      <c r="B381" s="43"/>
      <c r="C381" s="43"/>
      <c r="D381" s="43"/>
      <c r="E381" s="179"/>
      <c r="F381" s="179"/>
      <c r="G381" s="150"/>
      <c r="H381" s="150"/>
      <c r="I381" s="151"/>
      <c r="J381" s="151"/>
      <c r="K381" s="153"/>
      <c r="L381" s="153"/>
      <c r="M381" s="151"/>
      <c r="N381" s="151"/>
      <c r="O381" s="142"/>
      <c r="P381" s="142"/>
      <c r="Q381" s="162"/>
      <c r="R381" s="162"/>
      <c r="S381" s="162"/>
      <c r="U381" s="160"/>
    </row>
    <row r="382" spans="1:21" ht="13.2">
      <c r="A382" s="43"/>
      <c r="B382" s="43"/>
      <c r="C382" s="43"/>
      <c r="D382" s="43"/>
      <c r="E382" s="179"/>
      <c r="F382" s="179"/>
      <c r="G382" s="150"/>
      <c r="H382" s="150"/>
      <c r="I382" s="151"/>
      <c r="J382" s="151"/>
      <c r="K382" s="153"/>
      <c r="L382" s="153"/>
      <c r="M382" s="151"/>
      <c r="N382" s="151"/>
      <c r="O382" s="142"/>
      <c r="P382" s="142"/>
      <c r="Q382" s="157"/>
      <c r="R382" s="157"/>
      <c r="S382" s="157"/>
      <c r="U382" s="155"/>
    </row>
    <row r="383" spans="1:21" ht="13.2">
      <c r="A383" s="43"/>
      <c r="B383" s="43"/>
      <c r="C383" s="43"/>
      <c r="D383" s="43"/>
      <c r="E383" s="179"/>
      <c r="F383" s="179"/>
      <c r="G383" s="150"/>
      <c r="H383" s="150"/>
      <c r="I383" s="151"/>
      <c r="J383" s="151"/>
      <c r="K383" s="153"/>
      <c r="L383" s="153"/>
      <c r="M383" s="151"/>
      <c r="N383" s="151"/>
      <c r="O383" s="142"/>
      <c r="P383" s="142"/>
      <c r="Q383" s="162"/>
      <c r="R383" s="162"/>
      <c r="S383" s="162"/>
      <c r="U383" s="160"/>
    </row>
    <row r="384" spans="1:21" ht="13.2">
      <c r="A384" s="43"/>
      <c r="B384" s="43"/>
      <c r="C384" s="43"/>
      <c r="D384" s="43"/>
      <c r="E384" s="179"/>
      <c r="F384" s="179"/>
      <c r="G384" s="150"/>
      <c r="H384" s="150"/>
      <c r="I384" s="151"/>
      <c r="J384" s="151"/>
      <c r="K384" s="153"/>
      <c r="L384" s="153"/>
      <c r="M384" s="151"/>
      <c r="N384" s="151"/>
      <c r="O384" s="142"/>
      <c r="P384" s="142"/>
      <c r="Q384" s="157"/>
      <c r="R384" s="157"/>
      <c r="S384" s="157"/>
      <c r="U384" s="155"/>
    </row>
    <row r="385" spans="1:21" ht="13.2">
      <c r="A385" s="43"/>
      <c r="B385" s="43"/>
      <c r="C385" s="43"/>
      <c r="D385" s="43"/>
      <c r="E385" s="179"/>
      <c r="F385" s="179"/>
      <c r="G385" s="150"/>
      <c r="H385" s="150"/>
      <c r="I385" s="151"/>
      <c r="J385" s="151"/>
      <c r="K385" s="153"/>
      <c r="L385" s="153"/>
      <c r="M385" s="151"/>
      <c r="N385" s="151"/>
      <c r="O385" s="142"/>
      <c r="P385" s="142"/>
      <c r="Q385" s="162"/>
      <c r="R385" s="162"/>
      <c r="S385" s="162"/>
      <c r="U385" s="160"/>
    </row>
    <row r="386" spans="1:21" ht="13.2">
      <c r="A386" s="43"/>
      <c r="B386" s="43"/>
      <c r="C386" s="43"/>
      <c r="D386" s="43"/>
      <c r="E386" s="179"/>
      <c r="F386" s="179"/>
      <c r="G386" s="150"/>
      <c r="H386" s="150"/>
      <c r="I386" s="151"/>
      <c r="J386" s="151"/>
      <c r="K386" s="153"/>
      <c r="L386" s="153"/>
      <c r="M386" s="151"/>
      <c r="N386" s="151"/>
      <c r="O386" s="142"/>
      <c r="P386" s="142"/>
      <c r="Q386" s="157"/>
      <c r="R386" s="157"/>
      <c r="S386" s="157"/>
      <c r="U386" s="155"/>
    </row>
    <row r="387" spans="1:21" ht="13.2">
      <c r="A387" s="43"/>
      <c r="B387" s="43"/>
      <c r="C387" s="43"/>
      <c r="D387" s="43"/>
      <c r="E387" s="179"/>
      <c r="F387" s="179"/>
      <c r="G387" s="150"/>
      <c r="H387" s="150"/>
      <c r="I387" s="151"/>
      <c r="J387" s="151"/>
      <c r="K387" s="153"/>
      <c r="L387" s="153"/>
      <c r="M387" s="151"/>
      <c r="N387" s="151"/>
      <c r="O387" s="142"/>
      <c r="P387" s="142"/>
      <c r="Q387" s="162"/>
      <c r="R387" s="162"/>
      <c r="S387" s="162"/>
      <c r="U387" s="160"/>
    </row>
    <row r="388" spans="1:21" ht="13.2">
      <c r="A388" s="43"/>
      <c r="B388" s="43"/>
      <c r="C388" s="43"/>
      <c r="D388" s="43"/>
      <c r="E388" s="179"/>
      <c r="F388" s="179"/>
      <c r="G388" s="150"/>
      <c r="H388" s="150"/>
      <c r="I388" s="151"/>
      <c r="J388" s="151"/>
      <c r="K388" s="153"/>
      <c r="L388" s="153"/>
      <c r="M388" s="151"/>
      <c r="N388" s="151"/>
      <c r="O388" s="142"/>
      <c r="P388" s="142"/>
      <c r="Q388" s="157"/>
      <c r="R388" s="157"/>
      <c r="S388" s="157"/>
      <c r="U388" s="155"/>
    </row>
    <row r="389" spans="1:21" ht="13.2">
      <c r="A389" s="43"/>
      <c r="B389" s="43"/>
      <c r="C389" s="43"/>
      <c r="D389" s="43"/>
      <c r="E389" s="179"/>
      <c r="F389" s="179"/>
      <c r="G389" s="150"/>
      <c r="H389" s="150"/>
      <c r="I389" s="151"/>
      <c r="J389" s="151"/>
      <c r="K389" s="153"/>
      <c r="L389" s="153"/>
      <c r="M389" s="151"/>
      <c r="N389" s="151"/>
      <c r="O389" s="142"/>
      <c r="P389" s="142"/>
      <c r="Q389" s="162"/>
      <c r="R389" s="162"/>
      <c r="S389" s="162"/>
      <c r="U389" s="160"/>
    </row>
    <row r="390" spans="1:21" ht="13.2">
      <c r="A390" s="43"/>
      <c r="B390" s="43"/>
      <c r="C390" s="43"/>
      <c r="D390" s="43"/>
      <c r="E390" s="179"/>
      <c r="F390" s="179"/>
      <c r="G390" s="150"/>
      <c r="H390" s="150"/>
      <c r="I390" s="151"/>
      <c r="J390" s="151"/>
      <c r="K390" s="153"/>
      <c r="L390" s="153"/>
      <c r="M390" s="151"/>
      <c r="N390" s="151"/>
      <c r="O390" s="142"/>
      <c r="P390" s="142"/>
      <c r="Q390" s="157"/>
      <c r="R390" s="157"/>
      <c r="S390" s="157"/>
      <c r="U390" s="155"/>
    </row>
    <row r="391" spans="1:21" ht="13.2">
      <c r="A391" s="43"/>
      <c r="B391" s="43"/>
      <c r="C391" s="43"/>
      <c r="D391" s="43"/>
      <c r="E391" s="179"/>
      <c r="F391" s="179"/>
      <c r="G391" s="150"/>
      <c r="H391" s="150"/>
      <c r="I391" s="151"/>
      <c r="J391" s="151"/>
      <c r="K391" s="153"/>
      <c r="L391" s="153"/>
      <c r="M391" s="151"/>
      <c r="N391" s="151"/>
      <c r="O391" s="142"/>
      <c r="P391" s="142"/>
      <c r="Q391" s="162"/>
      <c r="R391" s="162"/>
      <c r="S391" s="162"/>
      <c r="U391" s="160"/>
    </row>
    <row r="392" spans="1:21" ht="13.2">
      <c r="A392" s="43"/>
      <c r="B392" s="43"/>
      <c r="C392" s="43"/>
      <c r="D392" s="43"/>
      <c r="E392" s="179"/>
      <c r="F392" s="179"/>
      <c r="G392" s="150"/>
      <c r="H392" s="150"/>
      <c r="I392" s="151"/>
      <c r="J392" s="151"/>
      <c r="K392" s="153"/>
      <c r="L392" s="153"/>
      <c r="M392" s="151"/>
      <c r="N392" s="151"/>
      <c r="O392" s="142"/>
      <c r="P392" s="142"/>
      <c r="Q392" s="157"/>
      <c r="R392" s="157"/>
      <c r="S392" s="157"/>
      <c r="U392" s="155"/>
    </row>
    <row r="393" spans="1:21" ht="13.2">
      <c r="A393" s="43"/>
      <c r="B393" s="43"/>
      <c r="C393" s="43"/>
      <c r="D393" s="43"/>
      <c r="E393" s="179"/>
      <c r="F393" s="179"/>
      <c r="G393" s="150"/>
      <c r="H393" s="150"/>
      <c r="I393" s="151"/>
      <c r="J393" s="151"/>
      <c r="K393" s="153"/>
      <c r="L393" s="153"/>
      <c r="M393" s="151"/>
      <c r="N393" s="151"/>
      <c r="O393" s="142"/>
      <c r="P393" s="142"/>
      <c r="Q393" s="162"/>
      <c r="R393" s="162"/>
      <c r="S393" s="162"/>
      <c r="U393" s="160"/>
    </row>
    <row r="394" spans="1:21" ht="13.2">
      <c r="A394" s="43"/>
      <c r="B394" s="43"/>
      <c r="C394" s="43"/>
      <c r="D394" s="43"/>
      <c r="E394" s="179"/>
      <c r="F394" s="179"/>
      <c r="G394" s="150"/>
      <c r="H394" s="150"/>
      <c r="I394" s="151"/>
      <c r="J394" s="151"/>
      <c r="K394" s="153"/>
      <c r="L394" s="153"/>
      <c r="M394" s="151"/>
      <c r="N394" s="151"/>
      <c r="O394" s="142"/>
      <c r="P394" s="142"/>
      <c r="Q394" s="157"/>
      <c r="R394" s="157"/>
      <c r="S394" s="157"/>
      <c r="U394" s="155"/>
    </row>
    <row r="395" spans="1:21" ht="13.2">
      <c r="A395" s="43"/>
      <c r="B395" s="43"/>
      <c r="C395" s="43"/>
      <c r="D395" s="43"/>
      <c r="E395" s="179"/>
      <c r="F395" s="179"/>
      <c r="G395" s="150"/>
      <c r="H395" s="150"/>
      <c r="I395" s="151"/>
      <c r="J395" s="151"/>
      <c r="K395" s="153"/>
      <c r="L395" s="153"/>
      <c r="M395" s="151"/>
      <c r="N395" s="151"/>
      <c r="O395" s="142"/>
      <c r="P395" s="142"/>
      <c r="Q395" s="162"/>
      <c r="R395" s="162"/>
      <c r="S395" s="162"/>
      <c r="U395" s="160"/>
    </row>
    <row r="396" spans="1:21" ht="13.2">
      <c r="A396" s="43"/>
      <c r="B396" s="43"/>
      <c r="C396" s="43"/>
      <c r="D396" s="43"/>
      <c r="E396" s="179"/>
      <c r="F396" s="179"/>
      <c r="G396" s="150"/>
      <c r="H396" s="150"/>
      <c r="I396" s="151"/>
      <c r="J396" s="151"/>
      <c r="K396" s="153"/>
      <c r="L396" s="153"/>
      <c r="M396" s="151"/>
      <c r="N396" s="151"/>
      <c r="O396" s="142"/>
      <c r="P396" s="142"/>
      <c r="Q396" s="157"/>
      <c r="R396" s="157"/>
      <c r="S396" s="157"/>
      <c r="U396" s="155"/>
    </row>
    <row r="397" spans="1:21" ht="13.2">
      <c r="A397" s="43"/>
      <c r="B397" s="43"/>
      <c r="C397" s="43"/>
      <c r="D397" s="43"/>
      <c r="E397" s="179"/>
      <c r="F397" s="179"/>
      <c r="G397" s="150"/>
      <c r="H397" s="150"/>
      <c r="I397" s="151"/>
      <c r="J397" s="151"/>
      <c r="K397" s="153"/>
      <c r="L397" s="153"/>
      <c r="M397" s="151"/>
      <c r="N397" s="151"/>
      <c r="O397" s="142"/>
      <c r="P397" s="142"/>
      <c r="Q397" s="162"/>
      <c r="R397" s="162"/>
      <c r="S397" s="162"/>
      <c r="U397" s="160"/>
    </row>
    <row r="398" spans="1:21" ht="13.2">
      <c r="A398" s="43"/>
      <c r="B398" s="43"/>
      <c r="C398" s="43"/>
      <c r="D398" s="43"/>
      <c r="E398" s="179"/>
      <c r="F398" s="179"/>
      <c r="G398" s="150"/>
      <c r="H398" s="150"/>
      <c r="I398" s="151"/>
      <c r="J398" s="151"/>
      <c r="K398" s="153"/>
      <c r="L398" s="153"/>
      <c r="M398" s="151"/>
      <c r="N398" s="151"/>
      <c r="O398" s="142"/>
      <c r="P398" s="142"/>
      <c r="Q398" s="157"/>
      <c r="R398" s="157"/>
      <c r="S398" s="157"/>
      <c r="U398" s="155"/>
    </row>
    <row r="399" spans="1:21" ht="13.2">
      <c r="A399" s="43"/>
      <c r="B399" s="43"/>
      <c r="C399" s="43"/>
      <c r="D399" s="43"/>
      <c r="E399" s="179"/>
      <c r="F399" s="179"/>
      <c r="G399" s="150"/>
      <c r="H399" s="150"/>
      <c r="I399" s="151"/>
      <c r="J399" s="151"/>
      <c r="K399" s="153"/>
      <c r="L399" s="153"/>
      <c r="M399" s="151"/>
      <c r="N399" s="151"/>
      <c r="O399" s="142"/>
      <c r="P399" s="142"/>
      <c r="Q399" s="162"/>
      <c r="R399" s="162"/>
      <c r="S399" s="162"/>
      <c r="U399" s="160"/>
    </row>
    <row r="400" spans="1:21" ht="13.2">
      <c r="A400" s="43"/>
      <c r="B400" s="43"/>
      <c r="C400" s="43"/>
      <c r="D400" s="43"/>
      <c r="E400" s="179"/>
      <c r="F400" s="179"/>
      <c r="G400" s="150"/>
      <c r="H400" s="150"/>
      <c r="I400" s="151"/>
      <c r="J400" s="151"/>
      <c r="K400" s="153"/>
      <c r="L400" s="153"/>
      <c r="M400" s="151"/>
      <c r="N400" s="151"/>
      <c r="O400" s="142"/>
      <c r="P400" s="142"/>
      <c r="Q400" s="157"/>
      <c r="R400" s="157"/>
      <c r="S400" s="157"/>
      <c r="U400" s="155"/>
    </row>
    <row r="401" spans="1:21" ht="13.2">
      <c r="A401" s="43"/>
      <c r="B401" s="43"/>
      <c r="C401" s="43"/>
      <c r="D401" s="43"/>
      <c r="E401" s="179"/>
      <c r="F401" s="179"/>
      <c r="G401" s="150"/>
      <c r="H401" s="150"/>
      <c r="I401" s="151"/>
      <c r="J401" s="151"/>
      <c r="K401" s="153"/>
      <c r="L401" s="153"/>
      <c r="M401" s="151"/>
      <c r="N401" s="151"/>
      <c r="O401" s="142"/>
      <c r="P401" s="142"/>
      <c r="Q401" s="162"/>
      <c r="R401" s="162"/>
      <c r="S401" s="162"/>
      <c r="U401" s="160"/>
    </row>
    <row r="402" spans="1:21" ht="13.2">
      <c r="A402" s="43"/>
      <c r="B402" s="43"/>
      <c r="C402" s="43"/>
      <c r="D402" s="43"/>
      <c r="E402" s="179"/>
      <c r="F402" s="179"/>
      <c r="G402" s="150"/>
      <c r="H402" s="150"/>
      <c r="I402" s="151"/>
      <c r="J402" s="151"/>
      <c r="K402" s="153"/>
      <c r="L402" s="153"/>
      <c r="M402" s="151"/>
      <c r="N402" s="151"/>
      <c r="O402" s="142"/>
      <c r="P402" s="142"/>
      <c r="Q402" s="157"/>
      <c r="R402" s="157"/>
      <c r="S402" s="157"/>
      <c r="U402" s="155"/>
    </row>
    <row r="403" spans="1:21" ht="13.2">
      <c r="A403" s="43"/>
      <c r="B403" s="43"/>
      <c r="C403" s="43"/>
      <c r="D403" s="43"/>
      <c r="E403" s="179"/>
      <c r="F403" s="179"/>
      <c r="G403" s="150"/>
      <c r="H403" s="150"/>
      <c r="I403" s="151"/>
      <c r="J403" s="151"/>
      <c r="K403" s="153"/>
      <c r="L403" s="153"/>
      <c r="M403" s="151"/>
      <c r="N403" s="151"/>
      <c r="O403" s="142"/>
      <c r="P403" s="142"/>
      <c r="Q403" s="162"/>
      <c r="R403" s="162"/>
      <c r="S403" s="162"/>
      <c r="U403" s="160"/>
    </row>
    <row r="404" spans="1:21" ht="13.2">
      <c r="A404" s="43"/>
      <c r="B404" s="43"/>
      <c r="C404" s="43"/>
      <c r="D404" s="43"/>
      <c r="E404" s="179"/>
      <c r="F404" s="179"/>
      <c r="G404" s="150"/>
      <c r="H404" s="150"/>
      <c r="I404" s="151"/>
      <c r="J404" s="151"/>
      <c r="K404" s="153"/>
      <c r="L404" s="153"/>
      <c r="M404" s="151"/>
      <c r="N404" s="151"/>
      <c r="O404" s="142"/>
      <c r="P404" s="142"/>
      <c r="Q404" s="157"/>
      <c r="R404" s="157"/>
      <c r="S404" s="157"/>
      <c r="U404" s="155"/>
    </row>
    <row r="405" spans="1:21" ht="13.2">
      <c r="A405" s="43"/>
      <c r="B405" s="43"/>
      <c r="C405" s="43"/>
      <c r="D405" s="43"/>
      <c r="E405" s="179"/>
      <c r="F405" s="179"/>
      <c r="G405" s="150"/>
      <c r="H405" s="150"/>
      <c r="I405" s="151"/>
      <c r="J405" s="151"/>
      <c r="K405" s="153"/>
      <c r="L405" s="153"/>
      <c r="M405" s="151"/>
      <c r="N405" s="151"/>
      <c r="O405" s="142"/>
      <c r="P405" s="142"/>
      <c r="Q405" s="162"/>
      <c r="R405" s="162"/>
      <c r="S405" s="162"/>
      <c r="U405" s="160"/>
    </row>
    <row r="406" spans="1:21" ht="13.2">
      <c r="A406" s="43"/>
      <c r="B406" s="43"/>
      <c r="C406" s="43"/>
      <c r="D406" s="43"/>
      <c r="E406" s="179"/>
      <c r="F406" s="179"/>
      <c r="G406" s="150"/>
      <c r="H406" s="150"/>
      <c r="I406" s="151"/>
      <c r="J406" s="151"/>
      <c r="K406" s="153"/>
      <c r="L406" s="153"/>
      <c r="M406" s="151"/>
      <c r="N406" s="151"/>
      <c r="O406" s="142"/>
      <c r="P406" s="142"/>
      <c r="Q406" s="157"/>
      <c r="R406" s="157"/>
      <c r="S406" s="157"/>
      <c r="U406" s="155"/>
    </row>
    <row r="407" spans="1:21" ht="13.2">
      <c r="A407" s="43"/>
      <c r="B407" s="43"/>
      <c r="C407" s="43"/>
      <c r="D407" s="43"/>
      <c r="E407" s="179"/>
      <c r="F407" s="179"/>
      <c r="G407" s="150"/>
      <c r="H407" s="150"/>
      <c r="I407" s="151"/>
      <c r="J407" s="151"/>
      <c r="K407" s="153"/>
      <c r="L407" s="153"/>
      <c r="M407" s="151"/>
      <c r="N407" s="151"/>
      <c r="O407" s="142"/>
      <c r="P407" s="142"/>
      <c r="Q407" s="162"/>
      <c r="R407" s="162"/>
      <c r="S407" s="162"/>
      <c r="U407" s="160"/>
    </row>
    <row r="408" spans="1:21" ht="13.2">
      <c r="A408" s="43"/>
      <c r="B408" s="43"/>
      <c r="C408" s="43"/>
      <c r="D408" s="43"/>
      <c r="E408" s="179"/>
      <c r="F408" s="179"/>
      <c r="G408" s="150"/>
      <c r="H408" s="150"/>
      <c r="I408" s="151"/>
      <c r="J408" s="151"/>
      <c r="K408" s="153"/>
      <c r="L408" s="153"/>
      <c r="M408" s="151"/>
      <c r="N408" s="151"/>
      <c r="O408" s="142"/>
      <c r="P408" s="142"/>
      <c r="Q408" s="157"/>
      <c r="R408" s="157"/>
      <c r="S408" s="157"/>
      <c r="U408" s="155"/>
    </row>
    <row r="409" spans="1:21" ht="13.2">
      <c r="A409" s="43"/>
      <c r="B409" s="43"/>
      <c r="C409" s="43"/>
      <c r="D409" s="43"/>
      <c r="E409" s="179"/>
      <c r="F409" s="179"/>
      <c r="G409" s="150"/>
      <c r="H409" s="150"/>
      <c r="I409" s="151"/>
      <c r="J409" s="151"/>
      <c r="K409" s="153"/>
      <c r="L409" s="153"/>
      <c r="M409" s="151"/>
      <c r="N409" s="151"/>
      <c r="O409" s="142"/>
      <c r="P409" s="142"/>
      <c r="Q409" s="162"/>
      <c r="R409" s="162"/>
      <c r="S409" s="162"/>
      <c r="U409" s="160"/>
    </row>
    <row r="410" spans="1:21" ht="13.2">
      <c r="A410" s="43"/>
      <c r="B410" s="43"/>
      <c r="C410" s="43"/>
      <c r="D410" s="43"/>
      <c r="E410" s="179"/>
      <c r="F410" s="179"/>
      <c r="G410" s="150"/>
      <c r="H410" s="150"/>
      <c r="I410" s="151"/>
      <c r="J410" s="151"/>
      <c r="K410" s="153"/>
      <c r="L410" s="153"/>
      <c r="M410" s="151"/>
      <c r="N410" s="151"/>
      <c r="O410" s="142"/>
      <c r="P410" s="142"/>
      <c r="Q410" s="157"/>
      <c r="R410" s="157"/>
      <c r="S410" s="157"/>
      <c r="U410" s="155"/>
    </row>
    <row r="411" spans="1:21" ht="13.2">
      <c r="A411" s="43"/>
      <c r="B411" s="43"/>
      <c r="C411" s="43"/>
      <c r="D411" s="43"/>
      <c r="E411" s="179"/>
      <c r="F411" s="179"/>
      <c r="G411" s="150"/>
      <c r="H411" s="150"/>
      <c r="I411" s="151"/>
      <c r="J411" s="151"/>
      <c r="K411" s="153"/>
      <c r="L411" s="153"/>
      <c r="M411" s="151"/>
      <c r="N411" s="151"/>
      <c r="O411" s="142"/>
      <c r="P411" s="142"/>
      <c r="Q411" s="162"/>
      <c r="R411" s="162"/>
      <c r="S411" s="162"/>
      <c r="U411" s="160"/>
    </row>
    <row r="412" spans="1:21" ht="13.2">
      <c r="A412" s="43"/>
      <c r="B412" s="43"/>
      <c r="C412" s="43"/>
      <c r="D412" s="43"/>
      <c r="E412" s="179"/>
      <c r="F412" s="179"/>
      <c r="G412" s="150"/>
      <c r="H412" s="150"/>
      <c r="I412" s="151"/>
      <c r="J412" s="151"/>
      <c r="K412" s="153"/>
      <c r="L412" s="153"/>
      <c r="M412" s="151"/>
      <c r="N412" s="151"/>
      <c r="O412" s="142"/>
      <c r="P412" s="142"/>
      <c r="Q412" s="157"/>
      <c r="R412" s="157"/>
      <c r="S412" s="157"/>
      <c r="U412" s="155"/>
    </row>
    <row r="413" spans="1:21" ht="13.2">
      <c r="A413" s="43"/>
      <c r="B413" s="43"/>
      <c r="C413" s="43"/>
      <c r="D413" s="43"/>
      <c r="E413" s="179"/>
      <c r="F413" s="179"/>
      <c r="G413" s="150"/>
      <c r="H413" s="150"/>
      <c r="I413" s="151"/>
      <c r="J413" s="151"/>
      <c r="K413" s="153"/>
      <c r="L413" s="153"/>
      <c r="M413" s="151"/>
      <c r="N413" s="151"/>
      <c r="O413" s="142"/>
      <c r="P413" s="142"/>
      <c r="Q413" s="162"/>
      <c r="R413" s="162"/>
      <c r="S413" s="162"/>
      <c r="U413" s="160"/>
    </row>
    <row r="414" spans="1:21" ht="13.2">
      <c r="A414" s="43"/>
      <c r="B414" s="43"/>
      <c r="C414" s="43"/>
      <c r="D414" s="43"/>
      <c r="E414" s="179"/>
      <c r="F414" s="179"/>
      <c r="G414" s="150"/>
      <c r="H414" s="150"/>
      <c r="I414" s="151"/>
      <c r="J414" s="151"/>
      <c r="K414" s="153"/>
      <c r="L414" s="153"/>
      <c r="M414" s="151"/>
      <c r="N414" s="151"/>
      <c r="O414" s="142"/>
      <c r="P414" s="142"/>
      <c r="Q414" s="157"/>
      <c r="R414" s="157"/>
      <c r="S414" s="157"/>
      <c r="U414" s="155"/>
    </row>
    <row r="415" spans="1:21" ht="13.2">
      <c r="A415" s="43"/>
      <c r="B415" s="43"/>
      <c r="C415" s="43"/>
      <c r="D415" s="43"/>
      <c r="E415" s="179"/>
      <c r="F415" s="179"/>
      <c r="G415" s="150"/>
      <c r="H415" s="150"/>
      <c r="I415" s="151"/>
      <c r="J415" s="151"/>
      <c r="K415" s="153"/>
      <c r="L415" s="153"/>
      <c r="M415" s="151"/>
      <c r="N415" s="151"/>
      <c r="O415" s="142"/>
      <c r="P415" s="142"/>
      <c r="Q415" s="162"/>
      <c r="R415" s="162"/>
      <c r="S415" s="162"/>
      <c r="U415" s="160"/>
    </row>
    <row r="416" spans="1:21" ht="13.2">
      <c r="A416" s="43"/>
      <c r="B416" s="43"/>
      <c r="C416" s="43"/>
      <c r="D416" s="43"/>
      <c r="E416" s="179"/>
      <c r="F416" s="179"/>
      <c r="G416" s="150"/>
      <c r="H416" s="150"/>
      <c r="I416" s="151"/>
      <c r="J416" s="151"/>
      <c r="K416" s="153"/>
      <c r="L416" s="153"/>
      <c r="M416" s="151"/>
      <c r="N416" s="151"/>
      <c r="O416" s="142"/>
      <c r="P416" s="142"/>
      <c r="Q416" s="157"/>
      <c r="R416" s="157"/>
      <c r="S416" s="157"/>
      <c r="U416" s="155"/>
    </row>
    <row r="417" spans="1:21" ht="13.2">
      <c r="A417" s="43"/>
      <c r="B417" s="43"/>
      <c r="C417" s="43"/>
      <c r="D417" s="43"/>
      <c r="E417" s="179"/>
      <c r="F417" s="179"/>
      <c r="G417" s="150"/>
      <c r="H417" s="150"/>
      <c r="I417" s="151"/>
      <c r="J417" s="151"/>
      <c r="K417" s="153"/>
      <c r="L417" s="153"/>
      <c r="M417" s="151"/>
      <c r="N417" s="151"/>
      <c r="O417" s="142"/>
      <c r="P417" s="142"/>
      <c r="Q417" s="162"/>
      <c r="R417" s="162"/>
      <c r="S417" s="162"/>
      <c r="U417" s="160"/>
    </row>
    <row r="418" spans="1:21" ht="13.2">
      <c r="A418" s="43"/>
      <c r="B418" s="43"/>
      <c r="C418" s="43"/>
      <c r="D418" s="43"/>
      <c r="E418" s="179"/>
      <c r="F418" s="179"/>
      <c r="G418" s="150"/>
      <c r="H418" s="150"/>
      <c r="I418" s="151"/>
      <c r="J418" s="151"/>
      <c r="K418" s="153"/>
      <c r="L418" s="153"/>
      <c r="M418" s="151"/>
      <c r="N418" s="151"/>
      <c r="O418" s="142"/>
      <c r="P418" s="142"/>
      <c r="Q418" s="157"/>
      <c r="R418" s="157"/>
      <c r="S418" s="157"/>
      <c r="U418" s="155"/>
    </row>
    <row r="419" spans="1:21" ht="13.2">
      <c r="A419" s="43"/>
      <c r="B419" s="43"/>
      <c r="C419" s="43"/>
      <c r="D419" s="43"/>
      <c r="E419" s="179"/>
      <c r="F419" s="179"/>
      <c r="G419" s="150"/>
      <c r="H419" s="150"/>
      <c r="I419" s="151"/>
      <c r="J419" s="151"/>
      <c r="K419" s="153"/>
      <c r="L419" s="153"/>
      <c r="M419" s="151"/>
      <c r="N419" s="151"/>
      <c r="O419" s="142"/>
      <c r="P419" s="142"/>
      <c r="Q419" s="162"/>
      <c r="R419" s="162"/>
      <c r="S419" s="162"/>
      <c r="U419" s="160"/>
    </row>
    <row r="420" spans="1:21" ht="13.2">
      <c r="A420" s="43"/>
      <c r="B420" s="43"/>
      <c r="C420" s="43"/>
      <c r="D420" s="43"/>
      <c r="E420" s="179"/>
      <c r="F420" s="179"/>
      <c r="G420" s="150"/>
      <c r="H420" s="150"/>
      <c r="I420" s="151"/>
      <c r="J420" s="151"/>
      <c r="K420" s="153"/>
      <c r="L420" s="153"/>
      <c r="M420" s="151"/>
      <c r="N420" s="151"/>
      <c r="O420" s="142"/>
      <c r="P420" s="142"/>
      <c r="Q420" s="157"/>
      <c r="R420" s="157"/>
      <c r="S420" s="157"/>
      <c r="U420" s="155"/>
    </row>
    <row r="421" spans="1:21" ht="13.2">
      <c r="A421" s="43"/>
      <c r="B421" s="43"/>
      <c r="C421" s="43"/>
      <c r="D421" s="43"/>
      <c r="E421" s="179"/>
      <c r="F421" s="179"/>
      <c r="G421" s="150"/>
      <c r="H421" s="150"/>
      <c r="I421" s="151"/>
      <c r="J421" s="151"/>
      <c r="K421" s="153"/>
      <c r="L421" s="153"/>
      <c r="M421" s="151"/>
      <c r="N421" s="151"/>
      <c r="O421" s="142"/>
      <c r="P421" s="142"/>
      <c r="Q421" s="162"/>
      <c r="R421" s="162"/>
      <c r="S421" s="162"/>
      <c r="U421" s="160"/>
    </row>
    <row r="422" spans="1:21" ht="13.2">
      <c r="A422" s="43"/>
      <c r="B422" s="43"/>
      <c r="C422" s="43"/>
      <c r="D422" s="43"/>
      <c r="E422" s="179"/>
      <c r="F422" s="179"/>
      <c r="G422" s="150"/>
      <c r="H422" s="150"/>
      <c r="I422" s="151"/>
      <c r="J422" s="151"/>
      <c r="K422" s="153"/>
      <c r="L422" s="153"/>
      <c r="M422" s="151"/>
      <c r="N422" s="151"/>
      <c r="O422" s="142"/>
      <c r="P422" s="142"/>
      <c r="Q422" s="157"/>
      <c r="R422" s="157"/>
      <c r="S422" s="157"/>
      <c r="U422" s="155"/>
    </row>
    <row r="423" spans="1:21" ht="13.2">
      <c r="A423" s="43"/>
      <c r="B423" s="43"/>
      <c r="C423" s="43"/>
      <c r="D423" s="43"/>
      <c r="E423" s="179"/>
      <c r="F423" s="179"/>
      <c r="G423" s="150"/>
      <c r="H423" s="150"/>
      <c r="I423" s="151"/>
      <c r="J423" s="151"/>
      <c r="K423" s="153"/>
      <c r="L423" s="153"/>
      <c r="M423" s="151"/>
      <c r="N423" s="151"/>
      <c r="O423" s="142"/>
      <c r="P423" s="142"/>
      <c r="Q423" s="162"/>
      <c r="R423" s="162"/>
      <c r="S423" s="162"/>
      <c r="U423" s="160"/>
    </row>
    <row r="424" spans="1:21" ht="13.2">
      <c r="A424" s="43"/>
      <c r="B424" s="43"/>
      <c r="C424" s="43"/>
      <c r="D424" s="43"/>
      <c r="E424" s="179"/>
      <c r="F424" s="179"/>
      <c r="G424" s="150"/>
      <c r="H424" s="150"/>
      <c r="I424" s="151"/>
      <c r="J424" s="151"/>
      <c r="K424" s="153"/>
      <c r="L424" s="153"/>
      <c r="M424" s="151"/>
      <c r="N424" s="151"/>
      <c r="O424" s="142"/>
      <c r="P424" s="142"/>
      <c r="Q424" s="157"/>
      <c r="R424" s="157"/>
      <c r="S424" s="157"/>
      <c r="U424" s="155"/>
    </row>
    <row r="425" spans="1:21" ht="13.2">
      <c r="A425" s="43"/>
      <c r="B425" s="43"/>
      <c r="C425" s="43"/>
      <c r="D425" s="43"/>
      <c r="E425" s="179"/>
      <c r="F425" s="179"/>
      <c r="G425" s="150"/>
      <c r="H425" s="150"/>
      <c r="I425" s="151"/>
      <c r="J425" s="151"/>
      <c r="K425" s="153"/>
      <c r="L425" s="153"/>
      <c r="M425" s="151"/>
      <c r="N425" s="151"/>
      <c r="O425" s="142"/>
      <c r="P425" s="142"/>
      <c r="Q425" s="162"/>
      <c r="R425" s="162"/>
      <c r="S425" s="162"/>
      <c r="U425" s="160"/>
    </row>
    <row r="426" spans="1:21" ht="13.2">
      <c r="A426" s="43"/>
      <c r="B426" s="43"/>
      <c r="C426" s="43"/>
      <c r="D426" s="43"/>
      <c r="E426" s="179"/>
      <c r="F426" s="179"/>
      <c r="G426" s="150"/>
      <c r="H426" s="150"/>
      <c r="I426" s="151"/>
      <c r="J426" s="151"/>
      <c r="K426" s="153"/>
      <c r="L426" s="153"/>
      <c r="M426" s="151"/>
      <c r="N426" s="151"/>
      <c r="O426" s="142"/>
      <c r="P426" s="142"/>
      <c r="Q426" s="157"/>
      <c r="R426" s="157"/>
      <c r="S426" s="157"/>
      <c r="U426" s="155"/>
    </row>
    <row r="427" spans="1:21" ht="13.2">
      <c r="A427" s="43"/>
      <c r="B427" s="43"/>
      <c r="C427" s="43"/>
      <c r="D427" s="43"/>
      <c r="E427" s="179"/>
      <c r="F427" s="179"/>
      <c r="G427" s="150"/>
      <c r="H427" s="150"/>
      <c r="I427" s="151"/>
      <c r="J427" s="151"/>
      <c r="K427" s="153"/>
      <c r="L427" s="153"/>
      <c r="M427" s="151"/>
      <c r="N427" s="151"/>
      <c r="O427" s="142"/>
      <c r="P427" s="142"/>
      <c r="Q427" s="162"/>
      <c r="R427" s="162"/>
      <c r="S427" s="162"/>
      <c r="U427" s="160"/>
    </row>
    <row r="428" spans="1:21" ht="13.2">
      <c r="A428" s="43"/>
      <c r="B428" s="43"/>
      <c r="C428" s="43"/>
      <c r="D428" s="43"/>
      <c r="E428" s="179"/>
      <c r="F428" s="179"/>
      <c r="G428" s="150"/>
      <c r="H428" s="150"/>
      <c r="I428" s="151"/>
      <c r="J428" s="151"/>
      <c r="K428" s="153"/>
      <c r="L428" s="153"/>
      <c r="M428" s="151"/>
      <c r="N428" s="151"/>
      <c r="O428" s="142"/>
      <c r="P428" s="142"/>
      <c r="Q428" s="157"/>
      <c r="R428" s="157"/>
      <c r="S428" s="157"/>
      <c r="U428" s="155"/>
    </row>
    <row r="429" spans="1:21" ht="13.2">
      <c r="A429" s="43"/>
      <c r="B429" s="43"/>
      <c r="C429" s="43"/>
      <c r="D429" s="43"/>
      <c r="E429" s="179"/>
      <c r="F429" s="179"/>
      <c r="G429" s="150"/>
      <c r="H429" s="150"/>
      <c r="I429" s="151"/>
      <c r="J429" s="151"/>
      <c r="K429" s="153"/>
      <c r="L429" s="153"/>
      <c r="M429" s="151"/>
      <c r="N429" s="151"/>
      <c r="O429" s="142"/>
      <c r="P429" s="142"/>
      <c r="Q429" s="162"/>
      <c r="R429" s="162"/>
      <c r="S429" s="162"/>
      <c r="U429" s="160"/>
    </row>
    <row r="430" spans="1:21" ht="13.2">
      <c r="A430" s="43"/>
      <c r="B430" s="43"/>
      <c r="C430" s="43"/>
      <c r="D430" s="43"/>
      <c r="E430" s="179"/>
      <c r="F430" s="179"/>
      <c r="G430" s="150"/>
      <c r="H430" s="150"/>
      <c r="I430" s="151"/>
      <c r="J430" s="151"/>
      <c r="K430" s="153"/>
      <c r="L430" s="153"/>
      <c r="M430" s="151"/>
      <c r="N430" s="151"/>
      <c r="O430" s="142"/>
      <c r="P430" s="142"/>
      <c r="Q430" s="157"/>
      <c r="R430" s="157"/>
      <c r="S430" s="157"/>
      <c r="U430" s="155"/>
    </row>
    <row r="431" spans="1:21" ht="13.2">
      <c r="A431" s="43"/>
      <c r="B431" s="43"/>
      <c r="C431" s="43"/>
      <c r="D431" s="43"/>
      <c r="E431" s="179"/>
      <c r="F431" s="179"/>
      <c r="G431" s="150"/>
      <c r="H431" s="150"/>
      <c r="I431" s="151"/>
      <c r="J431" s="151"/>
      <c r="K431" s="153"/>
      <c r="L431" s="153"/>
      <c r="M431" s="151"/>
      <c r="N431" s="151"/>
      <c r="O431" s="142"/>
      <c r="P431" s="142"/>
      <c r="Q431" s="162"/>
      <c r="R431" s="162"/>
      <c r="S431" s="162"/>
      <c r="U431" s="160"/>
    </row>
    <row r="432" spans="1:21" ht="13.2">
      <c r="A432" s="43"/>
      <c r="B432" s="43"/>
      <c r="C432" s="43"/>
      <c r="D432" s="43"/>
      <c r="E432" s="179"/>
      <c r="F432" s="179"/>
      <c r="G432" s="150"/>
      <c r="H432" s="150"/>
      <c r="I432" s="151"/>
      <c r="J432" s="151"/>
      <c r="K432" s="153"/>
      <c r="L432" s="153"/>
      <c r="M432" s="151"/>
      <c r="N432" s="151"/>
      <c r="O432" s="142"/>
      <c r="P432" s="142"/>
      <c r="Q432" s="157"/>
      <c r="R432" s="157"/>
      <c r="S432" s="157"/>
      <c r="U432" s="155"/>
    </row>
    <row r="433" spans="1:21" ht="13.2">
      <c r="A433" s="43"/>
      <c r="B433" s="43"/>
      <c r="C433" s="43"/>
      <c r="D433" s="43"/>
      <c r="E433" s="179"/>
      <c r="F433" s="179"/>
      <c r="G433" s="150"/>
      <c r="H433" s="150"/>
      <c r="I433" s="151"/>
      <c r="J433" s="151"/>
      <c r="K433" s="153"/>
      <c r="L433" s="153"/>
      <c r="M433" s="151"/>
      <c r="N433" s="151"/>
      <c r="O433" s="142"/>
      <c r="P433" s="142"/>
      <c r="Q433" s="162"/>
      <c r="R433" s="162"/>
      <c r="S433" s="162"/>
      <c r="U433" s="160"/>
    </row>
    <row r="434" spans="1:21" ht="13.2">
      <c r="A434" s="43"/>
      <c r="B434" s="43"/>
      <c r="C434" s="43"/>
      <c r="D434" s="43"/>
      <c r="E434" s="179"/>
      <c r="F434" s="179"/>
      <c r="G434" s="150"/>
      <c r="H434" s="150"/>
      <c r="I434" s="151"/>
      <c r="J434" s="151"/>
      <c r="K434" s="153"/>
      <c r="L434" s="153"/>
      <c r="M434" s="151"/>
      <c r="N434" s="151"/>
      <c r="O434" s="142"/>
      <c r="P434" s="142"/>
      <c r="Q434" s="157"/>
      <c r="R434" s="157"/>
      <c r="S434" s="157"/>
      <c r="U434" s="155"/>
    </row>
    <row r="435" spans="1:21" ht="13.2">
      <c r="A435" s="43"/>
      <c r="B435" s="43"/>
      <c r="C435" s="43"/>
      <c r="D435" s="43"/>
      <c r="E435" s="179"/>
      <c r="F435" s="179"/>
      <c r="G435" s="150"/>
      <c r="H435" s="150"/>
      <c r="I435" s="151"/>
      <c r="J435" s="151"/>
      <c r="K435" s="153"/>
      <c r="L435" s="153"/>
      <c r="M435" s="151"/>
      <c r="N435" s="151"/>
      <c r="O435" s="142"/>
      <c r="P435" s="142"/>
      <c r="Q435" s="162"/>
      <c r="R435" s="162"/>
      <c r="S435" s="162"/>
      <c r="U435" s="160"/>
    </row>
    <row r="436" spans="1:21" ht="13.2">
      <c r="A436" s="43"/>
      <c r="B436" s="43"/>
      <c r="C436" s="43"/>
      <c r="D436" s="43"/>
      <c r="E436" s="179"/>
      <c r="F436" s="179"/>
      <c r="G436" s="150"/>
      <c r="H436" s="150"/>
      <c r="I436" s="151"/>
      <c r="J436" s="151"/>
      <c r="K436" s="153"/>
      <c r="L436" s="153"/>
      <c r="M436" s="151"/>
      <c r="N436" s="151"/>
      <c r="O436" s="142"/>
      <c r="P436" s="142"/>
      <c r="Q436" s="157"/>
      <c r="R436" s="157"/>
      <c r="S436" s="157"/>
      <c r="U436" s="155"/>
    </row>
    <row r="437" spans="1:21" ht="13.2">
      <c r="A437" s="43"/>
      <c r="B437" s="43"/>
      <c r="C437" s="43"/>
      <c r="D437" s="43"/>
      <c r="E437" s="179"/>
      <c r="F437" s="179"/>
      <c r="G437" s="150"/>
      <c r="H437" s="150"/>
      <c r="I437" s="151"/>
      <c r="J437" s="151"/>
      <c r="K437" s="153"/>
      <c r="L437" s="153"/>
      <c r="M437" s="151"/>
      <c r="N437" s="151"/>
      <c r="O437" s="142"/>
      <c r="P437" s="142"/>
      <c r="Q437" s="162"/>
      <c r="R437" s="162"/>
      <c r="S437" s="162"/>
      <c r="U437" s="160"/>
    </row>
    <row r="438" spans="1:21" ht="13.2">
      <c r="A438" s="43"/>
      <c r="B438" s="43"/>
      <c r="C438" s="43"/>
      <c r="D438" s="43"/>
      <c r="E438" s="179"/>
      <c r="F438" s="179"/>
      <c r="G438" s="150"/>
      <c r="H438" s="150"/>
      <c r="I438" s="151"/>
      <c r="J438" s="151"/>
      <c r="K438" s="153"/>
      <c r="L438" s="153"/>
      <c r="M438" s="151"/>
      <c r="N438" s="151"/>
      <c r="O438" s="142"/>
      <c r="P438" s="142"/>
      <c r="Q438" s="157"/>
      <c r="R438" s="157"/>
      <c r="S438" s="157"/>
      <c r="U438" s="155"/>
    </row>
    <row r="439" spans="1:21" ht="13.2">
      <c r="A439" s="43"/>
      <c r="B439" s="43"/>
      <c r="C439" s="43"/>
      <c r="D439" s="43"/>
      <c r="E439" s="179"/>
      <c r="F439" s="179"/>
      <c r="G439" s="150"/>
      <c r="H439" s="150"/>
      <c r="I439" s="151"/>
      <c r="J439" s="151"/>
      <c r="K439" s="153"/>
      <c r="L439" s="153"/>
      <c r="M439" s="151"/>
      <c r="N439" s="151"/>
      <c r="O439" s="142"/>
      <c r="P439" s="142"/>
      <c r="Q439" s="162"/>
      <c r="R439" s="162"/>
      <c r="S439" s="162"/>
      <c r="U439" s="160"/>
    </row>
    <row r="440" spans="1:21" ht="13.2">
      <c r="A440" s="43"/>
      <c r="B440" s="43"/>
      <c r="C440" s="43"/>
      <c r="D440" s="43"/>
      <c r="E440" s="179"/>
      <c r="F440" s="179"/>
      <c r="G440" s="150"/>
      <c r="H440" s="150"/>
      <c r="I440" s="151"/>
      <c r="J440" s="151"/>
      <c r="K440" s="153"/>
      <c r="L440" s="153"/>
      <c r="M440" s="151"/>
      <c r="N440" s="151"/>
      <c r="O440" s="142"/>
      <c r="P440" s="142"/>
      <c r="Q440" s="157"/>
      <c r="R440" s="157"/>
      <c r="S440" s="157"/>
      <c r="U440" s="155"/>
    </row>
    <row r="441" spans="1:21" ht="13.2">
      <c r="A441" s="43"/>
      <c r="B441" s="43"/>
      <c r="C441" s="43"/>
      <c r="D441" s="43"/>
      <c r="E441" s="179"/>
      <c r="F441" s="179"/>
      <c r="G441" s="150"/>
      <c r="H441" s="150"/>
      <c r="I441" s="151"/>
      <c r="J441" s="151"/>
      <c r="K441" s="153"/>
      <c r="L441" s="153"/>
      <c r="M441" s="151"/>
      <c r="N441" s="151"/>
      <c r="O441" s="142"/>
      <c r="P441" s="142"/>
      <c r="Q441" s="162"/>
      <c r="R441" s="162"/>
      <c r="S441" s="162"/>
      <c r="U441" s="160"/>
    </row>
    <row r="442" spans="1:21" ht="13.2">
      <c r="A442" s="43"/>
      <c r="B442" s="43"/>
      <c r="C442" s="43"/>
      <c r="D442" s="43"/>
      <c r="E442" s="179"/>
      <c r="F442" s="179"/>
      <c r="G442" s="150"/>
      <c r="H442" s="150"/>
      <c r="I442" s="151"/>
      <c r="J442" s="151"/>
      <c r="K442" s="153"/>
      <c r="L442" s="153"/>
      <c r="M442" s="151"/>
      <c r="N442" s="151"/>
      <c r="O442" s="142"/>
      <c r="P442" s="142"/>
      <c r="Q442" s="157"/>
      <c r="R442" s="157"/>
      <c r="S442" s="157"/>
      <c r="U442" s="155"/>
    </row>
    <row r="443" spans="1:21" ht="13.2">
      <c r="A443" s="43"/>
      <c r="B443" s="43"/>
      <c r="C443" s="43"/>
      <c r="D443" s="43"/>
      <c r="E443" s="179"/>
      <c r="F443" s="179"/>
      <c r="G443" s="150"/>
      <c r="H443" s="150"/>
      <c r="I443" s="151"/>
      <c r="J443" s="151"/>
      <c r="K443" s="153"/>
      <c r="L443" s="153"/>
      <c r="M443" s="151"/>
      <c r="N443" s="151"/>
      <c r="O443" s="142"/>
      <c r="P443" s="142"/>
      <c r="Q443" s="162"/>
      <c r="R443" s="162"/>
      <c r="S443" s="162"/>
      <c r="U443" s="160"/>
    </row>
    <row r="444" spans="1:21" ht="13.2">
      <c r="A444" s="43"/>
      <c r="B444" s="43"/>
      <c r="C444" s="43"/>
      <c r="D444" s="43"/>
      <c r="E444" s="179"/>
      <c r="F444" s="179"/>
      <c r="G444" s="150"/>
      <c r="H444" s="150"/>
      <c r="I444" s="151"/>
      <c r="J444" s="151"/>
      <c r="K444" s="153"/>
      <c r="L444" s="153"/>
      <c r="M444" s="151"/>
      <c r="N444" s="151"/>
      <c r="O444" s="142"/>
      <c r="P444" s="142"/>
      <c r="Q444" s="157"/>
      <c r="R444" s="157"/>
      <c r="S444" s="157"/>
      <c r="U444" s="155"/>
    </row>
    <row r="445" spans="1:21" ht="13.2">
      <c r="A445" s="43"/>
      <c r="B445" s="43"/>
      <c r="C445" s="43"/>
      <c r="D445" s="43"/>
      <c r="E445" s="179"/>
      <c r="F445" s="179"/>
      <c r="G445" s="150"/>
      <c r="H445" s="150"/>
      <c r="I445" s="151"/>
      <c r="J445" s="151"/>
      <c r="K445" s="153"/>
      <c r="L445" s="153"/>
      <c r="M445" s="151"/>
      <c r="N445" s="151"/>
      <c r="O445" s="142"/>
      <c r="P445" s="142"/>
      <c r="Q445" s="162"/>
      <c r="R445" s="162"/>
      <c r="S445" s="162"/>
      <c r="U445" s="160"/>
    </row>
    <row r="446" spans="1:21" ht="13.2">
      <c r="A446" s="43"/>
      <c r="B446" s="43"/>
      <c r="C446" s="43"/>
      <c r="D446" s="43"/>
      <c r="E446" s="179"/>
      <c r="F446" s="179"/>
      <c r="G446" s="150"/>
      <c r="H446" s="150"/>
      <c r="I446" s="151"/>
      <c r="J446" s="151"/>
      <c r="K446" s="153"/>
      <c r="L446" s="153"/>
      <c r="M446" s="151"/>
      <c r="N446" s="151"/>
      <c r="O446" s="142"/>
      <c r="P446" s="142"/>
      <c r="Q446" s="157"/>
      <c r="R446" s="157"/>
      <c r="S446" s="157"/>
      <c r="U446" s="155"/>
    </row>
    <row r="447" spans="1:21" ht="13.2">
      <c r="A447" s="43"/>
      <c r="B447" s="43"/>
      <c r="C447" s="43"/>
      <c r="D447" s="43"/>
      <c r="E447" s="179"/>
      <c r="F447" s="179"/>
      <c r="G447" s="150"/>
      <c r="H447" s="150"/>
      <c r="I447" s="151"/>
      <c r="J447" s="151"/>
      <c r="K447" s="153"/>
      <c r="L447" s="153"/>
      <c r="M447" s="151"/>
      <c r="N447" s="151"/>
      <c r="O447" s="142"/>
      <c r="P447" s="142"/>
      <c r="Q447" s="162"/>
      <c r="R447" s="162"/>
      <c r="S447" s="162"/>
      <c r="U447" s="160"/>
    </row>
    <row r="448" spans="1:21" ht="13.2">
      <c r="A448" s="43"/>
      <c r="B448" s="43"/>
      <c r="C448" s="43"/>
      <c r="D448" s="43"/>
      <c r="E448" s="179"/>
      <c r="F448" s="179"/>
      <c r="G448" s="150"/>
      <c r="H448" s="150"/>
      <c r="I448" s="151"/>
      <c r="J448" s="151"/>
      <c r="K448" s="153"/>
      <c r="L448" s="153"/>
      <c r="M448" s="151"/>
      <c r="N448" s="151"/>
      <c r="O448" s="142"/>
      <c r="P448" s="142"/>
      <c r="Q448" s="157"/>
      <c r="R448" s="157"/>
      <c r="S448" s="157"/>
      <c r="U448" s="155"/>
    </row>
    <row r="449" spans="1:21" ht="13.2">
      <c r="A449" s="43"/>
      <c r="B449" s="43"/>
      <c r="C449" s="43"/>
      <c r="D449" s="43"/>
      <c r="E449" s="179"/>
      <c r="F449" s="179"/>
      <c r="G449" s="150"/>
      <c r="H449" s="150"/>
      <c r="I449" s="151"/>
      <c r="J449" s="151"/>
      <c r="K449" s="153"/>
      <c r="L449" s="153"/>
      <c r="M449" s="151"/>
      <c r="N449" s="151"/>
      <c r="O449" s="142"/>
      <c r="P449" s="142"/>
      <c r="Q449" s="162"/>
      <c r="R449" s="162"/>
      <c r="S449" s="162"/>
      <c r="U449" s="160"/>
    </row>
    <row r="450" spans="1:21" ht="13.2">
      <c r="A450" s="43"/>
      <c r="B450" s="43"/>
      <c r="C450" s="43"/>
      <c r="D450" s="43"/>
      <c r="E450" s="179"/>
      <c r="F450" s="179"/>
      <c r="G450" s="150"/>
      <c r="H450" s="150"/>
      <c r="I450" s="151"/>
      <c r="J450" s="151"/>
      <c r="K450" s="153"/>
      <c r="L450" s="153"/>
      <c r="M450" s="151"/>
      <c r="N450" s="151"/>
      <c r="O450" s="142"/>
      <c r="P450" s="142"/>
      <c r="Q450" s="157"/>
      <c r="R450" s="157"/>
      <c r="S450" s="157"/>
      <c r="U450" s="155"/>
    </row>
    <row r="451" spans="1:21" ht="13.2">
      <c r="A451" s="43"/>
      <c r="B451" s="43"/>
      <c r="C451" s="43"/>
      <c r="D451" s="43"/>
      <c r="E451" s="179"/>
      <c r="F451" s="179"/>
      <c r="G451" s="150"/>
      <c r="H451" s="150"/>
      <c r="I451" s="151"/>
      <c r="J451" s="151"/>
      <c r="K451" s="153"/>
      <c r="L451" s="153"/>
      <c r="M451" s="151"/>
      <c r="N451" s="151"/>
      <c r="O451" s="142"/>
      <c r="P451" s="142"/>
      <c r="Q451" s="162"/>
      <c r="R451" s="162"/>
      <c r="S451" s="162"/>
      <c r="U451" s="160"/>
    </row>
    <row r="452" spans="1:21" ht="13.2">
      <c r="A452" s="43"/>
      <c r="B452" s="43"/>
      <c r="C452" s="43"/>
      <c r="D452" s="43"/>
      <c r="E452" s="179"/>
      <c r="F452" s="179"/>
      <c r="G452" s="150"/>
      <c r="H452" s="150"/>
      <c r="I452" s="151"/>
      <c r="J452" s="151"/>
      <c r="K452" s="153"/>
      <c r="L452" s="153"/>
      <c r="M452" s="151"/>
      <c r="N452" s="151"/>
      <c r="O452" s="142"/>
      <c r="P452" s="142"/>
      <c r="Q452" s="157"/>
      <c r="R452" s="157"/>
      <c r="S452" s="157"/>
      <c r="U452" s="155"/>
    </row>
    <row r="453" spans="1:21" ht="13.2">
      <c r="A453" s="43"/>
      <c r="B453" s="43"/>
      <c r="C453" s="43"/>
      <c r="D453" s="43"/>
      <c r="E453" s="179"/>
      <c r="F453" s="179"/>
      <c r="G453" s="150"/>
      <c r="H453" s="150"/>
      <c r="I453" s="151"/>
      <c r="J453" s="151"/>
      <c r="K453" s="153"/>
      <c r="L453" s="153"/>
      <c r="M453" s="151"/>
      <c r="N453" s="151"/>
      <c r="O453" s="142"/>
      <c r="P453" s="142"/>
      <c r="Q453" s="162"/>
      <c r="R453" s="162"/>
      <c r="S453" s="162"/>
      <c r="U453" s="160"/>
    </row>
    <row r="454" spans="1:21" ht="13.2">
      <c r="A454" s="43"/>
      <c r="B454" s="43"/>
      <c r="C454" s="43"/>
      <c r="D454" s="43"/>
      <c r="E454" s="179"/>
      <c r="F454" s="179"/>
      <c r="G454" s="150"/>
      <c r="H454" s="150"/>
      <c r="I454" s="151"/>
      <c r="J454" s="151"/>
      <c r="K454" s="153"/>
      <c r="L454" s="153"/>
      <c r="M454" s="151"/>
      <c r="N454" s="151"/>
      <c r="O454" s="142"/>
      <c r="P454" s="142"/>
      <c r="Q454" s="157"/>
      <c r="R454" s="157"/>
      <c r="S454" s="157"/>
      <c r="U454" s="155"/>
    </row>
    <row r="455" spans="1:21" ht="13.2">
      <c r="A455" s="43"/>
      <c r="B455" s="43"/>
      <c r="C455" s="43"/>
      <c r="D455" s="43"/>
      <c r="E455" s="179"/>
      <c r="F455" s="179"/>
      <c r="G455" s="150"/>
      <c r="H455" s="150"/>
      <c r="I455" s="151"/>
      <c r="J455" s="151"/>
      <c r="K455" s="153"/>
      <c r="L455" s="153"/>
      <c r="M455" s="151"/>
      <c r="N455" s="151"/>
      <c r="O455" s="142"/>
      <c r="P455" s="142"/>
      <c r="Q455" s="162"/>
      <c r="R455" s="162"/>
      <c r="S455" s="162"/>
      <c r="U455" s="160"/>
    </row>
    <row r="456" spans="1:21" ht="13.2">
      <c r="A456" s="43"/>
      <c r="B456" s="43"/>
      <c r="C456" s="43"/>
      <c r="D456" s="43"/>
      <c r="E456" s="179"/>
      <c r="F456" s="179"/>
      <c r="G456" s="150"/>
      <c r="H456" s="150"/>
      <c r="I456" s="151"/>
      <c r="J456" s="151"/>
      <c r="K456" s="153"/>
      <c r="L456" s="153"/>
      <c r="M456" s="151"/>
      <c r="N456" s="151"/>
      <c r="O456" s="142"/>
      <c r="P456" s="142"/>
      <c r="Q456" s="157"/>
      <c r="R456" s="157"/>
      <c r="S456" s="157"/>
      <c r="U456" s="155"/>
    </row>
    <row r="457" spans="1:21" ht="13.2">
      <c r="A457" s="43"/>
      <c r="B457" s="43"/>
      <c r="C457" s="43"/>
      <c r="D457" s="43"/>
      <c r="E457" s="179"/>
      <c r="F457" s="179"/>
      <c r="G457" s="150"/>
      <c r="H457" s="150"/>
      <c r="I457" s="151"/>
      <c r="J457" s="151"/>
      <c r="K457" s="153"/>
      <c r="L457" s="153"/>
      <c r="M457" s="151"/>
      <c r="N457" s="151"/>
      <c r="O457" s="142"/>
      <c r="P457" s="142"/>
      <c r="Q457" s="162"/>
      <c r="R457" s="162"/>
      <c r="S457" s="162"/>
      <c r="U457" s="160"/>
    </row>
    <row r="458" spans="1:21" ht="13.2">
      <c r="A458" s="43"/>
      <c r="B458" s="43"/>
      <c r="C458" s="43"/>
      <c r="D458" s="43"/>
      <c r="E458" s="179"/>
      <c r="F458" s="179"/>
      <c r="G458" s="150"/>
      <c r="H458" s="150"/>
      <c r="I458" s="151"/>
      <c r="J458" s="151"/>
      <c r="K458" s="153"/>
      <c r="L458" s="153"/>
      <c r="M458" s="151"/>
      <c r="N458" s="151"/>
      <c r="O458" s="142"/>
      <c r="P458" s="142"/>
      <c r="Q458" s="157"/>
      <c r="R458" s="157"/>
      <c r="S458" s="157"/>
      <c r="U458" s="155"/>
    </row>
    <row r="459" spans="1:21" ht="13.2">
      <c r="A459" s="43"/>
      <c r="B459" s="43"/>
      <c r="C459" s="43"/>
      <c r="D459" s="43"/>
      <c r="E459" s="179"/>
      <c r="F459" s="179"/>
      <c r="G459" s="150"/>
      <c r="H459" s="150"/>
      <c r="I459" s="151"/>
      <c r="J459" s="151"/>
      <c r="K459" s="153"/>
      <c r="L459" s="153"/>
      <c r="M459" s="151"/>
      <c r="N459" s="151"/>
      <c r="O459" s="142"/>
      <c r="P459" s="142"/>
      <c r="Q459" s="162"/>
      <c r="R459" s="162"/>
      <c r="S459" s="162"/>
      <c r="U459" s="160"/>
    </row>
    <row r="460" spans="1:21" ht="13.2">
      <c r="A460" s="43"/>
      <c r="B460" s="43"/>
      <c r="C460" s="43"/>
      <c r="D460" s="43"/>
      <c r="E460" s="179"/>
      <c r="F460" s="179"/>
      <c r="G460" s="150"/>
      <c r="H460" s="150"/>
      <c r="I460" s="151"/>
      <c r="J460" s="151"/>
      <c r="K460" s="153"/>
      <c r="L460" s="153"/>
      <c r="M460" s="151"/>
      <c r="N460" s="151"/>
      <c r="O460" s="142"/>
      <c r="P460" s="142"/>
      <c r="Q460" s="157"/>
      <c r="R460" s="157"/>
      <c r="S460" s="157"/>
      <c r="U460" s="155"/>
    </row>
    <row r="461" spans="1:21" ht="13.2">
      <c r="A461" s="43"/>
      <c r="B461" s="43"/>
      <c r="C461" s="43"/>
      <c r="D461" s="43"/>
      <c r="E461" s="179"/>
      <c r="F461" s="179"/>
      <c r="G461" s="150"/>
      <c r="H461" s="150"/>
      <c r="I461" s="151"/>
      <c r="J461" s="151"/>
      <c r="K461" s="153"/>
      <c r="L461" s="153"/>
      <c r="M461" s="151"/>
      <c r="N461" s="151"/>
      <c r="O461" s="142"/>
      <c r="P461" s="142"/>
      <c r="Q461" s="162"/>
      <c r="R461" s="162"/>
      <c r="S461" s="162"/>
      <c r="U461" s="160"/>
    </row>
    <row r="462" spans="1:21" ht="13.2">
      <c r="A462" s="43"/>
      <c r="B462" s="43"/>
      <c r="C462" s="43"/>
      <c r="D462" s="43"/>
      <c r="E462" s="179"/>
      <c r="F462" s="179"/>
      <c r="G462" s="150"/>
      <c r="H462" s="150"/>
      <c r="I462" s="151"/>
      <c r="J462" s="151"/>
      <c r="K462" s="153"/>
      <c r="L462" s="153"/>
      <c r="M462" s="151"/>
      <c r="N462" s="151"/>
      <c r="O462" s="142"/>
      <c r="P462" s="142"/>
      <c r="Q462" s="157"/>
      <c r="R462" s="157"/>
      <c r="S462" s="157"/>
      <c r="U462" s="155"/>
    </row>
    <row r="463" spans="1:21" ht="13.2">
      <c r="A463" s="43"/>
      <c r="B463" s="43"/>
      <c r="C463" s="43"/>
      <c r="D463" s="43"/>
      <c r="E463" s="179"/>
      <c r="F463" s="179"/>
      <c r="G463" s="150"/>
      <c r="H463" s="150"/>
      <c r="I463" s="151"/>
      <c r="J463" s="151"/>
      <c r="K463" s="153"/>
      <c r="L463" s="153"/>
      <c r="M463" s="151"/>
      <c r="N463" s="151"/>
      <c r="O463" s="142"/>
      <c r="P463" s="142"/>
      <c r="Q463" s="162"/>
      <c r="R463" s="162"/>
      <c r="S463" s="162"/>
      <c r="U463" s="160"/>
    </row>
    <row r="464" spans="1:21" ht="13.2">
      <c r="A464" s="43"/>
      <c r="B464" s="43"/>
      <c r="C464" s="43"/>
      <c r="D464" s="43"/>
      <c r="E464" s="179"/>
      <c r="F464" s="179"/>
      <c r="G464" s="150"/>
      <c r="H464" s="150"/>
      <c r="I464" s="151"/>
      <c r="J464" s="151"/>
      <c r="K464" s="153"/>
      <c r="L464" s="153"/>
      <c r="M464" s="151"/>
      <c r="N464" s="151"/>
      <c r="O464" s="142"/>
      <c r="P464" s="142"/>
      <c r="Q464" s="157"/>
      <c r="R464" s="157"/>
      <c r="S464" s="157"/>
      <c r="U464" s="155"/>
    </row>
    <row r="465" spans="1:21" ht="13.2">
      <c r="A465" s="43"/>
      <c r="B465" s="43"/>
      <c r="C465" s="43"/>
      <c r="D465" s="43"/>
      <c r="E465" s="179"/>
      <c r="F465" s="179"/>
      <c r="G465" s="150"/>
      <c r="H465" s="150"/>
      <c r="I465" s="151"/>
      <c r="J465" s="151"/>
      <c r="K465" s="153"/>
      <c r="L465" s="153"/>
      <c r="M465" s="151"/>
      <c r="N465" s="151"/>
      <c r="O465" s="142"/>
      <c r="P465" s="142"/>
      <c r="Q465" s="162"/>
      <c r="R465" s="162"/>
      <c r="S465" s="162"/>
      <c r="U465" s="160"/>
    </row>
    <row r="466" spans="1:21" ht="13.2">
      <c r="A466" s="43"/>
      <c r="B466" s="43"/>
      <c r="C466" s="43"/>
      <c r="D466" s="43"/>
      <c r="E466" s="179"/>
      <c r="F466" s="179"/>
      <c r="G466" s="150"/>
      <c r="H466" s="150"/>
      <c r="I466" s="151"/>
      <c r="J466" s="151"/>
      <c r="K466" s="153"/>
      <c r="L466" s="153"/>
      <c r="M466" s="151"/>
      <c r="N466" s="151"/>
      <c r="O466" s="142"/>
      <c r="P466" s="142"/>
      <c r="Q466" s="157"/>
      <c r="R466" s="157"/>
      <c r="S466" s="157"/>
      <c r="U466" s="155"/>
    </row>
    <row r="467" spans="1:21" ht="13.2">
      <c r="A467" s="43"/>
      <c r="B467" s="43"/>
      <c r="C467" s="43"/>
      <c r="D467" s="43"/>
      <c r="E467" s="179"/>
      <c r="F467" s="179"/>
      <c r="G467" s="150"/>
      <c r="H467" s="150"/>
      <c r="I467" s="151"/>
      <c r="J467" s="151"/>
      <c r="K467" s="153"/>
      <c r="L467" s="153"/>
      <c r="M467" s="151"/>
      <c r="N467" s="151"/>
      <c r="O467" s="142"/>
      <c r="P467" s="142"/>
      <c r="Q467" s="162"/>
      <c r="R467" s="162"/>
      <c r="S467" s="162"/>
      <c r="U467" s="160"/>
    </row>
    <row r="468" spans="1:21" ht="13.2">
      <c r="A468" s="43"/>
      <c r="B468" s="43"/>
      <c r="C468" s="43"/>
      <c r="D468" s="43"/>
      <c r="E468" s="179"/>
      <c r="F468" s="179"/>
      <c r="G468" s="150"/>
      <c r="H468" s="150"/>
      <c r="I468" s="151"/>
      <c r="J468" s="151"/>
      <c r="K468" s="153"/>
      <c r="L468" s="153"/>
      <c r="M468" s="151"/>
      <c r="N468" s="151"/>
      <c r="O468" s="142"/>
      <c r="P468" s="142"/>
      <c r="Q468" s="157"/>
      <c r="R468" s="157"/>
      <c r="S468" s="157"/>
      <c r="U468" s="155"/>
    </row>
    <row r="469" spans="1:21" ht="13.2">
      <c r="A469" s="43"/>
      <c r="B469" s="43"/>
      <c r="C469" s="43"/>
      <c r="D469" s="43"/>
      <c r="E469" s="179"/>
      <c r="F469" s="179"/>
      <c r="G469" s="150"/>
      <c r="H469" s="150"/>
      <c r="I469" s="151"/>
      <c r="J469" s="151"/>
      <c r="K469" s="153"/>
      <c r="L469" s="153"/>
      <c r="M469" s="151"/>
      <c r="N469" s="151"/>
      <c r="O469" s="142"/>
      <c r="P469" s="142"/>
      <c r="Q469" s="162"/>
      <c r="R469" s="162"/>
      <c r="S469" s="162"/>
      <c r="U469" s="160"/>
    </row>
    <row r="470" spans="1:21" ht="13.2">
      <c r="A470" s="43"/>
      <c r="B470" s="43"/>
      <c r="C470" s="43"/>
      <c r="D470" s="43"/>
      <c r="E470" s="179"/>
      <c r="F470" s="179"/>
      <c r="G470" s="150"/>
      <c r="H470" s="150"/>
      <c r="I470" s="151"/>
      <c r="J470" s="151"/>
      <c r="K470" s="153"/>
      <c r="L470" s="153"/>
      <c r="M470" s="151"/>
      <c r="N470" s="151"/>
      <c r="O470" s="142"/>
      <c r="P470" s="142"/>
      <c r="Q470" s="157"/>
      <c r="R470" s="157"/>
      <c r="S470" s="157"/>
      <c r="U470" s="155"/>
    </row>
    <row r="471" spans="1:21" ht="13.2">
      <c r="A471" s="43"/>
      <c r="B471" s="43"/>
      <c r="C471" s="43"/>
      <c r="D471" s="43"/>
      <c r="E471" s="179"/>
      <c r="F471" s="179"/>
      <c r="G471" s="150"/>
      <c r="H471" s="150"/>
      <c r="I471" s="151"/>
      <c r="J471" s="151"/>
      <c r="K471" s="153"/>
      <c r="L471" s="153"/>
      <c r="M471" s="151"/>
      <c r="N471" s="151"/>
      <c r="O471" s="142"/>
      <c r="P471" s="142"/>
      <c r="Q471" s="162"/>
      <c r="R471" s="162"/>
      <c r="S471" s="162"/>
      <c r="U471" s="160"/>
    </row>
    <row r="472" spans="1:21" ht="13.2">
      <c r="A472" s="43"/>
      <c r="B472" s="43"/>
      <c r="C472" s="43"/>
      <c r="D472" s="43"/>
      <c r="E472" s="179"/>
      <c r="F472" s="179"/>
      <c r="G472" s="150"/>
      <c r="H472" s="150"/>
      <c r="I472" s="151"/>
      <c r="J472" s="151"/>
      <c r="K472" s="153"/>
      <c r="L472" s="153"/>
      <c r="M472" s="151"/>
      <c r="N472" s="151"/>
      <c r="O472" s="142"/>
      <c r="P472" s="142"/>
      <c r="Q472" s="157"/>
      <c r="R472" s="157"/>
      <c r="S472" s="157"/>
      <c r="U472" s="155"/>
    </row>
    <row r="473" spans="1:21" ht="13.2">
      <c r="A473" s="43"/>
      <c r="B473" s="43"/>
      <c r="C473" s="43"/>
      <c r="D473" s="43"/>
      <c r="E473" s="179"/>
      <c r="F473" s="179"/>
      <c r="G473" s="150"/>
      <c r="H473" s="150"/>
      <c r="I473" s="151"/>
      <c r="J473" s="151"/>
      <c r="K473" s="153"/>
      <c r="L473" s="153"/>
      <c r="M473" s="151"/>
      <c r="N473" s="151"/>
      <c r="O473" s="142"/>
      <c r="P473" s="142"/>
      <c r="Q473" s="162"/>
      <c r="R473" s="162"/>
      <c r="S473" s="162"/>
      <c r="U473" s="160"/>
    </row>
    <row r="474" spans="1:21" ht="13.2">
      <c r="A474" s="43"/>
      <c r="B474" s="43"/>
      <c r="C474" s="43"/>
      <c r="D474" s="43"/>
      <c r="E474" s="179"/>
      <c r="F474" s="179"/>
      <c r="G474" s="150"/>
      <c r="H474" s="150"/>
      <c r="I474" s="151"/>
      <c r="J474" s="151"/>
      <c r="K474" s="153"/>
      <c r="L474" s="153"/>
      <c r="M474" s="151"/>
      <c r="N474" s="151"/>
      <c r="O474" s="142"/>
      <c r="P474" s="142"/>
      <c r="Q474" s="157"/>
      <c r="R474" s="157"/>
      <c r="S474" s="157"/>
      <c r="U474" s="155"/>
    </row>
    <row r="475" spans="1:21" ht="13.2">
      <c r="A475" s="43"/>
      <c r="B475" s="43"/>
      <c r="C475" s="43"/>
      <c r="D475" s="43"/>
      <c r="E475" s="179"/>
      <c r="F475" s="179"/>
      <c r="G475" s="150"/>
      <c r="H475" s="150"/>
      <c r="I475" s="151"/>
      <c r="J475" s="151"/>
      <c r="K475" s="153"/>
      <c r="L475" s="153"/>
      <c r="M475" s="151"/>
      <c r="N475" s="151"/>
      <c r="O475" s="142"/>
      <c r="P475" s="142"/>
      <c r="Q475" s="162"/>
      <c r="R475" s="162"/>
      <c r="S475" s="162"/>
      <c r="U475" s="160"/>
    </row>
    <row r="476" spans="1:21" ht="13.2">
      <c r="A476" s="43"/>
      <c r="B476" s="43"/>
      <c r="C476" s="43"/>
      <c r="D476" s="43"/>
      <c r="E476" s="179"/>
      <c r="F476" s="179"/>
      <c r="G476" s="150"/>
      <c r="H476" s="150"/>
      <c r="I476" s="151"/>
      <c r="J476" s="151"/>
      <c r="K476" s="153"/>
      <c r="L476" s="153"/>
      <c r="M476" s="151"/>
      <c r="N476" s="151"/>
      <c r="O476" s="142"/>
      <c r="P476" s="142"/>
      <c r="Q476" s="157"/>
      <c r="R476" s="157"/>
      <c r="S476" s="157"/>
      <c r="U476" s="155"/>
    </row>
    <row r="477" spans="1:21" ht="13.2">
      <c r="A477" s="43"/>
      <c r="B477" s="43"/>
      <c r="C477" s="43"/>
      <c r="D477" s="43"/>
      <c r="E477" s="179"/>
      <c r="F477" s="179"/>
      <c r="G477" s="150"/>
      <c r="H477" s="150"/>
      <c r="I477" s="151"/>
      <c r="J477" s="151"/>
      <c r="K477" s="153"/>
      <c r="L477" s="153"/>
      <c r="M477" s="151"/>
      <c r="N477" s="151"/>
      <c r="O477" s="142"/>
      <c r="P477" s="142"/>
      <c r="Q477" s="162"/>
      <c r="R477" s="162"/>
      <c r="S477" s="162"/>
      <c r="U477" s="160"/>
    </row>
    <row r="478" spans="1:21" ht="13.2">
      <c r="A478" s="43"/>
      <c r="B478" s="43"/>
      <c r="C478" s="43"/>
      <c r="D478" s="43"/>
      <c r="E478" s="179"/>
      <c r="F478" s="179"/>
      <c r="G478" s="150"/>
      <c r="H478" s="150"/>
      <c r="I478" s="151"/>
      <c r="J478" s="151"/>
      <c r="K478" s="153"/>
      <c r="L478" s="153"/>
      <c r="M478" s="151"/>
      <c r="N478" s="151"/>
      <c r="O478" s="142"/>
      <c r="P478" s="142"/>
      <c r="Q478" s="157"/>
      <c r="R478" s="157"/>
      <c r="S478" s="157"/>
      <c r="U478" s="155"/>
    </row>
    <row r="479" spans="1:21" ht="13.2">
      <c r="A479" s="43"/>
      <c r="B479" s="43"/>
      <c r="C479" s="43"/>
      <c r="D479" s="43"/>
      <c r="E479" s="179"/>
      <c r="F479" s="179"/>
      <c r="G479" s="150"/>
      <c r="H479" s="150"/>
      <c r="I479" s="151"/>
      <c r="J479" s="151"/>
      <c r="K479" s="153"/>
      <c r="L479" s="153"/>
      <c r="M479" s="151"/>
      <c r="N479" s="151"/>
      <c r="O479" s="142"/>
      <c r="P479" s="142"/>
      <c r="Q479" s="162"/>
      <c r="R479" s="162"/>
      <c r="S479" s="162"/>
      <c r="U479" s="160"/>
    </row>
    <row r="480" spans="1:21" ht="13.2">
      <c r="A480" s="43"/>
      <c r="B480" s="43"/>
      <c r="C480" s="43"/>
      <c r="D480" s="43"/>
      <c r="E480" s="179"/>
      <c r="F480" s="179"/>
      <c r="G480" s="150"/>
      <c r="H480" s="150"/>
      <c r="I480" s="151"/>
      <c r="J480" s="151"/>
      <c r="K480" s="153"/>
      <c r="L480" s="153"/>
      <c r="M480" s="151"/>
      <c r="N480" s="151"/>
      <c r="O480" s="142"/>
      <c r="P480" s="142"/>
      <c r="Q480" s="157"/>
      <c r="R480" s="157"/>
      <c r="S480" s="157"/>
      <c r="U480" s="155"/>
    </row>
    <row r="481" spans="1:21" ht="13.2">
      <c r="A481" s="43"/>
      <c r="B481" s="43"/>
      <c r="C481" s="43"/>
      <c r="D481" s="43"/>
      <c r="E481" s="179"/>
      <c r="F481" s="179"/>
      <c r="G481" s="150"/>
      <c r="H481" s="150"/>
      <c r="I481" s="151"/>
      <c r="J481" s="151"/>
      <c r="K481" s="153"/>
      <c r="L481" s="153"/>
      <c r="M481" s="151"/>
      <c r="N481" s="151"/>
      <c r="O481" s="142"/>
      <c r="P481" s="142"/>
      <c r="Q481" s="162"/>
      <c r="R481" s="162"/>
      <c r="S481" s="162"/>
      <c r="U481" s="160"/>
    </row>
    <row r="482" spans="1:21" ht="13.2">
      <c r="A482" s="43"/>
      <c r="B482" s="43"/>
      <c r="C482" s="43"/>
      <c r="D482" s="43"/>
      <c r="E482" s="179"/>
      <c r="F482" s="179"/>
      <c r="G482" s="150"/>
      <c r="H482" s="150"/>
      <c r="I482" s="151"/>
      <c r="J482" s="151"/>
      <c r="K482" s="153"/>
      <c r="L482" s="153"/>
      <c r="M482" s="151"/>
      <c r="N482" s="151"/>
      <c r="O482" s="142"/>
      <c r="P482" s="142"/>
      <c r="Q482" s="157"/>
      <c r="R482" s="157"/>
      <c r="S482" s="157"/>
      <c r="U482" s="155"/>
    </row>
    <row r="483" spans="1:21" ht="13.2">
      <c r="A483" s="43"/>
      <c r="B483" s="43"/>
      <c r="C483" s="43"/>
      <c r="D483" s="43"/>
      <c r="E483" s="179"/>
      <c r="F483" s="179"/>
      <c r="G483" s="150"/>
      <c r="H483" s="150"/>
      <c r="I483" s="151"/>
      <c r="J483" s="151"/>
      <c r="K483" s="153"/>
      <c r="L483" s="153"/>
      <c r="M483" s="151"/>
      <c r="N483" s="151"/>
      <c r="O483" s="142"/>
      <c r="P483" s="142"/>
      <c r="Q483" s="162"/>
      <c r="R483" s="162"/>
      <c r="S483" s="162"/>
      <c r="U483" s="160"/>
    </row>
    <row r="484" spans="1:21" ht="13.2">
      <c r="A484" s="43"/>
      <c r="B484" s="43"/>
      <c r="C484" s="43"/>
      <c r="D484" s="43"/>
      <c r="E484" s="179"/>
      <c r="F484" s="179"/>
      <c r="G484" s="150"/>
      <c r="H484" s="150"/>
      <c r="I484" s="151"/>
      <c r="J484" s="151"/>
      <c r="K484" s="153"/>
      <c r="L484" s="153"/>
      <c r="M484" s="151"/>
      <c r="N484" s="151"/>
      <c r="O484" s="142"/>
      <c r="P484" s="142"/>
      <c r="Q484" s="157"/>
      <c r="R484" s="157"/>
      <c r="S484" s="157"/>
      <c r="U484" s="155"/>
    </row>
    <row r="485" spans="1:21" ht="13.2">
      <c r="A485" s="43"/>
      <c r="B485" s="43"/>
      <c r="C485" s="43"/>
      <c r="D485" s="43"/>
      <c r="E485" s="179"/>
      <c r="F485" s="179"/>
      <c r="G485" s="150"/>
      <c r="H485" s="150"/>
      <c r="I485" s="151"/>
      <c r="J485" s="151"/>
      <c r="K485" s="153"/>
      <c r="L485" s="153"/>
      <c r="M485" s="151"/>
      <c r="N485" s="151"/>
      <c r="O485" s="142"/>
      <c r="P485" s="142"/>
      <c r="Q485" s="162"/>
      <c r="R485" s="162"/>
      <c r="S485" s="162"/>
      <c r="U485" s="160"/>
    </row>
    <row r="486" spans="1:21" ht="13.2">
      <c r="A486" s="43"/>
      <c r="B486" s="43"/>
      <c r="C486" s="43"/>
      <c r="D486" s="43"/>
      <c r="E486" s="179"/>
      <c r="F486" s="179"/>
      <c r="G486" s="150"/>
      <c r="H486" s="150"/>
      <c r="I486" s="151"/>
      <c r="J486" s="151"/>
      <c r="K486" s="153"/>
      <c r="L486" s="153"/>
      <c r="M486" s="151"/>
      <c r="N486" s="151"/>
      <c r="O486" s="142"/>
      <c r="P486" s="142"/>
      <c r="Q486" s="157"/>
      <c r="R486" s="157"/>
      <c r="S486" s="157"/>
      <c r="U486" s="155"/>
    </row>
    <row r="487" spans="1:21" ht="13.2">
      <c r="A487" s="43"/>
      <c r="B487" s="43"/>
      <c r="C487" s="43"/>
      <c r="D487" s="43"/>
      <c r="E487" s="179"/>
      <c r="F487" s="179"/>
      <c r="G487" s="150"/>
      <c r="H487" s="150"/>
      <c r="I487" s="151"/>
      <c r="J487" s="151"/>
      <c r="K487" s="153"/>
      <c r="L487" s="153"/>
      <c r="M487" s="151"/>
      <c r="N487" s="151"/>
      <c r="O487" s="142"/>
      <c r="P487" s="142"/>
      <c r="Q487" s="162"/>
      <c r="R487" s="162"/>
      <c r="S487" s="162"/>
      <c r="U487" s="160"/>
    </row>
    <row r="488" spans="1:21" ht="13.2">
      <c r="A488" s="43"/>
      <c r="B488" s="43"/>
      <c r="C488" s="43"/>
      <c r="D488" s="43"/>
      <c r="E488" s="179"/>
      <c r="F488" s="179"/>
      <c r="G488" s="150"/>
      <c r="H488" s="150"/>
      <c r="I488" s="151"/>
      <c r="J488" s="151"/>
      <c r="K488" s="153"/>
      <c r="L488" s="153"/>
      <c r="M488" s="151"/>
      <c r="N488" s="151"/>
      <c r="O488" s="142"/>
      <c r="P488" s="142"/>
      <c r="Q488" s="157"/>
      <c r="R488" s="157"/>
      <c r="S488" s="157"/>
      <c r="U488" s="155"/>
    </row>
    <row r="489" spans="1:21" ht="13.2">
      <c r="A489" s="43"/>
      <c r="B489" s="43"/>
      <c r="C489" s="43"/>
      <c r="D489" s="43"/>
      <c r="E489" s="179"/>
      <c r="F489" s="179"/>
      <c r="G489" s="150"/>
      <c r="H489" s="150"/>
      <c r="I489" s="151"/>
      <c r="J489" s="151"/>
      <c r="K489" s="153"/>
      <c r="L489" s="153"/>
      <c r="M489" s="151"/>
      <c r="N489" s="151"/>
      <c r="O489" s="142"/>
      <c r="P489" s="142"/>
      <c r="Q489" s="162"/>
      <c r="R489" s="162"/>
      <c r="S489" s="162"/>
      <c r="U489" s="160"/>
    </row>
    <row r="490" spans="1:21" ht="13.2">
      <c r="A490" s="43"/>
      <c r="B490" s="43"/>
      <c r="C490" s="43"/>
      <c r="D490" s="43"/>
      <c r="E490" s="179"/>
      <c r="F490" s="179"/>
      <c r="G490" s="150"/>
      <c r="H490" s="150"/>
      <c r="I490" s="151"/>
      <c r="J490" s="151"/>
      <c r="K490" s="153"/>
      <c r="L490" s="153"/>
      <c r="M490" s="151"/>
      <c r="N490" s="151"/>
      <c r="O490" s="142"/>
      <c r="P490" s="142"/>
      <c r="Q490" s="157"/>
      <c r="R490" s="157"/>
      <c r="S490" s="157"/>
      <c r="U490" s="155"/>
    </row>
    <row r="491" spans="1:21" ht="13.2">
      <c r="A491" s="43"/>
      <c r="B491" s="43"/>
      <c r="C491" s="43"/>
      <c r="D491" s="43"/>
      <c r="E491" s="179"/>
      <c r="F491" s="179"/>
      <c r="G491" s="150"/>
      <c r="H491" s="150"/>
      <c r="I491" s="151"/>
      <c r="J491" s="151"/>
      <c r="K491" s="153"/>
      <c r="L491" s="153"/>
      <c r="M491" s="151"/>
      <c r="N491" s="151"/>
      <c r="O491" s="142"/>
      <c r="P491" s="142"/>
      <c r="Q491" s="162"/>
      <c r="R491" s="162"/>
      <c r="S491" s="162"/>
      <c r="U491" s="160"/>
    </row>
    <row r="492" spans="1:21" ht="13.2">
      <c r="A492" s="43"/>
      <c r="B492" s="43"/>
      <c r="C492" s="43"/>
      <c r="D492" s="43"/>
      <c r="E492" s="179"/>
      <c r="F492" s="179"/>
      <c r="G492" s="150"/>
      <c r="H492" s="150"/>
      <c r="I492" s="151"/>
      <c r="J492" s="151"/>
      <c r="K492" s="153"/>
      <c r="L492" s="153"/>
      <c r="M492" s="151"/>
      <c r="N492" s="151"/>
      <c r="O492" s="142"/>
      <c r="P492" s="142"/>
      <c r="Q492" s="157"/>
      <c r="R492" s="157"/>
      <c r="S492" s="157"/>
      <c r="U492" s="155"/>
    </row>
    <row r="493" spans="1:21" ht="13.2">
      <c r="A493" s="43"/>
      <c r="B493" s="43"/>
      <c r="C493" s="43"/>
      <c r="D493" s="43"/>
      <c r="E493" s="179"/>
      <c r="F493" s="179"/>
      <c r="G493" s="150"/>
      <c r="H493" s="150"/>
      <c r="I493" s="151"/>
      <c r="J493" s="151"/>
      <c r="K493" s="153"/>
      <c r="L493" s="153"/>
      <c r="M493" s="151"/>
      <c r="N493" s="151"/>
      <c r="O493" s="142"/>
      <c r="P493" s="142"/>
      <c r="Q493" s="162"/>
      <c r="R493" s="162"/>
      <c r="S493" s="162"/>
      <c r="U493" s="160"/>
    </row>
    <row r="494" spans="1:21" ht="13.2">
      <c r="A494" s="43"/>
      <c r="B494" s="43"/>
      <c r="C494" s="43"/>
      <c r="D494" s="43"/>
      <c r="E494" s="179"/>
      <c r="F494" s="179"/>
      <c r="G494" s="150"/>
      <c r="H494" s="150"/>
      <c r="I494" s="151"/>
      <c r="J494" s="151"/>
      <c r="K494" s="153"/>
      <c r="L494" s="153"/>
      <c r="M494" s="151"/>
      <c r="N494" s="151"/>
      <c r="O494" s="142"/>
      <c r="P494" s="142"/>
      <c r="Q494" s="157"/>
      <c r="R494" s="157"/>
      <c r="S494" s="157"/>
      <c r="U494" s="155"/>
    </row>
    <row r="495" spans="1:21" ht="13.2">
      <c r="A495" s="43"/>
      <c r="B495" s="43"/>
      <c r="C495" s="43"/>
      <c r="D495" s="43"/>
      <c r="E495" s="179"/>
      <c r="F495" s="179"/>
      <c r="G495" s="150"/>
      <c r="H495" s="150"/>
      <c r="I495" s="151"/>
      <c r="J495" s="151"/>
      <c r="K495" s="153"/>
      <c r="L495" s="153"/>
      <c r="M495" s="151"/>
      <c r="N495" s="151"/>
      <c r="O495" s="142"/>
      <c r="P495" s="142"/>
      <c r="Q495" s="162"/>
      <c r="R495" s="162"/>
      <c r="S495" s="162"/>
      <c r="U495" s="160"/>
    </row>
    <row r="496" spans="1:21" ht="13.2">
      <c r="A496" s="43"/>
      <c r="B496" s="43"/>
      <c r="C496" s="43"/>
      <c r="D496" s="43"/>
      <c r="E496" s="179"/>
      <c r="F496" s="179"/>
      <c r="G496" s="150"/>
      <c r="H496" s="150"/>
      <c r="I496" s="151"/>
      <c r="J496" s="151"/>
      <c r="K496" s="153"/>
      <c r="L496" s="153"/>
      <c r="M496" s="151"/>
      <c r="N496" s="151"/>
      <c r="O496" s="142"/>
      <c r="P496" s="142"/>
      <c r="Q496" s="157"/>
      <c r="R496" s="157"/>
      <c r="S496" s="157"/>
      <c r="U496" s="155"/>
    </row>
    <row r="497" spans="1:21" ht="13.2">
      <c r="A497" s="43"/>
      <c r="B497" s="43"/>
      <c r="C497" s="43"/>
      <c r="D497" s="43"/>
      <c r="E497" s="179"/>
      <c r="F497" s="179"/>
      <c r="G497" s="150"/>
      <c r="H497" s="150"/>
      <c r="I497" s="151"/>
      <c r="J497" s="151"/>
      <c r="K497" s="153"/>
      <c r="L497" s="153"/>
      <c r="M497" s="151"/>
      <c r="N497" s="151"/>
      <c r="O497" s="142"/>
      <c r="P497" s="142"/>
      <c r="Q497" s="162"/>
      <c r="R497" s="162"/>
      <c r="S497" s="162"/>
      <c r="U497" s="160"/>
    </row>
    <row r="498" spans="1:21" ht="13.2">
      <c r="A498" s="43"/>
      <c r="B498" s="43"/>
      <c r="C498" s="43"/>
      <c r="D498" s="43"/>
      <c r="E498" s="179"/>
      <c r="F498" s="179"/>
      <c r="G498" s="150"/>
      <c r="H498" s="150"/>
      <c r="I498" s="151"/>
      <c r="J498" s="151"/>
      <c r="K498" s="153"/>
      <c r="L498" s="153"/>
      <c r="M498" s="151"/>
      <c r="N498" s="151"/>
      <c r="O498" s="142"/>
      <c r="P498" s="142"/>
      <c r="Q498" s="157"/>
      <c r="R498" s="157"/>
      <c r="S498" s="157"/>
      <c r="U498" s="155"/>
    </row>
    <row r="499" spans="1:21" ht="13.2">
      <c r="A499" s="43"/>
      <c r="B499" s="43"/>
      <c r="C499" s="43"/>
      <c r="D499" s="43"/>
      <c r="E499" s="179"/>
      <c r="F499" s="179"/>
      <c r="G499" s="150"/>
      <c r="H499" s="150"/>
      <c r="I499" s="151"/>
      <c r="J499" s="151"/>
      <c r="K499" s="153"/>
      <c r="L499" s="153"/>
      <c r="M499" s="151"/>
      <c r="N499" s="151"/>
      <c r="O499" s="142"/>
      <c r="P499" s="142"/>
      <c r="Q499" s="162"/>
      <c r="R499" s="162"/>
      <c r="S499" s="162"/>
      <c r="U499" s="160"/>
    </row>
    <row r="500" spans="1:21" ht="13.2">
      <c r="A500" s="43"/>
      <c r="B500" s="43"/>
      <c r="C500" s="43"/>
      <c r="D500" s="43"/>
      <c r="E500" s="179"/>
      <c r="F500" s="179"/>
      <c r="G500" s="150"/>
      <c r="H500" s="150"/>
      <c r="I500" s="151"/>
      <c r="J500" s="151"/>
      <c r="K500" s="153"/>
      <c r="L500" s="153"/>
      <c r="M500" s="151"/>
      <c r="N500" s="151"/>
      <c r="O500" s="142"/>
      <c r="P500" s="142"/>
      <c r="Q500" s="157"/>
      <c r="R500" s="157"/>
      <c r="S500" s="157"/>
      <c r="U500" s="155"/>
    </row>
  </sheetData>
  <mergeCells count="4">
    <mergeCell ref="U4:Y4"/>
    <mergeCell ref="AA4:AE4"/>
    <mergeCell ref="U182:Y182"/>
    <mergeCell ref="AA182:AE182"/>
  </mergeCells>
  <conditionalFormatting sqref="U5:AE500">
    <cfRule type="expression" dxfId="1" priority="1">
      <formula>ISNUMBER( $U5 )</formula>
    </cfRule>
    <cfRule type="expression" dxfId="0" priority="2">
      <formula>NOT( ISERR( FIND( "Division", $U5 )))</formula>
    </cfRule>
  </conditionalFormatting>
  <hyperlinks>
    <hyperlink ref="C2" r:id="rId1" xr:uid="{00000000-0004-0000-0300-000000000000}"/>
    <hyperlink ref="P5" r:id="rId2" display="https://docs.google.com/spreadsheets/d/1Ho0Oa3KecgLH3GVPRCCVMrWJe9d7ha83ba9I5dF8qmg" xr:uid="{00000000-0004-0000-0300-000001000000}"/>
    <hyperlink ref="P6" r:id="rId3" display="https://docs.google.com/spreadsheets/d/1nWRr0iPvCqjOZZfQ0W_dsVOnIVQGWExi8c0GPs3bs7o" xr:uid="{00000000-0004-0000-0300-000002000000}"/>
    <hyperlink ref="P7" r:id="rId4" display="https://docs.google.com/spreadsheets/d/1WvY6S-oVsh4YAeW15chzvtmxCXSLB7_I7Z-EgHKRi9c" xr:uid="{00000000-0004-0000-0300-000003000000}"/>
    <hyperlink ref="P8" r:id="rId5" display="https://docs.google.com/document/d/1x9nXuXcDRG-KBHcaYIxv7seoRzwlefo0-zRuE9Zvp5s/edit?usp=sharing" xr:uid="{00000000-0004-0000-0300-000004000000}"/>
    <hyperlink ref="P13" r:id="rId6" display="https://dive.mynvsl.com/documents?folder_id=26941" xr:uid="{00000000-0004-0000-0300-000005000000}"/>
    <hyperlink ref="P15" r:id="rId7" display="http://dive.mynvsl.com/contacts/team-reps" xr:uid="{00000000-0004-0000-0300-000006000000}"/>
    <hyperlink ref="P16" r:id="rId8" display="https://docs.google.com/spreadsheets/d/1W3zI5cqcDhVkWiodNRp7NBin5OpjC7krawyYM8YvCz4/edit?usp=drive_link" xr:uid="{00000000-0004-0000-0300-000007000000}"/>
    <hyperlink ref="P20" r:id="rId9" display="https://docs.google.com/spreadsheets/d/1H8gkPudX0LzTFYEmo8IVf65KWTHtBa41j4FC6jc-6j0/edit?usp=drive_link" xr:uid="{00000000-0004-0000-0300-000008000000}"/>
  </hyperlinks>
  <pageMargins left="0.7" right="0.7" top="0.75" bottom="0.75" header="0.3" footer="0.3"/>
  <tableParts count="7"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MeetParticipants</vt:lpstr>
      <vt:lpstr>MeetResults</vt:lpstr>
      <vt:lpstr>Lookup-DiverRoster</vt:lpstr>
      <vt:lpstr>Lookup-Generic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2025-02-14T21:16:40Z</dcterms:created>
  <dcterms:modified xsi:type="dcterms:W3CDTF">2025-02-14T21:19:11Z</dcterms:modified>
</cp:coreProperties>
</file>